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Ex4.xml" ContentType="application/vnd.ms-office.chartex+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pivotTables/pivotTable16.xml" ContentType="application/vnd.openxmlformats-officedocument.spreadsheetml.pivotTable+xml"/>
  <Override PartName="/xl/drawings/drawing5.xml" ContentType="application/vnd.openxmlformats-officedocument.drawing+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Ex5.xml" ContentType="application/vnd.ms-office.chartex+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jungleblow/Desktop/Case Study files/adidas_vs_nike analysis/"/>
    </mc:Choice>
  </mc:AlternateContent>
  <xr:revisionPtr revIDLastSave="0" documentId="13_ncr:2001_{177B99CB-E97B-ED47-A34E-8E79A3DA613B}" xr6:coauthVersionLast="47" xr6:coauthVersionMax="47" xr10:uidLastSave="{00000000-0000-0000-0000-000000000000}"/>
  <bookViews>
    <workbookView xWindow="1160" yWindow="1120" windowWidth="27640" windowHeight="15760" activeTab="4" xr2:uid="{25ADDDA6-E252-1B4E-8DF1-11D13E1908F8}"/>
  </bookViews>
  <sheets>
    <sheet name="a.nike.original.man" sheetId="2" r:id="rId1"/>
    <sheet name="b.nike.views" sheetId="9" r:id="rId2"/>
    <sheet name="c.nike.unbias" sheetId="19" r:id="rId3"/>
    <sheet name="d.nike.bias" sheetId="26" r:id="rId4"/>
    <sheet name="e.nike.discount" sheetId="29" r:id="rId5"/>
    <sheet name="f.nike.discriptive" sheetId="8" r:id="rId6"/>
    <sheet name="g.nike.input" sheetId="31" r:id="rId7"/>
    <sheet name="h.nike.sales.dashboard" sheetId="32" r:id="rId8"/>
    <sheet name="i.nike.discount.dash" sheetId="30" r:id="rId9"/>
    <sheet name="j.nike.today.view" sheetId="24" r:id="rId10"/>
    <sheet name="k.nike.top5.shoe" sheetId="20" r:id="rId11"/>
    <sheet name="l.readme.Index" sheetId="33" r:id="rId12"/>
  </sheets>
  <definedNames>
    <definedName name="_xlchart.v1.0" hidden="1">'g.nike.input'!$P$89:$P$93</definedName>
    <definedName name="_xlchart.v1.1" hidden="1">'g.nike.input'!$Q$89:$Q$93</definedName>
    <definedName name="_xlchart.v1.2" hidden="1">'g.nike.input'!$L$89:$L$93</definedName>
    <definedName name="_xlchart.v1.3" hidden="1">'g.nike.input'!$M$89:$M$93</definedName>
    <definedName name="_xlchart.v1.4" hidden="1">'g.nike.input'!$T$89:$T$93</definedName>
    <definedName name="_xlchart.v1.5" hidden="1">'g.nike.input'!$U$89:$U$93</definedName>
    <definedName name="_xlchart.v1.6" hidden="1">'g.nike.input'!$L$89:$L$93</definedName>
    <definedName name="_xlchart.v1.7" hidden="1">'g.nike.input'!$M$89:$M$93</definedName>
    <definedName name="_xlchart.v1.8" hidden="1">'g.nike.input'!$L$89:$L$93</definedName>
    <definedName name="_xlchart.v1.9" hidden="1">'g.nike.input'!$M$89:$M$93</definedName>
    <definedName name="Slicer_Rate_Group">#N/A</definedName>
  </definedNames>
  <calcPr calcId="191029"/>
  <pivotCaches>
    <pivotCache cacheId="0" r:id="rId13"/>
    <pivotCache cacheId="1" r:id="rId14"/>
  </pivotCaches>
  <fileRecoveryPr repairLoad="1"/>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5" i="29" l="1"/>
  <c r="O24" i="29"/>
  <c r="H46" i="31"/>
  <c r="E17" i="31"/>
  <c r="E16" i="31"/>
  <c r="F11" i="31"/>
  <c r="H31" i="31"/>
  <c r="L23" i="31"/>
  <c r="N23" i="31"/>
  <c r="J23" i="31"/>
  <c r="F35" i="31"/>
  <c r="L17" i="30" s="1"/>
  <c r="F25" i="31"/>
  <c r="J29" i="8"/>
  <c r="M32" i="8"/>
  <c r="D32" i="8"/>
  <c r="J14" i="8"/>
  <c r="J16" i="8"/>
  <c r="J15" i="8"/>
  <c r="J13" i="8"/>
  <c r="G29" i="8"/>
  <c r="J30" i="8"/>
  <c r="J28" i="8"/>
  <c r="J27" i="8"/>
  <c r="H30" i="8"/>
  <c r="H29" i="8"/>
  <c r="H28" i="8"/>
  <c r="H27" i="8"/>
  <c r="G30" i="8"/>
  <c r="G28" i="8"/>
  <c r="G27" i="8"/>
  <c r="H33" i="8"/>
  <c r="G33" i="8"/>
  <c r="G24" i="8"/>
  <c r="F12" i="31"/>
  <c r="F34" i="31"/>
  <c r="J17" i="30" s="1"/>
  <c r="M18" i="8"/>
  <c r="D18" i="8"/>
  <c r="G10" i="8"/>
  <c r="H13" i="8"/>
  <c r="I13" i="8"/>
  <c r="K13" i="8"/>
  <c r="H14" i="8"/>
  <c r="I14" i="8"/>
  <c r="K14" i="8"/>
  <c r="I15" i="8"/>
  <c r="K15" i="8"/>
  <c r="H5" i="31"/>
  <c r="F13" i="31" s="1"/>
  <c r="L27" i="31"/>
  <c r="F29" i="31"/>
  <c r="F24" i="31"/>
  <c r="H23" i="31" s="1"/>
  <c r="J10" i="30" s="1"/>
  <c r="J120" i="29"/>
  <c r="N27" i="31" s="1"/>
  <c r="J546" i="9"/>
  <c r="J532" i="9"/>
  <c r="J531" i="9"/>
  <c r="J524" i="9"/>
  <c r="J523" i="9"/>
  <c r="J519" i="9"/>
  <c r="J516" i="9"/>
  <c r="J512" i="9"/>
  <c r="J511" i="9"/>
  <c r="J508" i="9"/>
  <c r="J506" i="9"/>
  <c r="J505" i="9"/>
  <c r="J503" i="9"/>
  <c r="J502" i="9"/>
  <c r="J500" i="9"/>
  <c r="J496" i="9"/>
  <c r="J482" i="9"/>
  <c r="J481" i="9"/>
  <c r="J454" i="9"/>
  <c r="J448" i="9"/>
  <c r="J446" i="9"/>
  <c r="J445" i="9"/>
  <c r="J444" i="9"/>
  <c r="J434" i="9"/>
  <c r="J432" i="9"/>
  <c r="J418" i="9"/>
  <c r="J416" i="9"/>
  <c r="J390" i="9"/>
  <c r="J359" i="9"/>
  <c r="J356" i="9"/>
  <c r="J350" i="9"/>
  <c r="J342" i="9"/>
  <c r="J313" i="9"/>
  <c r="J307" i="9"/>
  <c r="J298" i="9"/>
  <c r="J282" i="9"/>
  <c r="J278" i="9"/>
  <c r="J261" i="9"/>
  <c r="J259" i="9"/>
  <c r="J255" i="9"/>
  <c r="J253" i="9"/>
  <c r="J251" i="9"/>
  <c r="J242" i="9"/>
  <c r="J238" i="9"/>
  <c r="J225" i="9"/>
  <c r="J222" i="9"/>
  <c r="J215" i="9"/>
  <c r="J213" i="9"/>
  <c r="J200" i="9"/>
  <c r="J197" i="9"/>
  <c r="J186" i="9"/>
  <c r="J177" i="9"/>
  <c r="J176" i="9"/>
  <c r="J172" i="9"/>
  <c r="J168" i="9"/>
  <c r="J133" i="9"/>
  <c r="J130" i="9"/>
  <c r="J126" i="9"/>
  <c r="J119" i="9"/>
  <c r="J102" i="9"/>
  <c r="J100" i="9"/>
  <c r="J92" i="9"/>
  <c r="J90" i="9"/>
  <c r="J82" i="9"/>
  <c r="J79" i="9"/>
  <c r="J37" i="9"/>
  <c r="J30" i="9"/>
  <c r="J12" i="9"/>
  <c r="J11" i="9"/>
  <c r="J554" i="9"/>
  <c r="K19" i="8"/>
  <c r="AA93" i="8"/>
  <c r="AH93" i="8"/>
  <c r="AD93" i="8"/>
  <c r="J2" i="9"/>
  <c r="J3" i="9"/>
  <c r="J4" i="9"/>
  <c r="J5" i="9"/>
  <c r="J6" i="9"/>
  <c r="J7" i="9"/>
  <c r="J8" i="9"/>
  <c r="J9" i="9"/>
  <c r="J10" i="9"/>
  <c r="J13" i="9"/>
  <c r="J14" i="9"/>
  <c r="J15" i="9"/>
  <c r="J16" i="9"/>
  <c r="J17" i="9"/>
  <c r="J18" i="9"/>
  <c r="J19" i="9"/>
  <c r="J20" i="9"/>
  <c r="J21" i="9"/>
  <c r="J22" i="9"/>
  <c r="J23" i="9"/>
  <c r="J24" i="9"/>
  <c r="J25" i="9"/>
  <c r="J26" i="9"/>
  <c r="J27" i="9"/>
  <c r="J28" i="9"/>
  <c r="J29" i="9"/>
  <c r="J31" i="9"/>
  <c r="J32" i="9"/>
  <c r="J33" i="9"/>
  <c r="J34" i="9"/>
  <c r="J35" i="9"/>
  <c r="J36"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80" i="9"/>
  <c r="J81" i="9"/>
  <c r="J83" i="9"/>
  <c r="J84" i="9"/>
  <c r="J85" i="9"/>
  <c r="J86" i="9"/>
  <c r="J87" i="9"/>
  <c r="J88" i="9"/>
  <c r="J89" i="9"/>
  <c r="J91" i="9"/>
  <c r="J93" i="9"/>
  <c r="J94" i="9"/>
  <c r="J95" i="9"/>
  <c r="J96" i="9"/>
  <c r="J97" i="9"/>
  <c r="J98" i="9"/>
  <c r="J99" i="9"/>
  <c r="J101" i="9"/>
  <c r="J103" i="9"/>
  <c r="J104" i="9"/>
  <c r="J105" i="9"/>
  <c r="J106" i="9"/>
  <c r="J107" i="9"/>
  <c r="J108" i="9"/>
  <c r="J109" i="9"/>
  <c r="J110" i="9"/>
  <c r="J111" i="9"/>
  <c r="J112" i="9"/>
  <c r="J113" i="9"/>
  <c r="J114" i="9"/>
  <c r="J115" i="9"/>
  <c r="J116" i="9"/>
  <c r="J117" i="9"/>
  <c r="J118" i="9"/>
  <c r="J120" i="9"/>
  <c r="J121" i="9"/>
  <c r="J122" i="9"/>
  <c r="J123" i="9"/>
  <c r="J124" i="9"/>
  <c r="J125" i="9"/>
  <c r="J127" i="9"/>
  <c r="J128" i="9"/>
  <c r="J129" i="9"/>
  <c r="J131" i="9"/>
  <c r="J132"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9" i="9"/>
  <c r="J170" i="9"/>
  <c r="J171" i="9"/>
  <c r="J173" i="9"/>
  <c r="J174" i="9"/>
  <c r="J175" i="9"/>
  <c r="J178" i="9"/>
  <c r="J179" i="9"/>
  <c r="J180" i="9"/>
  <c r="J181" i="9"/>
  <c r="J182" i="9"/>
  <c r="J183" i="9"/>
  <c r="J184" i="9"/>
  <c r="J185" i="9"/>
  <c r="J187" i="9"/>
  <c r="J188" i="9"/>
  <c r="J189" i="9"/>
  <c r="J190" i="9"/>
  <c r="J191" i="9"/>
  <c r="J192" i="9"/>
  <c r="J193" i="9"/>
  <c r="J194" i="9"/>
  <c r="J195" i="9"/>
  <c r="J196" i="9"/>
  <c r="J198" i="9"/>
  <c r="J199" i="9"/>
  <c r="J201" i="9"/>
  <c r="J202" i="9"/>
  <c r="J203" i="9"/>
  <c r="J204" i="9"/>
  <c r="J205" i="9"/>
  <c r="J206" i="9"/>
  <c r="J207" i="9"/>
  <c r="J208" i="9"/>
  <c r="J209" i="9"/>
  <c r="J210" i="9"/>
  <c r="J211" i="9"/>
  <c r="J212" i="9"/>
  <c r="J214" i="9"/>
  <c r="J216" i="9"/>
  <c r="J217" i="9"/>
  <c r="J218" i="9"/>
  <c r="J219" i="9"/>
  <c r="J220" i="9"/>
  <c r="J221" i="9"/>
  <c r="J223" i="9"/>
  <c r="J224" i="9"/>
  <c r="J226" i="9"/>
  <c r="J227" i="9"/>
  <c r="J228" i="9"/>
  <c r="J229" i="9"/>
  <c r="J230" i="9"/>
  <c r="J231" i="9"/>
  <c r="J232" i="9"/>
  <c r="J233" i="9"/>
  <c r="J234" i="9"/>
  <c r="J235" i="9"/>
  <c r="J236" i="9"/>
  <c r="J237" i="9"/>
  <c r="J239" i="9"/>
  <c r="J240" i="9"/>
  <c r="J241" i="9"/>
  <c r="J243" i="9"/>
  <c r="J244" i="9"/>
  <c r="J245" i="9"/>
  <c r="J246" i="9"/>
  <c r="J247" i="9"/>
  <c r="J248" i="9"/>
  <c r="J249" i="9"/>
  <c r="J250" i="9"/>
  <c r="J252" i="9"/>
  <c r="J254" i="9"/>
  <c r="J256" i="9"/>
  <c r="J257" i="9"/>
  <c r="J258" i="9"/>
  <c r="J260" i="9"/>
  <c r="J262" i="9"/>
  <c r="J263" i="9"/>
  <c r="J264" i="9"/>
  <c r="J265" i="9"/>
  <c r="J266" i="9"/>
  <c r="J267" i="9"/>
  <c r="J268" i="9"/>
  <c r="J269" i="9"/>
  <c r="J270" i="9"/>
  <c r="J271" i="9"/>
  <c r="J272" i="9"/>
  <c r="J273" i="9"/>
  <c r="J274" i="9"/>
  <c r="J275" i="9"/>
  <c r="J276" i="9"/>
  <c r="J277" i="9"/>
  <c r="J279" i="9"/>
  <c r="J280" i="9"/>
  <c r="J281" i="9"/>
  <c r="J283" i="9"/>
  <c r="J284" i="9"/>
  <c r="J285" i="9"/>
  <c r="J286" i="9"/>
  <c r="J287" i="9"/>
  <c r="J288" i="9"/>
  <c r="J289" i="9"/>
  <c r="J290" i="9"/>
  <c r="J291" i="9"/>
  <c r="J292" i="9"/>
  <c r="J293" i="9"/>
  <c r="J294" i="9"/>
  <c r="J295" i="9"/>
  <c r="J296" i="9"/>
  <c r="J297" i="9"/>
  <c r="J299" i="9"/>
  <c r="J300" i="9"/>
  <c r="J301" i="9"/>
  <c r="J302" i="9"/>
  <c r="J303" i="9"/>
  <c r="J304" i="9"/>
  <c r="J305" i="9"/>
  <c r="J306" i="9"/>
  <c r="J308" i="9"/>
  <c r="J309" i="9"/>
  <c r="J310" i="9"/>
  <c r="J311" i="9"/>
  <c r="J312" i="9"/>
  <c r="J314" i="9"/>
  <c r="J315" i="9"/>
  <c r="J316" i="9"/>
  <c r="J317" i="9"/>
  <c r="J318" i="9"/>
  <c r="J319" i="9"/>
  <c r="J320" i="9"/>
  <c r="J321" i="9"/>
  <c r="J322" i="9"/>
  <c r="J323" i="9"/>
  <c r="J324" i="9"/>
  <c r="J325" i="9"/>
  <c r="J326" i="9"/>
  <c r="J327" i="9"/>
  <c r="J328" i="9"/>
  <c r="J329" i="9"/>
  <c r="J330" i="9"/>
  <c r="J331" i="9"/>
  <c r="J332" i="9"/>
  <c r="J333" i="9"/>
  <c r="J334" i="9"/>
  <c r="J335" i="9"/>
  <c r="J336" i="9"/>
  <c r="J337" i="9"/>
  <c r="J338" i="9"/>
  <c r="J339" i="9"/>
  <c r="J340" i="9"/>
  <c r="J341" i="9"/>
  <c r="J343" i="9"/>
  <c r="J344" i="9"/>
  <c r="J345" i="9"/>
  <c r="J346" i="9"/>
  <c r="J347" i="9"/>
  <c r="J348" i="9"/>
  <c r="J349" i="9"/>
  <c r="J351" i="9"/>
  <c r="J352" i="9"/>
  <c r="J353" i="9"/>
  <c r="J354" i="9"/>
  <c r="J355" i="9"/>
  <c r="J357" i="9"/>
  <c r="J358" i="9"/>
  <c r="J360" i="9"/>
  <c r="J361" i="9"/>
  <c r="J362" i="9"/>
  <c r="J363" i="9"/>
  <c r="J364" i="9"/>
  <c r="J365" i="9"/>
  <c r="J366" i="9"/>
  <c r="J367" i="9"/>
  <c r="J368" i="9"/>
  <c r="J369" i="9"/>
  <c r="J370" i="9"/>
  <c r="J371" i="9"/>
  <c r="J372" i="9"/>
  <c r="J373" i="9"/>
  <c r="J374" i="9"/>
  <c r="J375" i="9"/>
  <c r="J376" i="9"/>
  <c r="J377" i="9"/>
  <c r="J378" i="9"/>
  <c r="J379" i="9"/>
  <c r="J380" i="9"/>
  <c r="J381" i="9"/>
  <c r="J382" i="9"/>
  <c r="J383" i="9"/>
  <c r="J384" i="9"/>
  <c r="J385" i="9"/>
  <c r="J386" i="9"/>
  <c r="J387" i="9"/>
  <c r="J388" i="9"/>
  <c r="J389" i="9"/>
  <c r="J391" i="9"/>
  <c r="J392" i="9"/>
  <c r="J393" i="9"/>
  <c r="J394" i="9"/>
  <c r="J395" i="9"/>
  <c r="J396" i="9"/>
  <c r="J397" i="9"/>
  <c r="J398" i="9"/>
  <c r="J399" i="9"/>
  <c r="J400" i="9"/>
  <c r="J401" i="9"/>
  <c r="J402" i="9"/>
  <c r="J403" i="9"/>
  <c r="J404" i="9"/>
  <c r="J405" i="9"/>
  <c r="J406" i="9"/>
  <c r="J407" i="9"/>
  <c r="J408" i="9"/>
  <c r="J409" i="9"/>
  <c r="J410" i="9"/>
  <c r="J411" i="9"/>
  <c r="J412" i="9"/>
  <c r="J413" i="9"/>
  <c r="J414" i="9"/>
  <c r="J415" i="9"/>
  <c r="J417" i="9"/>
  <c r="J419" i="9"/>
  <c r="J420" i="9"/>
  <c r="J421" i="9"/>
  <c r="J422" i="9"/>
  <c r="J423" i="9"/>
  <c r="J424" i="9"/>
  <c r="J425" i="9"/>
  <c r="J426" i="9"/>
  <c r="J427" i="9"/>
  <c r="J428" i="9"/>
  <c r="J429" i="9"/>
  <c r="J430" i="9"/>
  <c r="J431" i="9"/>
  <c r="J433" i="9"/>
  <c r="J435" i="9"/>
  <c r="J436" i="9"/>
  <c r="J437" i="9"/>
  <c r="J438" i="9"/>
  <c r="J439" i="9"/>
  <c r="J440" i="9"/>
  <c r="J441" i="9"/>
  <c r="J442" i="9"/>
  <c r="J443" i="9"/>
  <c r="J447" i="9"/>
  <c r="J449" i="9"/>
  <c r="J450" i="9"/>
  <c r="J451" i="9"/>
  <c r="J452" i="9"/>
  <c r="J453" i="9"/>
  <c r="J455" i="9"/>
  <c r="J456" i="9"/>
  <c r="J457" i="9"/>
  <c r="J458" i="9"/>
  <c r="J459" i="9"/>
  <c r="J460" i="9"/>
  <c r="J461" i="9"/>
  <c r="J462" i="9"/>
  <c r="J463" i="9"/>
  <c r="J464" i="9"/>
  <c r="J465" i="9"/>
  <c r="J466" i="9"/>
  <c r="J467" i="9"/>
  <c r="J468" i="9"/>
  <c r="J469" i="9"/>
  <c r="J470" i="9"/>
  <c r="J471" i="9"/>
  <c r="J472" i="9"/>
  <c r="J473" i="9"/>
  <c r="J474" i="9"/>
  <c r="J475" i="9"/>
  <c r="J476" i="9"/>
  <c r="J477" i="9"/>
  <c r="J478" i="9"/>
  <c r="J479" i="9"/>
  <c r="J480" i="9"/>
  <c r="J483" i="9"/>
  <c r="J484" i="9"/>
  <c r="J485" i="9"/>
  <c r="J486" i="9"/>
  <c r="J487" i="9"/>
  <c r="J488" i="9"/>
  <c r="J489" i="9"/>
  <c r="J490" i="9"/>
  <c r="J491" i="9"/>
  <c r="J492" i="9"/>
  <c r="J493" i="9"/>
  <c r="J494" i="9"/>
  <c r="J495" i="9"/>
  <c r="J497" i="9"/>
  <c r="J498" i="9"/>
  <c r="J499" i="9"/>
  <c r="J501" i="9"/>
  <c r="J504" i="9"/>
  <c r="J507" i="9"/>
  <c r="J509" i="9"/>
  <c r="J510" i="9"/>
  <c r="J513" i="9"/>
  <c r="J514" i="9"/>
  <c r="J515" i="9"/>
  <c r="J517" i="9"/>
  <c r="J518" i="9"/>
  <c r="J520" i="9"/>
  <c r="J521" i="9"/>
  <c r="J522" i="9"/>
  <c r="J525" i="9"/>
  <c r="J526" i="9"/>
  <c r="J527" i="9"/>
  <c r="J528" i="9"/>
  <c r="J529" i="9"/>
  <c r="J530" i="9"/>
  <c r="J533" i="9"/>
  <c r="J534" i="9"/>
  <c r="J535" i="9"/>
  <c r="J536" i="9"/>
  <c r="J537" i="9"/>
  <c r="J538" i="9"/>
  <c r="J539" i="9"/>
  <c r="J540" i="9"/>
  <c r="J541" i="9"/>
  <c r="J542" i="9"/>
  <c r="J543" i="9"/>
  <c r="J544" i="9"/>
  <c r="J545" i="9"/>
  <c r="J547" i="9"/>
  <c r="J548" i="9"/>
  <c r="J549" i="9"/>
  <c r="J550" i="9"/>
  <c r="J551" i="9"/>
  <c r="J552" i="9"/>
  <c r="J553" i="9"/>
  <c r="O5" i="19"/>
  <c r="P8" i="26"/>
  <c r="P7" i="26"/>
  <c r="P6" i="26"/>
  <c r="K644" i="2" a="1"/>
  <c r="K644" i="2" s="1"/>
  <c r="K643" i="2" a="1"/>
  <c r="K643" i="2" s="1"/>
  <c r="K642" i="2" a="1"/>
  <c r="K642" i="2" s="1"/>
  <c r="K641" i="2" a="1"/>
  <c r="K641" i="2" s="1"/>
  <c r="K640" i="2" a="1"/>
  <c r="K640" i="2" s="1"/>
  <c r="K639" i="2" a="1"/>
  <c r="K639" i="2" s="1"/>
  <c r="K638" i="2" a="1"/>
  <c r="K638" i="2" s="1"/>
  <c r="K637" i="2" a="1"/>
  <c r="K637" i="2" s="1"/>
  <c r="K636" i="2" a="1"/>
  <c r="K636" i="2" s="1"/>
  <c r="K635" i="2" a="1"/>
  <c r="K635" i="2" s="1"/>
  <c r="K634" i="2" a="1"/>
  <c r="K634" i="2" s="1"/>
  <c r="K633" i="2" a="1"/>
  <c r="K633" i="2" s="1"/>
  <c r="K632" i="2" a="1"/>
  <c r="K632" i="2" s="1"/>
  <c r="K631" i="2" a="1"/>
  <c r="K631" i="2" s="1"/>
  <c r="K629" i="2" a="1"/>
  <c r="K629" i="2" s="1"/>
  <c r="K630" i="2" a="1"/>
  <c r="K630" i="2" s="1"/>
  <c r="K628" i="2" a="1"/>
  <c r="K628" i="2" s="1"/>
  <c r="K627" i="2" a="1"/>
  <c r="K627" i="2" s="1"/>
  <c r="K626" i="2" a="1"/>
  <c r="K626" i="2" s="1"/>
  <c r="K625" i="2" a="1"/>
  <c r="K625" i="2" s="1"/>
  <c r="K624" i="2" a="1"/>
  <c r="K624" i="2" s="1"/>
  <c r="K623" i="2" a="1"/>
  <c r="K623" i="2" s="1"/>
  <c r="K622" i="2" a="1"/>
  <c r="K622" i="2" s="1"/>
  <c r="K621" i="2" a="1"/>
  <c r="K621" i="2" s="1"/>
  <c r="K619" i="2" a="1"/>
  <c r="K619" i="2" s="1"/>
  <c r="K620" i="2" a="1"/>
  <c r="K620" i="2" s="1"/>
  <c r="K618" i="2" a="1"/>
  <c r="K618" i="2" s="1"/>
  <c r="K612" i="2" a="1"/>
  <c r="K612" i="2" s="1"/>
  <c r="K613" i="2" a="1"/>
  <c r="K613" i="2" s="1"/>
  <c r="K616" i="2" a="1"/>
  <c r="K616" i="2" s="1"/>
  <c r="K617" i="2" a="1"/>
  <c r="K617" i="2" s="1"/>
  <c r="K614" i="2" a="1"/>
  <c r="K614" i="2" s="1"/>
  <c r="K615" i="2" a="1"/>
  <c r="K615" i="2" s="1"/>
  <c r="K611" i="2" a="1"/>
  <c r="K611" i="2" s="1"/>
  <c r="K609" i="2" a="1"/>
  <c r="K609" i="2" s="1"/>
  <c r="K610" i="2" a="1"/>
  <c r="K610" i="2" s="1"/>
  <c r="K607" i="2" a="1"/>
  <c r="K607" i="2" s="1"/>
  <c r="K608" i="2" a="1"/>
  <c r="K608" i="2" s="1"/>
  <c r="K606" i="2" a="1"/>
  <c r="K606" i="2" s="1"/>
  <c r="K605" i="2" a="1"/>
  <c r="K605" i="2" s="1"/>
  <c r="K604" i="2" a="1"/>
  <c r="K604" i="2" s="1"/>
  <c r="K603" i="2" a="1"/>
  <c r="K603" i="2" s="1"/>
  <c r="K602" i="2" a="1"/>
  <c r="K602" i="2" s="1"/>
  <c r="K601" i="2" a="1"/>
  <c r="K601" i="2" s="1"/>
  <c r="K599" i="2" a="1"/>
  <c r="K599" i="2" s="1"/>
  <c r="K600" i="2" a="1"/>
  <c r="K600" i="2" s="1"/>
  <c r="K598" i="2" a="1"/>
  <c r="K598" i="2" s="1"/>
  <c r="K597" i="2" a="1"/>
  <c r="K597" i="2" s="1"/>
  <c r="K596" i="2" a="1"/>
  <c r="K596" i="2" s="1"/>
  <c r="K593" i="2" a="1"/>
  <c r="K593" i="2" s="1"/>
  <c r="K595" i="2" a="1"/>
  <c r="K595" i="2" s="1"/>
  <c r="K594" i="2" a="1"/>
  <c r="K594" i="2" s="1"/>
  <c r="K590" i="2" a="1"/>
  <c r="K590" i="2" s="1"/>
  <c r="K591" i="2" a="1"/>
  <c r="K591" i="2" s="1"/>
  <c r="K588" i="2" a="1"/>
  <c r="K588" i="2" s="1"/>
  <c r="K587" i="2" a="1"/>
  <c r="K587" i="2" s="1"/>
  <c r="K589" i="2" a="1"/>
  <c r="K589" i="2" s="1"/>
  <c r="K592" i="2" a="1"/>
  <c r="K592" i="2" s="1"/>
  <c r="K585" i="2" a="1"/>
  <c r="K585" i="2" s="1"/>
  <c r="K586" i="2" a="1"/>
  <c r="K586" i="2" s="1"/>
  <c r="K584" i="2" a="1"/>
  <c r="K584" i="2" s="1"/>
  <c r="K583" i="2" a="1"/>
  <c r="K583" i="2" s="1"/>
  <c r="K580" i="2" a="1"/>
  <c r="K580" i="2" s="1"/>
  <c r="K581" i="2" a="1"/>
  <c r="K581" i="2" s="1"/>
  <c r="K582" i="2" a="1"/>
  <c r="K582" i="2" s="1"/>
  <c r="K578" i="2" a="1"/>
  <c r="K578" i="2" s="1"/>
  <c r="K577" i="2" a="1"/>
  <c r="K577" i="2" s="1"/>
  <c r="K579" i="2" a="1"/>
  <c r="K579" i="2" s="1"/>
  <c r="K574" i="2" a="1"/>
  <c r="K574" i="2" s="1"/>
  <c r="K575" i="2" a="1"/>
  <c r="K575" i="2" s="1"/>
  <c r="K572" i="2" a="1"/>
  <c r="K572" i="2" s="1"/>
  <c r="K576" i="2" a="1"/>
  <c r="K576" i="2" s="1"/>
  <c r="K573" i="2" a="1"/>
  <c r="K573" i="2" s="1"/>
  <c r="K570" i="2" a="1"/>
  <c r="K570" i="2" s="1"/>
  <c r="K569" i="2" a="1"/>
  <c r="K569" i="2" s="1"/>
  <c r="K571" i="2" a="1"/>
  <c r="K571" i="2" s="1"/>
  <c r="K567" i="2" a="1"/>
  <c r="K567" i="2" s="1"/>
  <c r="K568" i="2" a="1"/>
  <c r="K568" i="2" s="1"/>
  <c r="K566" i="2" a="1"/>
  <c r="K566" i="2" s="1"/>
  <c r="K565" i="2" a="1"/>
  <c r="K565" i="2" s="1"/>
  <c r="K562" i="2" a="1"/>
  <c r="K562" i="2" s="1"/>
  <c r="K561" i="2" a="1"/>
  <c r="K561" i="2" s="1"/>
  <c r="K563" i="2" a="1"/>
  <c r="K563" i="2" s="1"/>
  <c r="K564" i="2" a="1"/>
  <c r="K564" i="2" s="1"/>
  <c r="K557" i="2" a="1"/>
  <c r="K557" i="2" s="1"/>
  <c r="K558" i="2" a="1"/>
  <c r="K558" i="2" s="1"/>
  <c r="K560" i="2" a="1"/>
  <c r="K560" i="2" s="1"/>
  <c r="K559" i="2" a="1"/>
  <c r="K559" i="2" s="1"/>
  <c r="K554" i="2" a="1"/>
  <c r="K554" i="2" s="1"/>
  <c r="K556" i="2" a="1"/>
  <c r="K556" i="2" s="1"/>
  <c r="K553" i="2" a="1"/>
  <c r="K553" i="2" s="1"/>
  <c r="K555" i="2" a="1"/>
  <c r="K555" i="2" s="1"/>
  <c r="K551" i="2" a="1"/>
  <c r="K551" i="2" s="1"/>
  <c r="K552" i="2" a="1"/>
  <c r="K552" i="2" s="1"/>
  <c r="K550" i="2" a="1"/>
  <c r="K550" i="2" s="1"/>
  <c r="K547" i="2" a="1"/>
  <c r="K547" i="2" s="1"/>
  <c r="K548" i="2" a="1"/>
  <c r="K548" i="2" s="1"/>
  <c r="K549" i="2" a="1"/>
  <c r="K549" i="2" s="1"/>
  <c r="K542" i="2" a="1"/>
  <c r="K542" i="2" s="1"/>
  <c r="K544" i="2" a="1"/>
  <c r="K544" i="2" s="1"/>
  <c r="K546" i="2" a="1"/>
  <c r="K546" i="2" s="1"/>
  <c r="K543" i="2" a="1"/>
  <c r="K543" i="2" s="1"/>
  <c r="K545" i="2" a="1"/>
  <c r="K545" i="2" s="1"/>
  <c r="K539" i="2" a="1"/>
  <c r="K539" i="2" s="1"/>
  <c r="K541" i="2" a="1"/>
  <c r="K541" i="2" s="1"/>
  <c r="K540" i="2" a="1"/>
  <c r="K540" i="2" s="1"/>
  <c r="K537" i="2" a="1"/>
  <c r="K537" i="2" s="1"/>
  <c r="K538" i="2" a="1"/>
  <c r="K538" i="2" s="1"/>
  <c r="K533" i="2" a="1"/>
  <c r="K533" i="2" s="1"/>
  <c r="K534" i="2" a="1"/>
  <c r="K534" i="2" s="1"/>
  <c r="K532" i="2" a="1"/>
  <c r="K532" i="2" s="1"/>
  <c r="K536" i="2" a="1"/>
  <c r="K536" i="2" s="1"/>
  <c r="K535" i="2" a="1"/>
  <c r="K535" i="2" s="1"/>
  <c r="K528" i="2" a="1"/>
  <c r="K528" i="2" s="1"/>
  <c r="K529" i="2" a="1"/>
  <c r="K529" i="2" s="1"/>
  <c r="K530" i="2" a="1"/>
  <c r="K530" i="2" s="1"/>
  <c r="K531" i="2" a="1"/>
  <c r="K531" i="2" s="1"/>
  <c r="K527" i="2" a="1"/>
  <c r="K527" i="2" s="1"/>
  <c r="K526" i="2" a="1"/>
  <c r="K526" i="2" s="1"/>
  <c r="K523" i="2" a="1"/>
  <c r="K523" i="2" s="1"/>
  <c r="K524" i="2" a="1"/>
  <c r="K524" i="2" s="1"/>
  <c r="K525" i="2" a="1"/>
  <c r="K525" i="2" s="1"/>
  <c r="K520" i="2" a="1"/>
  <c r="K520" i="2" s="1"/>
  <c r="K522" i="2" a="1"/>
  <c r="K522" i="2" s="1"/>
  <c r="K521" i="2" a="1"/>
  <c r="K521" i="2" s="1"/>
  <c r="K519" i="2" a="1"/>
  <c r="K519" i="2" s="1"/>
  <c r="K517" i="2" a="1"/>
  <c r="K517" i="2" s="1"/>
  <c r="K518" i="2" a="1"/>
  <c r="K518" i="2" s="1"/>
  <c r="K516" i="2" a="1"/>
  <c r="K516" i="2" s="1"/>
  <c r="K514" i="2" a="1"/>
  <c r="K514" i="2" s="1"/>
  <c r="K515" i="2" a="1"/>
  <c r="K515" i="2" s="1"/>
  <c r="K513" i="2" a="1"/>
  <c r="K513" i="2" s="1"/>
  <c r="K511" i="2" a="1"/>
  <c r="K511" i="2" s="1"/>
  <c r="K509" i="2" a="1"/>
  <c r="K509" i="2" s="1"/>
  <c r="K512" i="2" a="1"/>
  <c r="K512" i="2" s="1"/>
  <c r="K510" i="2" a="1"/>
  <c r="K510" i="2" s="1"/>
  <c r="K505" i="2" a="1"/>
  <c r="K505" i="2" s="1"/>
  <c r="K507" i="2" a="1"/>
  <c r="K507" i="2" s="1"/>
  <c r="K508" i="2" a="1"/>
  <c r="K508" i="2" s="1"/>
  <c r="K506" i="2" a="1"/>
  <c r="K506" i="2" s="1"/>
  <c r="K502" i="2" a="1"/>
  <c r="K502" i="2" s="1"/>
  <c r="K503" i="2" a="1"/>
  <c r="K503" i="2" s="1"/>
  <c r="K504" i="2" a="1"/>
  <c r="K504" i="2" s="1"/>
  <c r="K501" i="2" a="1"/>
  <c r="K501" i="2" s="1"/>
  <c r="K498" i="2" a="1"/>
  <c r="K498" i="2" s="1"/>
  <c r="K496" i="2" a="1"/>
  <c r="K496" i="2" s="1"/>
  <c r="K497" i="2" a="1"/>
  <c r="K497" i="2" s="1"/>
  <c r="K499" i="2" a="1"/>
  <c r="K499" i="2" s="1"/>
  <c r="K500" i="2" a="1"/>
  <c r="K500" i="2" s="1"/>
  <c r="K494" i="2" a="1"/>
  <c r="K494" i="2" s="1"/>
  <c r="K495" i="2" a="1"/>
  <c r="K495" i="2" s="1"/>
  <c r="K490" i="2" a="1"/>
  <c r="K490" i="2" s="1"/>
  <c r="K492" i="2" a="1"/>
  <c r="K492" i="2" s="1"/>
  <c r="K491" i="2" a="1"/>
  <c r="K491" i="2" s="1"/>
  <c r="K493" i="2" a="1"/>
  <c r="K493" i="2" s="1"/>
  <c r="K489" i="2" a="1"/>
  <c r="K489" i="2" s="1"/>
  <c r="K487" i="2" a="1"/>
  <c r="K487" i="2" s="1"/>
  <c r="K488" i="2" a="1"/>
  <c r="K488" i="2" s="1"/>
  <c r="K486" i="2" a="1"/>
  <c r="K486" i="2" s="1"/>
  <c r="K485" i="2" a="1"/>
  <c r="K485" i="2" s="1"/>
  <c r="K483" i="2" a="1"/>
  <c r="K483" i="2" s="1"/>
  <c r="K484" i="2" a="1"/>
  <c r="K484" i="2" s="1"/>
  <c r="K482" i="2" a="1"/>
  <c r="K482" i="2" s="1"/>
  <c r="K481" i="2" a="1"/>
  <c r="K481" i="2" s="1"/>
  <c r="K478" i="2" a="1"/>
  <c r="K478" i="2" s="1"/>
  <c r="K479" i="2" a="1"/>
  <c r="K479" i="2" s="1"/>
  <c r="K480" i="2" a="1"/>
  <c r="K480" i="2" s="1"/>
  <c r="K477" i="2" a="1"/>
  <c r="K477" i="2" s="1"/>
  <c r="K475" i="2" a="1"/>
  <c r="K475" i="2" s="1"/>
  <c r="K476" i="2" a="1"/>
  <c r="K476" i="2" s="1"/>
  <c r="K470" i="2" a="1"/>
  <c r="K470" i="2" s="1"/>
  <c r="K472" i="2" a="1"/>
  <c r="K472" i="2" s="1"/>
  <c r="K471" i="2" a="1"/>
  <c r="K471" i="2" s="1"/>
  <c r="K473" i="2" a="1"/>
  <c r="K473" i="2" s="1"/>
  <c r="K474" i="2" a="1"/>
  <c r="K474" i="2" s="1"/>
  <c r="K466" i="2" a="1"/>
  <c r="K466" i="2" s="1"/>
  <c r="K467" i="2" a="1"/>
  <c r="K467" i="2" s="1"/>
  <c r="K469" i="2" a="1"/>
  <c r="K469" i="2" s="1"/>
  <c r="K468" i="2" a="1"/>
  <c r="K468" i="2" s="1"/>
  <c r="K461" i="2" a="1"/>
  <c r="K461" i="2" s="1"/>
  <c r="K463" i="2" a="1"/>
  <c r="K463" i="2" s="1"/>
  <c r="K462" i="2" a="1"/>
  <c r="K462" i="2" s="1"/>
  <c r="K464" i="2" a="1"/>
  <c r="K464" i="2" s="1"/>
  <c r="K465" i="2" a="1"/>
  <c r="K465" i="2" s="1"/>
  <c r="K457" i="2" a="1"/>
  <c r="K457" i="2" s="1"/>
  <c r="K460" i="2" a="1"/>
  <c r="K460" i="2" s="1"/>
  <c r="K458" i="2" a="1"/>
  <c r="K458" i="2" s="1"/>
  <c r="K459" i="2" a="1"/>
  <c r="K459" i="2" s="1"/>
  <c r="K456" i="2" a="1"/>
  <c r="K456" i="2" s="1"/>
  <c r="K455" i="2" a="1"/>
  <c r="K455" i="2" s="1"/>
  <c r="K454" i="2" a="1"/>
  <c r="K454" i="2" s="1"/>
  <c r="K453" i="2" a="1"/>
  <c r="K453" i="2" s="1"/>
  <c r="K451" i="2" a="1"/>
  <c r="K451" i="2" s="1"/>
  <c r="K452" i="2" a="1"/>
  <c r="K452" i="2" s="1"/>
  <c r="K450" i="2" a="1"/>
  <c r="K450" i="2" s="1"/>
  <c r="K446" i="2" a="1"/>
  <c r="K446" i="2" s="1"/>
  <c r="K448" i="2" a="1"/>
  <c r="K448" i="2" s="1"/>
  <c r="K445" i="2" a="1"/>
  <c r="K445" i="2" s="1"/>
  <c r="K447" i="2" a="1"/>
  <c r="K447" i="2" s="1"/>
  <c r="K449" i="2" a="1"/>
  <c r="K449" i="2" s="1"/>
  <c r="K443" i="2" a="1"/>
  <c r="K443" i="2" s="1"/>
  <c r="K444" i="2" a="1"/>
  <c r="K444" i="2" s="1"/>
  <c r="K442" i="2" a="1"/>
  <c r="K442" i="2" s="1"/>
  <c r="K440" i="2" a="1"/>
  <c r="K440" i="2" s="1"/>
  <c r="K441" i="2" a="1"/>
  <c r="K441" i="2" s="1"/>
  <c r="K439" i="2" a="1"/>
  <c r="K439" i="2" s="1"/>
  <c r="K438" i="2" a="1"/>
  <c r="K438" i="2" s="1"/>
  <c r="K437" i="2" a="1"/>
  <c r="K437" i="2" s="1"/>
  <c r="K436" i="2" a="1"/>
  <c r="K436" i="2" s="1"/>
  <c r="K435" i="2" a="1"/>
  <c r="K435" i="2" s="1"/>
  <c r="K434" i="2" a="1"/>
  <c r="K434" i="2" s="1"/>
  <c r="K433" i="2" a="1"/>
  <c r="K433" i="2" s="1"/>
  <c r="K432" i="2" a="1"/>
  <c r="K432" i="2" s="1"/>
  <c r="K431" i="2" a="1"/>
  <c r="K431" i="2" s="1"/>
  <c r="K429" i="2" a="1"/>
  <c r="K429" i="2" s="1"/>
  <c r="K430" i="2" a="1"/>
  <c r="K430" i="2" s="1"/>
  <c r="K428" i="2" a="1"/>
  <c r="K428" i="2" s="1"/>
  <c r="K426" i="2" a="1"/>
  <c r="K426" i="2" s="1"/>
  <c r="K427" i="2" a="1"/>
  <c r="K427" i="2" s="1"/>
  <c r="K425" i="2" a="1"/>
  <c r="K425" i="2" s="1"/>
  <c r="K424" i="2" a="1"/>
  <c r="K424" i="2" s="1"/>
  <c r="K423" i="2" a="1"/>
  <c r="K423" i="2" s="1"/>
  <c r="K422" i="2" a="1"/>
  <c r="K422" i="2" s="1"/>
  <c r="K420" i="2" a="1"/>
  <c r="K420" i="2" s="1"/>
  <c r="K421" i="2" a="1"/>
  <c r="K421" i="2" s="1"/>
  <c r="K419" i="2" a="1"/>
  <c r="K419" i="2" s="1"/>
  <c r="K417" i="2" a="1"/>
  <c r="K417" i="2" s="1"/>
  <c r="K418" i="2" a="1"/>
  <c r="K418" i="2" s="1"/>
  <c r="K416" i="2" a="1"/>
  <c r="K416" i="2" s="1"/>
  <c r="K415" i="2" a="1"/>
  <c r="K415" i="2" s="1"/>
  <c r="K414" i="2" a="1"/>
  <c r="K414" i="2" s="1"/>
  <c r="K413" i="2" a="1"/>
  <c r="K413" i="2" s="1"/>
  <c r="K412" i="2" a="1"/>
  <c r="K412" i="2" s="1"/>
  <c r="K411" i="2" a="1"/>
  <c r="K411" i="2" s="1"/>
  <c r="K409" i="2" a="1"/>
  <c r="K409" i="2" s="1"/>
  <c r="K410" i="2" a="1"/>
  <c r="K410" i="2" s="1"/>
  <c r="K408" i="2" a="1"/>
  <c r="K408" i="2" s="1"/>
  <c r="K407" i="2" a="1"/>
  <c r="K407" i="2" s="1"/>
  <c r="K405" i="2" a="1"/>
  <c r="K405" i="2" s="1"/>
  <c r="K406" i="2" a="1"/>
  <c r="K406" i="2" s="1"/>
  <c r="K402" i="2" a="1"/>
  <c r="K402" i="2" s="1"/>
  <c r="K403" i="2" a="1"/>
  <c r="K403" i="2" s="1"/>
  <c r="K404" i="2" a="1"/>
  <c r="K404" i="2" s="1"/>
  <c r="K398" i="2" a="1"/>
  <c r="K398" i="2" s="1"/>
  <c r="K400" i="2" a="1"/>
  <c r="K400" i="2" s="1"/>
  <c r="K397" i="2" a="1"/>
  <c r="K397" i="2" s="1"/>
  <c r="K399" i="2" a="1"/>
  <c r="K399" i="2" s="1"/>
  <c r="K396" i="2" a="1"/>
  <c r="K396" i="2" s="1"/>
  <c r="K401" i="2" a="1"/>
  <c r="K401" i="2" s="1"/>
  <c r="K392" i="2" a="1"/>
  <c r="K392" i="2" s="1"/>
  <c r="K394" i="2" a="1"/>
  <c r="K394" i="2" s="1"/>
  <c r="K389" i="2" a="1"/>
  <c r="K389" i="2" s="1"/>
  <c r="K388" i="2" a="1"/>
  <c r="K388" i="2" s="1"/>
  <c r="K393" i="2" a="1"/>
  <c r="K393" i="2" s="1"/>
  <c r="K395" i="2" a="1"/>
  <c r="K395" i="2" s="1"/>
  <c r="K387" i="2" a="1"/>
  <c r="K387" i="2" s="1"/>
  <c r="K391" i="2" a="1"/>
  <c r="K391" i="2" s="1"/>
  <c r="K390" i="2" a="1"/>
  <c r="K390" i="2" s="1"/>
  <c r="K385" i="2" a="1"/>
  <c r="K385" i="2" s="1"/>
  <c r="K382" i="2" a="1"/>
  <c r="K382" i="2" s="1"/>
  <c r="K386" i="2" a="1"/>
  <c r="K386" i="2" s="1"/>
  <c r="K380" i="2" a="1"/>
  <c r="K380" i="2" s="1"/>
  <c r="K381" i="2" a="1"/>
  <c r="K381" i="2" s="1"/>
  <c r="K383" i="2" a="1"/>
  <c r="K383" i="2" s="1"/>
  <c r="K384" i="2" a="1"/>
  <c r="K384" i="2" s="1"/>
  <c r="K375" i="2" a="1"/>
  <c r="K375" i="2" s="1"/>
  <c r="K374" i="2" a="1"/>
  <c r="K374" i="2" s="1"/>
  <c r="K378" i="2" a="1"/>
  <c r="K378" i="2" s="1"/>
  <c r="K376" i="2" a="1"/>
  <c r="K376" i="2" s="1"/>
  <c r="K377" i="2" a="1"/>
  <c r="K377" i="2" s="1"/>
  <c r="K379" i="2" a="1"/>
  <c r="K379" i="2" s="1"/>
  <c r="K370" i="2" a="1"/>
  <c r="K370" i="2" s="1"/>
  <c r="K373" i="2" a="1"/>
  <c r="K373" i="2" s="1"/>
  <c r="K371" i="2" a="1"/>
  <c r="K371" i="2" s="1"/>
  <c r="K372" i="2" a="1"/>
  <c r="K372" i="2" s="1"/>
  <c r="K369" i="2" a="1"/>
  <c r="K369" i="2" s="1"/>
  <c r="K361" i="2" a="1"/>
  <c r="K361" i="2" s="1"/>
  <c r="K362" i="2" a="1"/>
  <c r="K362" i="2" s="1"/>
  <c r="K366" i="2" a="1"/>
  <c r="K366" i="2" s="1"/>
  <c r="K367" i="2" a="1"/>
  <c r="K367" i="2" s="1"/>
  <c r="K368" i="2" a="1"/>
  <c r="K368" i="2" s="1"/>
  <c r="K364" i="2" a="1"/>
  <c r="K364" i="2" s="1"/>
  <c r="K363" i="2" a="1"/>
  <c r="K363" i="2" s="1"/>
  <c r="K365" i="2" a="1"/>
  <c r="K365" i="2" s="1"/>
  <c r="K355" i="2" a="1"/>
  <c r="K355" i="2" s="1"/>
  <c r="K356" i="2" a="1"/>
  <c r="K356" i="2" s="1"/>
  <c r="K357" i="2" a="1"/>
  <c r="K357" i="2" s="1"/>
  <c r="K353" i="2" a="1"/>
  <c r="K353" i="2" s="1"/>
  <c r="K358" i="2" a="1"/>
  <c r="K358" i="2" s="1"/>
  <c r="K359" i="2" a="1"/>
  <c r="K359" i="2" s="1"/>
  <c r="K354" i="2" a="1"/>
  <c r="K354" i="2" s="1"/>
  <c r="K360" i="2" a="1"/>
  <c r="K360" i="2" s="1"/>
  <c r="K351" i="2" a="1"/>
  <c r="K351" i="2" s="1"/>
  <c r="K352" i="2" a="1"/>
  <c r="K352" i="2" s="1"/>
  <c r="K350" i="2" a="1"/>
  <c r="K350" i="2" s="1"/>
  <c r="K349" i="2" a="1"/>
  <c r="K349" i="2" s="1"/>
  <c r="K344" i="2" a="1"/>
  <c r="K344" i="2" s="1"/>
  <c r="K345" i="2" a="1"/>
  <c r="K345" i="2" s="1"/>
  <c r="K346" i="2" a="1"/>
  <c r="K346" i="2" s="1"/>
  <c r="K348" i="2" a="1"/>
  <c r="K348" i="2" s="1"/>
  <c r="K347" i="2" a="1"/>
  <c r="K347" i="2" s="1"/>
  <c r="K343" i="2" a="1"/>
  <c r="K343" i="2" s="1"/>
  <c r="K337" i="2" a="1"/>
  <c r="K337" i="2" s="1"/>
  <c r="K341" i="2" a="1"/>
  <c r="K341" i="2" s="1"/>
  <c r="K338" i="2" a="1"/>
  <c r="K338" i="2" s="1"/>
  <c r="K339" i="2" a="1"/>
  <c r="K339" i="2" s="1"/>
  <c r="K342" i="2" a="1"/>
  <c r="K342" i="2" s="1"/>
  <c r="K336" i="2" a="1"/>
  <c r="K336" i="2" s="1"/>
  <c r="K340" i="2" a="1"/>
  <c r="K340" i="2" s="1"/>
  <c r="K335" i="2" a="1"/>
  <c r="K335" i="2" s="1"/>
  <c r="K327" i="2" a="1"/>
  <c r="K327" i="2" s="1"/>
  <c r="K331" i="2" a="1"/>
  <c r="K331" i="2" s="1"/>
  <c r="K330" i="2" a="1"/>
  <c r="K330" i="2" s="1"/>
  <c r="K328" i="2" a="1"/>
  <c r="K328" i="2" s="1"/>
  <c r="K332" i="2" a="1"/>
  <c r="K332" i="2" s="1"/>
  <c r="K329" i="2" a="1"/>
  <c r="K329" i="2" s="1"/>
  <c r="K333" i="2" a="1"/>
  <c r="K333" i="2" s="1"/>
  <c r="K334" i="2" a="1"/>
  <c r="K334" i="2" s="1"/>
  <c r="K326" i="2" a="1"/>
  <c r="K326" i="2" s="1"/>
  <c r="K323" i="2" a="1"/>
  <c r="K323" i="2" s="1"/>
  <c r="K324" i="2" a="1"/>
  <c r="K324" i="2" s="1"/>
  <c r="K321" i="2" a="1"/>
  <c r="K321" i="2" s="1"/>
  <c r="K322" i="2" a="1"/>
  <c r="K322" i="2" s="1"/>
  <c r="K325" i="2" a="1"/>
  <c r="K325" i="2" s="1"/>
  <c r="K319" i="2" a="1"/>
  <c r="K319" i="2" s="1"/>
  <c r="K320" i="2" a="1"/>
  <c r="K320" i="2" s="1"/>
  <c r="K317" i="2" a="1"/>
  <c r="K317" i="2" s="1"/>
  <c r="K318" i="2" a="1"/>
  <c r="K318" i="2" s="1"/>
  <c r="K313" i="2" a="1"/>
  <c r="K313" i="2" s="1"/>
  <c r="K312" i="2" a="1"/>
  <c r="K312" i="2" s="1"/>
  <c r="K314" i="2" a="1"/>
  <c r="K314" i="2" s="1"/>
  <c r="K315" i="2" a="1"/>
  <c r="K315" i="2" s="1"/>
  <c r="K316" i="2" a="1"/>
  <c r="K316" i="2" s="1"/>
  <c r="K311" i="2" a="1"/>
  <c r="K311" i="2" s="1"/>
  <c r="K310" i="2" a="1"/>
  <c r="K310" i="2" s="1"/>
  <c r="K307" i="2" a="1"/>
  <c r="K307" i="2" s="1"/>
  <c r="K308" i="2" a="1"/>
  <c r="K308" i="2" s="1"/>
  <c r="K306" i="2" a="1"/>
  <c r="K306" i="2" s="1"/>
  <c r="K309" i="2" a="1"/>
  <c r="K309" i="2" s="1"/>
  <c r="K303" i="2" a="1"/>
  <c r="K303" i="2" s="1"/>
  <c r="K304" i="2" a="1"/>
  <c r="K304" i="2" s="1"/>
  <c r="K305" i="2" a="1"/>
  <c r="K305" i="2" s="1"/>
  <c r="K302" i="2" a="1"/>
  <c r="K302" i="2" s="1"/>
  <c r="K301" i="2" a="1"/>
  <c r="K301" i="2" s="1"/>
  <c r="K296" i="2" a="1"/>
  <c r="K296" i="2" s="1"/>
  <c r="K297" i="2" a="1"/>
  <c r="K297" i="2" s="1"/>
  <c r="K298" i="2" a="1"/>
  <c r="K298" i="2" s="1"/>
  <c r="K299" i="2" a="1"/>
  <c r="K299" i="2" s="1"/>
  <c r="K300" i="2" a="1"/>
  <c r="K300" i="2" s="1"/>
  <c r="K295" i="2" a="1"/>
  <c r="K295" i="2" s="1"/>
  <c r="K292" i="2" a="1"/>
  <c r="K292" i="2" s="1"/>
  <c r="K293" i="2" a="1"/>
  <c r="K293" i="2" s="1"/>
  <c r="K294" i="2" a="1"/>
  <c r="K294" i="2" s="1"/>
  <c r="K291" i="2" a="1"/>
  <c r="K291" i="2" s="1"/>
  <c r="K289" i="2" a="1"/>
  <c r="K289" i="2" s="1"/>
  <c r="K290" i="2" a="1"/>
  <c r="K290" i="2" s="1"/>
  <c r="K288" i="2" a="1"/>
  <c r="K288" i="2" s="1"/>
  <c r="K285" i="2" a="1"/>
  <c r="K285" i="2" s="1"/>
  <c r="K284" i="2" a="1"/>
  <c r="K284" i="2" s="1"/>
  <c r="K287" i="2" a="1"/>
  <c r="K287" i="2" s="1"/>
  <c r="K286" i="2" a="1"/>
  <c r="K286" i="2" s="1"/>
  <c r="K282" i="2" a="1"/>
  <c r="K282" i="2" s="1"/>
  <c r="K283" i="2" a="1"/>
  <c r="K283" i="2" s="1"/>
  <c r="K280" i="2" a="1"/>
  <c r="K280" i="2" s="1"/>
  <c r="K281" i="2" a="1"/>
  <c r="K281" i="2" s="1"/>
  <c r="K279" i="2" a="1"/>
  <c r="K279" i="2" s="1"/>
  <c r="K277" i="2" a="1"/>
  <c r="K277" i="2" s="1"/>
  <c r="K278" i="2" a="1"/>
  <c r="K278" i="2" s="1"/>
  <c r="K276" i="2" a="1"/>
  <c r="K276" i="2" s="1"/>
  <c r="K275" i="2" a="1"/>
  <c r="K275" i="2" s="1"/>
  <c r="K274" i="2" a="1"/>
  <c r="K274" i="2" s="1"/>
  <c r="K273" i="2" a="1"/>
  <c r="K273" i="2" s="1"/>
  <c r="K271" i="2" a="1"/>
  <c r="K271" i="2" s="1"/>
  <c r="K272" i="2" a="1"/>
  <c r="K272" i="2" s="1"/>
  <c r="K269" i="2" a="1"/>
  <c r="K269" i="2" s="1"/>
  <c r="K268" i="2" a="1"/>
  <c r="K268" i="2" s="1"/>
  <c r="K270" i="2" a="1"/>
  <c r="K270" i="2" s="1"/>
  <c r="K264" i="2" a="1"/>
  <c r="K264" i="2" s="1"/>
  <c r="K266" i="2" a="1"/>
  <c r="K266" i="2" s="1"/>
  <c r="K267" i="2" a="1"/>
  <c r="K267" i="2" s="1"/>
  <c r="K265" i="2" a="1"/>
  <c r="K265" i="2" s="1"/>
  <c r="K262" i="2" a="1"/>
  <c r="K262" i="2" s="1"/>
  <c r="K260" i="2" a="1"/>
  <c r="K260" i="2" s="1"/>
  <c r="K263" i="2" a="1"/>
  <c r="K263" i="2" s="1"/>
  <c r="K261" i="2" a="1"/>
  <c r="K261" i="2" s="1"/>
  <c r="K259" i="2" a="1"/>
  <c r="K259" i="2" s="1"/>
  <c r="K256" i="2" a="1"/>
  <c r="K256" i="2" s="1"/>
  <c r="K257" i="2" a="1"/>
  <c r="K257" i="2" s="1"/>
  <c r="K258" i="2" a="1"/>
  <c r="K258" i="2" s="1"/>
  <c r="K255" i="2" a="1"/>
  <c r="K255" i="2" s="1"/>
  <c r="K251" i="2" a="1"/>
  <c r="K251" i="2" s="1"/>
  <c r="K252" i="2" a="1"/>
  <c r="K252" i="2" s="1"/>
  <c r="K253" i="2" a="1"/>
  <c r="K253" i="2" s="1"/>
  <c r="K254" i="2" a="1"/>
  <c r="K254" i="2" s="1"/>
  <c r="K250" i="2" a="1"/>
  <c r="K250" i="2" s="1"/>
  <c r="K248" i="2" a="1"/>
  <c r="K248" i="2" s="1"/>
  <c r="K249" i="2" a="1"/>
  <c r="K249" i="2" s="1"/>
  <c r="K247" i="2" a="1"/>
  <c r="K247" i="2" s="1"/>
  <c r="K246" i="2" a="1"/>
  <c r="K246" i="2" s="1"/>
  <c r="K245" i="2" a="1"/>
  <c r="K245" i="2" s="1"/>
  <c r="K244" i="2" a="1"/>
  <c r="K244" i="2" s="1"/>
  <c r="K243" i="2" a="1"/>
  <c r="K243" i="2" s="1"/>
  <c r="K242" i="2" a="1"/>
  <c r="K242" i="2" s="1"/>
  <c r="K241" i="2" a="1"/>
  <c r="K241" i="2" s="1"/>
  <c r="K240" i="2" a="1"/>
  <c r="K240" i="2" s="1"/>
  <c r="K239" i="2" a="1"/>
  <c r="K239" i="2" s="1"/>
  <c r="K237" i="2" a="1"/>
  <c r="K237" i="2" s="1"/>
  <c r="K238" i="2" a="1"/>
  <c r="K238" i="2" s="1"/>
  <c r="K235" i="2" a="1"/>
  <c r="K235" i="2" s="1"/>
  <c r="K236" i="2" a="1"/>
  <c r="K236" i="2" s="1"/>
  <c r="K234" i="2" a="1"/>
  <c r="K234" i="2" s="1"/>
  <c r="K233" i="2" a="1"/>
  <c r="K233" i="2" s="1"/>
  <c r="K230" i="2" a="1"/>
  <c r="K230" i="2" s="1"/>
  <c r="K231" i="2" a="1"/>
  <c r="K231" i="2" s="1"/>
  <c r="K232" i="2" a="1"/>
  <c r="K232" i="2" s="1"/>
  <c r="K227" i="2" a="1"/>
  <c r="K227" i="2" s="1"/>
  <c r="K228" i="2" a="1"/>
  <c r="K228" i="2" s="1"/>
  <c r="K229" i="2" a="1"/>
  <c r="K229" i="2" s="1"/>
  <c r="K226" i="2" a="1"/>
  <c r="K226" i="2" s="1"/>
  <c r="K224" i="2" a="1"/>
  <c r="K224" i="2" s="1"/>
  <c r="K225" i="2" a="1"/>
  <c r="K225" i="2" s="1"/>
  <c r="K221" i="2" a="1"/>
  <c r="K221" i="2" s="1"/>
  <c r="K222" i="2" a="1"/>
  <c r="K222" i="2" s="1"/>
  <c r="K223" i="2" a="1"/>
  <c r="K223" i="2" s="1"/>
  <c r="K217" i="2" a="1"/>
  <c r="K217" i="2" s="1"/>
  <c r="K216" i="2" a="1"/>
  <c r="K216" i="2" s="1"/>
  <c r="K219" i="2" a="1"/>
  <c r="K219" i="2" s="1"/>
  <c r="K220" i="2" a="1"/>
  <c r="K220" i="2" s="1"/>
  <c r="K218" i="2" a="1"/>
  <c r="K218" i="2" s="1"/>
  <c r="K215" i="2" a="1"/>
  <c r="K215" i="2" s="1"/>
  <c r="K212" i="2" a="1"/>
  <c r="K212" i="2" s="1"/>
  <c r="K213" i="2" a="1"/>
  <c r="K213" i="2" s="1"/>
  <c r="K214" i="2" a="1"/>
  <c r="K214" i="2" s="1"/>
  <c r="K208" i="2" a="1"/>
  <c r="K208" i="2" s="1"/>
  <c r="K209" i="2" a="1"/>
  <c r="K209" i="2" s="1"/>
  <c r="K210" i="2" a="1"/>
  <c r="K210" i="2" s="1"/>
  <c r="K211" i="2" a="1"/>
  <c r="K211" i="2" s="1"/>
  <c r="K206" i="2" a="1"/>
  <c r="K206" i="2" s="1"/>
  <c r="K207" i="2" a="1"/>
  <c r="K207" i="2" s="1"/>
  <c r="K202" i="2" a="1"/>
  <c r="K202" i="2" s="1"/>
  <c r="K203" i="2" a="1"/>
  <c r="K203" i="2" s="1"/>
  <c r="K201" i="2" a="1"/>
  <c r="K201" i="2" s="1"/>
  <c r="K204" i="2" a="1"/>
  <c r="K204" i="2" s="1"/>
  <c r="K205" i="2" a="1"/>
  <c r="K205" i="2" s="1"/>
  <c r="K199" i="2" a="1"/>
  <c r="K199" i="2" s="1"/>
  <c r="K200" i="2" a="1"/>
  <c r="K200" i="2" s="1"/>
  <c r="K195" i="2" a="1"/>
  <c r="K195" i="2" s="1"/>
  <c r="K198" i="2" a="1"/>
  <c r="K198" i="2" s="1"/>
  <c r="K197" i="2" a="1"/>
  <c r="K197" i="2" s="1"/>
  <c r="K194" i="2" a="1"/>
  <c r="K194" i="2" s="1"/>
  <c r="K196" i="2" a="1"/>
  <c r="K196" i="2" s="1"/>
  <c r="K190" i="2" a="1"/>
  <c r="K190" i="2" s="1"/>
  <c r="K187" i="2" a="1"/>
  <c r="K187" i="2" s="1"/>
  <c r="K189" i="2" a="1"/>
  <c r="K189" i="2" s="1"/>
  <c r="K191" i="2" a="1"/>
  <c r="K191" i="2" s="1"/>
  <c r="K188" i="2" a="1"/>
  <c r="K188" i="2" s="1"/>
  <c r="K192" i="2" a="1"/>
  <c r="K192" i="2" s="1"/>
  <c r="K193" i="2" a="1"/>
  <c r="K193" i="2" s="1"/>
  <c r="K182" i="2" a="1"/>
  <c r="K182" i="2" s="1"/>
  <c r="K184" i="2" a="1"/>
  <c r="K184" i="2" s="1"/>
  <c r="K183" i="2" a="1"/>
  <c r="K183" i="2" s="1"/>
  <c r="K185" i="2" a="1"/>
  <c r="K185" i="2" s="1"/>
  <c r="K186" i="2" a="1"/>
  <c r="K186" i="2" s="1"/>
  <c r="K176" i="2" a="1"/>
  <c r="K176" i="2" s="1"/>
  <c r="K179" i="2" a="1"/>
  <c r="K179" i="2" s="1"/>
  <c r="K178" i="2" a="1"/>
  <c r="K178" i="2" s="1"/>
  <c r="K177" i="2" a="1"/>
  <c r="K177" i="2" s="1"/>
  <c r="K175" i="2" a="1"/>
  <c r="K175" i="2" s="1"/>
  <c r="K180" i="2" a="1"/>
  <c r="K180" i="2" s="1"/>
  <c r="K181" i="2" a="1"/>
  <c r="K181" i="2" s="1"/>
  <c r="K174" i="2" a="1"/>
  <c r="K174" i="2" s="1"/>
  <c r="K172" i="2" a="1"/>
  <c r="K172" i="2" s="1"/>
  <c r="K173" i="2" a="1"/>
  <c r="K173" i="2" s="1"/>
  <c r="K168" i="2" a="1"/>
  <c r="K168" i="2" s="1"/>
  <c r="K167" i="2" a="1"/>
  <c r="K167" i="2" s="1"/>
  <c r="K170" i="2" a="1"/>
  <c r="K170" i="2" s="1"/>
  <c r="K169" i="2" a="1"/>
  <c r="K169" i="2" s="1"/>
  <c r="K166" i="2" a="1"/>
  <c r="K166" i="2" s="1"/>
  <c r="K171" i="2" a="1"/>
  <c r="K171" i="2" s="1"/>
  <c r="K164" i="2" a="1"/>
  <c r="K164" i="2" s="1"/>
  <c r="K163" i="2" a="1"/>
  <c r="K163" i="2" s="1"/>
  <c r="K165" i="2" a="1"/>
  <c r="K165" i="2" s="1"/>
  <c r="K161" i="2" a="1"/>
  <c r="K161" i="2" s="1"/>
  <c r="K162" i="2" a="1"/>
  <c r="K162" i="2" s="1"/>
  <c r="K159" i="2" a="1"/>
  <c r="K159" i="2" s="1"/>
  <c r="K160" i="2" a="1"/>
  <c r="K160" i="2" s="1"/>
  <c r="K157" i="2" a="1"/>
  <c r="K157" i="2" s="1"/>
  <c r="K158" i="2" a="1"/>
  <c r="K158" i="2" s="1"/>
  <c r="K156" i="2" a="1"/>
  <c r="K156" i="2" s="1"/>
  <c r="K155" i="2" a="1"/>
  <c r="K155" i="2" s="1"/>
  <c r="K153" i="2" a="1"/>
  <c r="K153" i="2" s="1"/>
  <c r="K154" i="2" a="1"/>
  <c r="K154" i="2" s="1"/>
  <c r="K149" i="2" a="1"/>
  <c r="K149" i="2" s="1"/>
  <c r="K152" i="2" a="1"/>
  <c r="K152" i="2" s="1"/>
  <c r="K151" i="2" a="1"/>
  <c r="K151" i="2" s="1"/>
  <c r="K150" i="2" a="1"/>
  <c r="K150" i="2" s="1"/>
  <c r="K147" i="2" a="1"/>
  <c r="K147" i="2" s="1"/>
  <c r="K148" i="2" a="1"/>
  <c r="K148" i="2" s="1"/>
  <c r="K146" i="2" a="1"/>
  <c r="K146" i="2" s="1"/>
  <c r="K144" i="2" a="1"/>
  <c r="K144" i="2" s="1"/>
  <c r="K142" i="2" a="1"/>
  <c r="K142" i="2" s="1"/>
  <c r="K145" i="2" a="1"/>
  <c r="K145" i="2" s="1"/>
  <c r="K143" i="2" a="1"/>
  <c r="K143" i="2" s="1"/>
  <c r="K140" i="2" a="1"/>
  <c r="K140" i="2" s="1"/>
  <c r="K139" i="2" a="1"/>
  <c r="K139" i="2" s="1"/>
  <c r="K141" i="2" a="1"/>
  <c r="K141" i="2" s="1"/>
  <c r="K137" i="2" a="1"/>
  <c r="K137" i="2" s="1"/>
  <c r="K138" i="2" a="1"/>
  <c r="K138" i="2" s="1"/>
  <c r="K135" i="2" a="1"/>
  <c r="K135" i="2" s="1"/>
  <c r="K136" i="2" a="1"/>
  <c r="K136" i="2" s="1"/>
  <c r="K134" i="2" a="1"/>
  <c r="K134" i="2" s="1"/>
  <c r="K133" i="2" a="1"/>
  <c r="K133" i="2" s="1"/>
  <c r="K130" i="2" a="1"/>
  <c r="K130" i="2" s="1"/>
  <c r="K131" i="2" a="1"/>
  <c r="K131" i="2" s="1"/>
  <c r="K132" i="2" a="1"/>
  <c r="K132" i="2" s="1"/>
  <c r="K129" i="2" a="1"/>
  <c r="K129" i="2" s="1"/>
  <c r="K127" i="2" a="1"/>
  <c r="K127" i="2" s="1"/>
  <c r="K128" i="2" a="1"/>
  <c r="K128" i="2" s="1"/>
  <c r="K126" i="2" a="1"/>
  <c r="K126" i="2" s="1"/>
  <c r="K123" i="2" a="1"/>
  <c r="K123" i="2" s="1"/>
  <c r="K124" i="2" a="1"/>
  <c r="K124" i="2" s="1"/>
  <c r="K125" i="2" a="1"/>
  <c r="K125" i="2" s="1"/>
  <c r="K119" i="2" a="1"/>
  <c r="K119" i="2" s="1"/>
  <c r="K122" i="2" a="1"/>
  <c r="K122" i="2" s="1"/>
  <c r="K121" i="2" a="1"/>
  <c r="K121" i="2" s="1"/>
  <c r="K120" i="2" a="1"/>
  <c r="K120" i="2" s="1"/>
  <c r="K116" i="2" a="1"/>
  <c r="K116" i="2" s="1"/>
  <c r="K117" i="2" a="1"/>
  <c r="K117" i="2" s="1"/>
  <c r="K118" i="2" a="1"/>
  <c r="K118" i="2" s="1"/>
  <c r="K113" i="2" a="1"/>
  <c r="K113" i="2" s="1"/>
  <c r="K111" i="2" a="1"/>
  <c r="K111" i="2" s="1"/>
  <c r="K110" i="2" a="1"/>
  <c r="K110" i="2" s="1"/>
  <c r="K114" i="2" a="1"/>
  <c r="K114" i="2" s="1"/>
  <c r="K109" i="2" a="1"/>
  <c r="K109" i="2" s="1"/>
  <c r="K112" i="2" a="1"/>
  <c r="K112" i="2" s="1"/>
  <c r="K115" i="2" a="1"/>
  <c r="K115" i="2" s="1"/>
  <c r="K108" i="2" a="1"/>
  <c r="K108" i="2" s="1"/>
  <c r="K101" i="2" a="1"/>
  <c r="K101" i="2" s="1"/>
  <c r="K103" i="2" a="1"/>
  <c r="K103" i="2" s="1"/>
  <c r="K104" i="2" a="1"/>
  <c r="K104" i="2" s="1"/>
  <c r="K105" i="2" a="1"/>
  <c r="K105" i="2" s="1"/>
  <c r="K102" i="2" a="1"/>
  <c r="K102" i="2" s="1"/>
  <c r="K106" i="2" a="1"/>
  <c r="K106" i="2" s="1"/>
  <c r="K107" i="2" a="1"/>
  <c r="K107" i="2" s="1"/>
  <c r="K99" i="2" a="1"/>
  <c r="K99" i="2" s="1"/>
  <c r="K96" i="2" a="1"/>
  <c r="K96" i="2" s="1"/>
  <c r="K98" i="2" a="1"/>
  <c r="K98" i="2" s="1"/>
  <c r="K95" i="2" a="1"/>
  <c r="K95" i="2" s="1"/>
  <c r="K97" i="2" a="1"/>
  <c r="K97" i="2" s="1"/>
  <c r="K100" i="2" a="1"/>
  <c r="K100" i="2" s="1"/>
  <c r="K93" i="2" a="1"/>
  <c r="K93" i="2" s="1"/>
  <c r="K91" i="2" a="1"/>
  <c r="K91" i="2" s="1"/>
  <c r="K92" i="2" a="1"/>
  <c r="K92" i="2" s="1"/>
  <c r="K88" i="2" a="1"/>
  <c r="K88" i="2" s="1"/>
  <c r="K94" i="2" a="1"/>
  <c r="K94" i="2" s="1"/>
  <c r="K87" i="2" a="1"/>
  <c r="K87" i="2" s="1"/>
  <c r="K89" i="2" a="1"/>
  <c r="K89" i="2" s="1"/>
  <c r="K90" i="2" a="1"/>
  <c r="K90" i="2" s="1"/>
  <c r="K84" i="2" a="1"/>
  <c r="K84" i="2" s="1"/>
  <c r="K83" i="2" a="1"/>
  <c r="K83" i="2" s="1"/>
  <c r="K85" i="2" a="1"/>
  <c r="K85" i="2" s="1"/>
  <c r="K86" i="2" a="1"/>
  <c r="K86" i="2" s="1"/>
  <c r="K82" i="2" a="1"/>
  <c r="K82" i="2" s="1"/>
  <c r="K77" i="2" a="1"/>
  <c r="K77" i="2" s="1"/>
  <c r="K79" i="2" a="1"/>
  <c r="K79" i="2" s="1"/>
  <c r="K75" i="2" a="1"/>
  <c r="K75" i="2" s="1"/>
  <c r="K76" i="2" a="1"/>
  <c r="K76" i="2" s="1"/>
  <c r="K78" i="2" a="1"/>
  <c r="K78" i="2" s="1"/>
  <c r="K80" i="2" a="1"/>
  <c r="K80" i="2" s="1"/>
  <c r="K74" i="2" a="1"/>
  <c r="K74" i="2" s="1"/>
  <c r="K81" i="2" a="1"/>
  <c r="K81" i="2" s="1"/>
  <c r="K71" i="2" a="1"/>
  <c r="K71" i="2" s="1"/>
  <c r="K68" i="2" a="1"/>
  <c r="K68" i="2" s="1"/>
  <c r="K72" i="2" a="1"/>
  <c r="K72" i="2" s="1"/>
  <c r="K69" i="2" a="1"/>
  <c r="K69" i="2" s="1"/>
  <c r="K70" i="2" a="1"/>
  <c r="K70" i="2" s="1"/>
  <c r="K73" i="2" a="1"/>
  <c r="K73" i="2" s="1"/>
  <c r="K62" i="2" a="1"/>
  <c r="K62" i="2" s="1"/>
  <c r="K64" i="2" a="1"/>
  <c r="K64" i="2" s="1"/>
  <c r="K61" i="2" a="1"/>
  <c r="K61" i="2" s="1"/>
  <c r="K65" i="2" a="1"/>
  <c r="K65" i="2" s="1"/>
  <c r="K66" i="2" a="1"/>
  <c r="K66" i="2" s="1"/>
  <c r="K63" i="2" a="1"/>
  <c r="K63" i="2" s="1"/>
  <c r="K60" i="2" a="1"/>
  <c r="K60" i="2" s="1"/>
  <c r="K67" i="2" a="1"/>
  <c r="K67" i="2" s="1"/>
  <c r="K56" i="2" a="1"/>
  <c r="K56" i="2" s="1"/>
  <c r="K57" i="2" a="1"/>
  <c r="K57" i="2" s="1"/>
  <c r="K54" i="2" a="1"/>
  <c r="K54" i="2" s="1"/>
  <c r="K53" i="2" a="1"/>
  <c r="K53" i="2" s="1"/>
  <c r="K55" i="2" a="1"/>
  <c r="K55" i="2" s="1"/>
  <c r="K58" i="2" a="1"/>
  <c r="K58" i="2" s="1"/>
  <c r="K59" i="2" a="1"/>
  <c r="K59" i="2" s="1"/>
  <c r="K48" i="2" a="1"/>
  <c r="K48" i="2" s="1"/>
  <c r="K49" i="2" a="1"/>
  <c r="K49" i="2" s="1"/>
  <c r="K50" i="2" a="1"/>
  <c r="K50" i="2" s="1"/>
  <c r="K51" i="2" a="1"/>
  <c r="K51" i="2" s="1"/>
  <c r="K52" i="2" a="1"/>
  <c r="K52" i="2" s="1"/>
  <c r="K42" i="2" a="1"/>
  <c r="K42" i="2" s="1"/>
  <c r="K44" i="2" a="1"/>
  <c r="K44" i="2" s="1"/>
  <c r="K45" i="2" a="1"/>
  <c r="K45" i="2" s="1"/>
  <c r="K43" i="2" a="1"/>
  <c r="K43" i="2" s="1"/>
  <c r="K46" i="2" a="1"/>
  <c r="K46" i="2" s="1"/>
  <c r="K47" i="2" a="1"/>
  <c r="K47" i="2" s="1"/>
  <c r="K40" i="2" a="1"/>
  <c r="K40" i="2" s="1"/>
  <c r="K37" i="2" a="1"/>
  <c r="K37" i="2" s="1"/>
  <c r="K41" i="2" a="1"/>
  <c r="K41" i="2" s="1"/>
  <c r="K38" i="2" a="1"/>
  <c r="K38" i="2" s="1"/>
  <c r="K39" i="2" a="1"/>
  <c r="K39" i="2" s="1"/>
  <c r="K35" i="2" a="1"/>
  <c r="K35" i="2" s="1"/>
  <c r="K36" i="2" a="1"/>
  <c r="K36" i="2" s="1"/>
  <c r="K34" i="2" a="1"/>
  <c r="K34" i="2" s="1"/>
  <c r="K33" i="2" a="1"/>
  <c r="K33" i="2" s="1"/>
  <c r="K31" i="2" a="1"/>
  <c r="K31" i="2" s="1"/>
  <c r="K32" i="2" a="1"/>
  <c r="K32" i="2" s="1"/>
  <c r="K30" i="2" a="1"/>
  <c r="K30" i="2" s="1"/>
  <c r="K28" i="2" a="1"/>
  <c r="K28" i="2" s="1"/>
  <c r="K26" i="2" a="1"/>
  <c r="K26" i="2" s="1"/>
  <c r="K29" i="2" a="1"/>
  <c r="K29" i="2" s="1"/>
  <c r="K27" i="2" a="1"/>
  <c r="K27" i="2" s="1"/>
  <c r="K24" i="2" a="1"/>
  <c r="K24" i="2" s="1"/>
  <c r="K25" i="2" a="1"/>
  <c r="K25" i="2" s="1"/>
  <c r="K22" i="2" a="1"/>
  <c r="K22" i="2" s="1"/>
  <c r="K23" i="2" a="1"/>
  <c r="K23" i="2" s="1"/>
  <c r="K21" i="2" a="1"/>
  <c r="K21" i="2" s="1"/>
  <c r="K20" i="2" a="1"/>
  <c r="K20" i="2" s="1"/>
  <c r="K19" i="2" a="1"/>
  <c r="K19" i="2" s="1"/>
  <c r="K18" i="2" a="1"/>
  <c r="K18" i="2" s="1"/>
  <c r="K16" i="2" a="1"/>
  <c r="K16" i="2" s="1"/>
  <c r="K17" i="2" a="1"/>
  <c r="K17" i="2" s="1"/>
  <c r="K13" i="2" a="1"/>
  <c r="K13" i="2" s="1"/>
  <c r="K12" i="2" a="1"/>
  <c r="K12" i="2" s="1"/>
  <c r="K14" i="2" a="1"/>
  <c r="K14" i="2" s="1"/>
  <c r="K15" i="2" a="1"/>
  <c r="K15" i="2" s="1"/>
  <c r="K10" i="2" a="1"/>
  <c r="K10" i="2" s="1"/>
  <c r="K11" i="2" a="1"/>
  <c r="K11" i="2" s="1"/>
  <c r="K9" i="2" a="1"/>
  <c r="K9" i="2" s="1"/>
  <c r="K7" i="2" a="1"/>
  <c r="K7" i="2" s="1"/>
  <c r="K8" i="2" a="1"/>
  <c r="K8" i="2" s="1"/>
  <c r="K5" i="2" a="1"/>
  <c r="K5" i="2" s="1"/>
  <c r="K6" i="2" a="1"/>
  <c r="K6" i="2" s="1"/>
  <c r="K2" i="2" a="1"/>
  <c r="K2" i="2" s="1"/>
  <c r="K3" i="2" a="1"/>
  <c r="K3" i="2" s="1"/>
  <c r="K4" i="2" a="1"/>
  <c r="K4" i="2" s="1"/>
  <c r="D6" i="8"/>
  <c r="F7" i="8"/>
  <c r="D7" i="8"/>
  <c r="G7" i="8"/>
  <c r="S5" i="2"/>
  <c r="E128" i="9"/>
  <c r="F128" i="9" s="1" a="1"/>
  <c r="F128" i="9" s="1"/>
  <c r="G554" i="9"/>
  <c r="G553" i="9"/>
  <c r="G552" i="9"/>
  <c r="G551" i="9"/>
  <c r="G550" i="9"/>
  <c r="G549" i="9"/>
  <c r="G548" i="9"/>
  <c r="G547" i="9"/>
  <c r="G546" i="9"/>
  <c r="G545" i="9"/>
  <c r="G544" i="9"/>
  <c r="G543" i="9"/>
  <c r="G542" i="9"/>
  <c r="G541" i="9"/>
  <c r="G540" i="9"/>
  <c r="G539" i="9"/>
  <c r="G538" i="9"/>
  <c r="G537" i="9"/>
  <c r="G536" i="9"/>
  <c r="G535" i="9"/>
  <c r="G534" i="9"/>
  <c r="G533" i="9"/>
  <c r="G532" i="9"/>
  <c r="G531" i="9"/>
  <c r="G530" i="9"/>
  <c r="G529" i="9"/>
  <c r="G528" i="9"/>
  <c r="G527" i="9"/>
  <c r="G526" i="9"/>
  <c r="G525" i="9"/>
  <c r="G524" i="9"/>
  <c r="G523" i="9"/>
  <c r="G522" i="9"/>
  <c r="G521" i="9"/>
  <c r="G520" i="9"/>
  <c r="G519" i="9"/>
  <c r="G518" i="9"/>
  <c r="G517" i="9"/>
  <c r="G516" i="9"/>
  <c r="G515" i="9"/>
  <c r="G514" i="9"/>
  <c r="G513" i="9"/>
  <c r="G512" i="9"/>
  <c r="G511" i="9"/>
  <c r="G510" i="9"/>
  <c r="G509" i="9"/>
  <c r="G508" i="9"/>
  <c r="G507" i="9"/>
  <c r="G506" i="9"/>
  <c r="G505" i="9"/>
  <c r="G504" i="9"/>
  <c r="G503" i="9"/>
  <c r="G502" i="9"/>
  <c r="G501" i="9"/>
  <c r="G500" i="9"/>
  <c r="G499" i="9"/>
  <c r="G498" i="9"/>
  <c r="G497" i="9"/>
  <c r="G496" i="9"/>
  <c r="G495" i="9"/>
  <c r="G494" i="9"/>
  <c r="G493" i="9"/>
  <c r="G492" i="9"/>
  <c r="G491" i="9"/>
  <c r="G490" i="9"/>
  <c r="G489" i="9"/>
  <c r="G488" i="9"/>
  <c r="G487" i="9"/>
  <c r="G486" i="9"/>
  <c r="G485" i="9"/>
  <c r="G484" i="9"/>
  <c r="G483" i="9"/>
  <c r="G482" i="9"/>
  <c r="G481" i="9"/>
  <c r="G480" i="9"/>
  <c r="G479" i="9"/>
  <c r="G478" i="9"/>
  <c r="G477" i="9"/>
  <c r="G476" i="9"/>
  <c r="G475" i="9"/>
  <c r="G474" i="9"/>
  <c r="G473" i="9"/>
  <c r="G472" i="9"/>
  <c r="G471" i="9"/>
  <c r="G470" i="9"/>
  <c r="G469" i="9"/>
  <c r="G468" i="9"/>
  <c r="G467" i="9"/>
  <c r="G466" i="9"/>
  <c r="G465" i="9"/>
  <c r="G464" i="9"/>
  <c r="G463" i="9"/>
  <c r="G462" i="9"/>
  <c r="G461" i="9"/>
  <c r="G460" i="9"/>
  <c r="G459" i="9"/>
  <c r="G458" i="9"/>
  <c r="G457" i="9"/>
  <c r="G456" i="9"/>
  <c r="G455" i="9"/>
  <c r="G454" i="9"/>
  <c r="G453" i="9"/>
  <c r="G452" i="9"/>
  <c r="G451" i="9"/>
  <c r="G450" i="9"/>
  <c r="G449" i="9"/>
  <c r="G448" i="9"/>
  <c r="G447" i="9"/>
  <c r="G446" i="9"/>
  <c r="G445" i="9"/>
  <c r="G444" i="9"/>
  <c r="G443" i="9"/>
  <c r="G442" i="9"/>
  <c r="G441" i="9"/>
  <c r="G440" i="9"/>
  <c r="G439" i="9"/>
  <c r="G438" i="9"/>
  <c r="G437" i="9"/>
  <c r="G436" i="9"/>
  <c r="G435" i="9"/>
  <c r="G434" i="9"/>
  <c r="G433" i="9"/>
  <c r="G432" i="9"/>
  <c r="G431" i="9"/>
  <c r="G430" i="9"/>
  <c r="G429" i="9"/>
  <c r="G428" i="9"/>
  <c r="G427" i="9"/>
  <c r="G426" i="9"/>
  <c r="G425" i="9"/>
  <c r="G424" i="9"/>
  <c r="G423" i="9"/>
  <c r="G422" i="9"/>
  <c r="G421" i="9"/>
  <c r="G420" i="9"/>
  <c r="G419" i="9"/>
  <c r="G418" i="9"/>
  <c r="G417" i="9"/>
  <c r="G416" i="9"/>
  <c r="G415" i="9"/>
  <c r="G414" i="9"/>
  <c r="G413" i="9"/>
  <c r="G412" i="9"/>
  <c r="G411" i="9"/>
  <c r="G410" i="9"/>
  <c r="G409" i="9"/>
  <c r="G408" i="9"/>
  <c r="G407" i="9"/>
  <c r="G406" i="9"/>
  <c r="G405" i="9"/>
  <c r="G404" i="9"/>
  <c r="G403" i="9"/>
  <c r="G402" i="9"/>
  <c r="G401" i="9"/>
  <c r="G400" i="9"/>
  <c r="G399" i="9"/>
  <c r="G398" i="9"/>
  <c r="G397" i="9"/>
  <c r="G396" i="9"/>
  <c r="G395" i="9"/>
  <c r="G394" i="9"/>
  <c r="G393" i="9"/>
  <c r="G392" i="9"/>
  <c r="G391" i="9"/>
  <c r="G390" i="9"/>
  <c r="G389" i="9"/>
  <c r="G388" i="9"/>
  <c r="G387" i="9"/>
  <c r="G386" i="9"/>
  <c r="G385" i="9"/>
  <c r="G384" i="9"/>
  <c r="G383" i="9"/>
  <c r="G382" i="9"/>
  <c r="G381" i="9"/>
  <c r="G380" i="9"/>
  <c r="G379" i="9"/>
  <c r="G378" i="9"/>
  <c r="G377" i="9"/>
  <c r="G376" i="9"/>
  <c r="G375" i="9"/>
  <c r="G374" i="9"/>
  <c r="G373" i="9"/>
  <c r="G372" i="9"/>
  <c r="G371" i="9"/>
  <c r="G370" i="9"/>
  <c r="G369" i="9"/>
  <c r="G368" i="9"/>
  <c r="G367" i="9"/>
  <c r="G107" i="9"/>
  <c r="G340" i="9"/>
  <c r="G106" i="9"/>
  <c r="G365" i="9"/>
  <c r="G105" i="9"/>
  <c r="G273" i="9"/>
  <c r="G272" i="9"/>
  <c r="G104" i="9"/>
  <c r="G103" i="9"/>
  <c r="G271" i="9"/>
  <c r="G102" i="9"/>
  <c r="G101" i="9"/>
  <c r="G100" i="9"/>
  <c r="G364" i="9"/>
  <c r="G99" i="9"/>
  <c r="G98" i="9"/>
  <c r="G97" i="9"/>
  <c r="G96" i="9"/>
  <c r="G95" i="9"/>
  <c r="G339" i="9"/>
  <c r="G94" i="9"/>
  <c r="G270" i="9"/>
  <c r="G359" i="9"/>
  <c r="G338" i="9"/>
  <c r="G93" i="9"/>
  <c r="G92" i="9"/>
  <c r="G91" i="9"/>
  <c r="G90" i="9"/>
  <c r="G89" i="9"/>
  <c r="G363" i="9"/>
  <c r="G88" i="9"/>
  <c r="G87" i="9"/>
  <c r="G86" i="9"/>
  <c r="G85" i="9"/>
  <c r="G84" i="9"/>
  <c r="G83" i="9"/>
  <c r="G82" i="9"/>
  <c r="G81" i="9"/>
  <c r="G80" i="9"/>
  <c r="G79" i="9"/>
  <c r="G78" i="9"/>
  <c r="G269" i="9"/>
  <c r="G77" i="9"/>
  <c r="G76" i="9"/>
  <c r="G75" i="9"/>
  <c r="G74" i="9"/>
  <c r="G73" i="9"/>
  <c r="G268" i="9"/>
  <c r="G72" i="9"/>
  <c r="G71" i="9"/>
  <c r="G70" i="9"/>
  <c r="G69" i="9"/>
  <c r="G68" i="9"/>
  <c r="G67" i="9"/>
  <c r="G358" i="9"/>
  <c r="G66" i="9"/>
  <c r="G362" i="9"/>
  <c r="G65" i="9"/>
  <c r="G64" i="9"/>
  <c r="G63" i="9"/>
  <c r="G62" i="9"/>
  <c r="G61" i="9"/>
  <c r="G267" i="9"/>
  <c r="G60" i="9"/>
  <c r="G59" i="9"/>
  <c r="G266" i="9"/>
  <c r="G265" i="9"/>
  <c r="G58" i="9"/>
  <c r="G57" i="9"/>
  <c r="G264" i="9"/>
  <c r="G56" i="9"/>
  <c r="G180" i="9"/>
  <c r="G55" i="9"/>
  <c r="G179" i="9"/>
  <c r="G54" i="9"/>
  <c r="G53" i="9"/>
  <c r="G52" i="9"/>
  <c r="G51" i="9"/>
  <c r="G178" i="9"/>
  <c r="G50" i="9"/>
  <c r="G337" i="9"/>
  <c r="G49" i="9"/>
  <c r="G360" i="9"/>
  <c r="G177" i="9"/>
  <c r="G48" i="9"/>
  <c r="G47" i="9"/>
  <c r="G46" i="9"/>
  <c r="G45" i="9"/>
  <c r="G176" i="9"/>
  <c r="G44" i="9"/>
  <c r="G43" i="9"/>
  <c r="G175" i="9"/>
  <c r="G316" i="9"/>
  <c r="G42" i="9"/>
  <c r="G336" i="9"/>
  <c r="G41" i="9"/>
  <c r="G174" i="9"/>
  <c r="G173" i="9"/>
  <c r="G357" i="9"/>
  <c r="G315" i="9"/>
  <c r="G172" i="9"/>
  <c r="G40" i="9"/>
  <c r="G39" i="9"/>
  <c r="G171" i="9"/>
  <c r="G38" i="9"/>
  <c r="G356" i="9"/>
  <c r="G37" i="9"/>
  <c r="G36" i="9"/>
  <c r="G35" i="9"/>
  <c r="G34" i="9"/>
  <c r="G33" i="9"/>
  <c r="G361" i="9"/>
  <c r="G32" i="9"/>
  <c r="G31" i="9"/>
  <c r="G30" i="9"/>
  <c r="G335" i="9"/>
  <c r="G170" i="9"/>
  <c r="G169" i="9"/>
  <c r="G29" i="9"/>
  <c r="G28" i="9"/>
  <c r="G27" i="9"/>
  <c r="G26" i="9"/>
  <c r="G25" i="9"/>
  <c r="G24" i="9"/>
  <c r="G322" i="9"/>
  <c r="G23" i="9"/>
  <c r="G302" i="9"/>
  <c r="G215" i="9"/>
  <c r="G301" i="9"/>
  <c r="G300" i="9"/>
  <c r="G263" i="9"/>
  <c r="G137" i="9"/>
  <c r="G136" i="9"/>
  <c r="G22" i="9"/>
  <c r="G350" i="9"/>
  <c r="G262" i="9"/>
  <c r="G21" i="9"/>
  <c r="G20" i="9"/>
  <c r="G299" i="9"/>
  <c r="G261" i="9"/>
  <c r="G298" i="9"/>
  <c r="G19" i="9"/>
  <c r="G214" i="9"/>
  <c r="G18" i="9"/>
  <c r="G213" i="9"/>
  <c r="G17" i="9"/>
  <c r="G349" i="9"/>
  <c r="G135" i="9"/>
  <c r="G134" i="9"/>
  <c r="G16" i="9"/>
  <c r="G15" i="9"/>
  <c r="G14" i="9"/>
  <c r="G348" i="9"/>
  <c r="G133" i="9"/>
  <c r="G13" i="9"/>
  <c r="G260" i="9"/>
  <c r="G334" i="9"/>
  <c r="G289" i="9"/>
  <c r="G259" i="9"/>
  <c r="G168" i="9"/>
  <c r="G288" i="9"/>
  <c r="G127" i="9"/>
  <c r="G12" i="9"/>
  <c r="G126" i="9"/>
  <c r="G167" i="9"/>
  <c r="G333" i="9"/>
  <c r="G11" i="9"/>
  <c r="G212" i="9"/>
  <c r="G314" i="9"/>
  <c r="G10" i="9"/>
  <c r="G9" i="9"/>
  <c r="G332" i="9"/>
  <c r="G125" i="9"/>
  <c r="G258" i="9"/>
  <c r="G166" i="9"/>
  <c r="G8" i="9"/>
  <c r="G309" i="9"/>
  <c r="G257" i="9"/>
  <c r="G308" i="9"/>
  <c r="G124" i="9"/>
  <c r="G7" i="9"/>
  <c r="G123" i="9"/>
  <c r="G150" i="9"/>
  <c r="G198" i="9"/>
  <c r="G6" i="9"/>
  <c r="G354" i="9"/>
  <c r="G287" i="9"/>
  <c r="G331" i="9"/>
  <c r="G233" i="9"/>
  <c r="G149" i="9"/>
  <c r="G232" i="9"/>
  <c r="G330" i="9"/>
  <c r="G122" i="9"/>
  <c r="G197" i="9"/>
  <c r="G231" i="9"/>
  <c r="G121" i="9"/>
  <c r="G355" i="9"/>
  <c r="G196" i="9"/>
  <c r="G324" i="9"/>
  <c r="G211" i="9"/>
  <c r="G230" i="9"/>
  <c r="G165" i="9"/>
  <c r="G164" i="9"/>
  <c r="G313" i="9"/>
  <c r="G120" i="9"/>
  <c r="G256" i="9"/>
  <c r="G5" i="9"/>
  <c r="G353" i="9"/>
  <c r="G255" i="9"/>
  <c r="G329" i="9"/>
  <c r="G286" i="9"/>
  <c r="G210" i="9"/>
  <c r="G229" i="9"/>
  <c r="G163" i="9"/>
  <c r="G132" i="9"/>
  <c r="G4" i="9"/>
  <c r="G328" i="9"/>
  <c r="G320" i="9"/>
  <c r="G195" i="9"/>
  <c r="G194" i="9"/>
  <c r="G112" i="9"/>
  <c r="G193" i="9"/>
  <c r="G111" i="9"/>
  <c r="G246" i="9"/>
  <c r="G119" i="9"/>
  <c r="G245" i="9"/>
  <c r="G343" i="9"/>
  <c r="G110" i="9"/>
  <c r="G209" i="9"/>
  <c r="G312" i="9"/>
  <c r="G327" i="9"/>
  <c r="G118" i="9"/>
  <c r="G254" i="9"/>
  <c r="G192" i="9"/>
  <c r="G208" i="9"/>
  <c r="G228" i="9"/>
  <c r="G227" i="9"/>
  <c r="G244" i="9"/>
  <c r="G3" i="9"/>
  <c r="G131" i="9"/>
  <c r="G2" i="9"/>
  <c r="G130" i="9"/>
  <c r="G297" i="9"/>
  <c r="G319" i="9"/>
  <c r="G191" i="9"/>
  <c r="G253" i="9"/>
  <c r="G307" i="9"/>
  <c r="G148" i="9"/>
  <c r="G345" i="9"/>
  <c r="G207" i="9"/>
  <c r="G282" i="9"/>
  <c r="G243" i="9"/>
  <c r="G344" i="9"/>
  <c r="G311" i="9"/>
  <c r="G117" i="9"/>
  <c r="G242" i="9"/>
  <c r="G147" i="9"/>
  <c r="G206" i="9"/>
  <c r="G116" i="9"/>
  <c r="G226" i="9"/>
  <c r="G342" i="9"/>
  <c r="G205" i="9"/>
  <c r="G190" i="9"/>
  <c r="G146" i="9"/>
  <c r="G204" i="9"/>
  <c r="G225" i="9"/>
  <c r="G252" i="9"/>
  <c r="G224" i="9"/>
  <c r="G115" i="9"/>
  <c r="G162" i="9"/>
  <c r="G321" i="9"/>
  <c r="G241" i="9"/>
  <c r="G161" i="9"/>
  <c r="G203" i="9"/>
  <c r="G145" i="9"/>
  <c r="G306" i="9"/>
  <c r="G326" i="9"/>
  <c r="G347" i="9"/>
  <c r="G323" i="9"/>
  <c r="G144" i="9"/>
  <c r="G143" i="9"/>
  <c r="G202" i="9"/>
  <c r="G142" i="9"/>
  <c r="G201" i="9"/>
  <c r="G109" i="9"/>
  <c r="G200" i="9"/>
  <c r="G240" i="9"/>
  <c r="G281" i="9"/>
  <c r="G280" i="9"/>
  <c r="G366" i="9"/>
  <c r="G108" i="9"/>
  <c r="G239" i="9"/>
  <c r="G310" i="9"/>
  <c r="G238" i="9"/>
  <c r="G296" i="9"/>
  <c r="G346" i="9"/>
  <c r="G295" i="9"/>
  <c r="G189" i="9"/>
  <c r="G114" i="9"/>
  <c r="G305" i="9"/>
  <c r="G304" i="9"/>
  <c r="G352" i="9"/>
  <c r="G188" i="9"/>
  <c r="G279" i="9"/>
  <c r="G294" i="9"/>
  <c r="G351" i="9"/>
  <c r="G187" i="9"/>
  <c r="G141" i="9"/>
  <c r="G223" i="9"/>
  <c r="G318" i="9"/>
  <c r="G303" i="9"/>
  <c r="G285" i="9"/>
  <c r="G222" i="9"/>
  <c r="G186" i="9"/>
  <c r="G251" i="9"/>
  <c r="G278" i="9"/>
  <c r="G317" i="9"/>
  <c r="G185" i="9"/>
  <c r="G293" i="9"/>
  <c r="G184" i="9"/>
  <c r="G221" i="9"/>
  <c r="G284" i="9"/>
  <c r="G220" i="9"/>
  <c r="G219" i="9"/>
  <c r="G250" i="9"/>
  <c r="G292" i="9"/>
  <c r="G160" i="9"/>
  <c r="G237" i="9"/>
  <c r="G277" i="9"/>
  <c r="G159" i="9"/>
  <c r="G158" i="9"/>
  <c r="G183" i="9"/>
  <c r="G157" i="9"/>
  <c r="G182" i="9"/>
  <c r="G140" i="9"/>
  <c r="G249" i="9"/>
  <c r="G236" i="9"/>
  <c r="G113" i="9"/>
  <c r="G218" i="9"/>
  <c r="G217" i="9"/>
  <c r="G156" i="9"/>
  <c r="G181" i="9"/>
  <c r="G291" i="9"/>
  <c r="G248" i="9"/>
  <c r="G325" i="9"/>
  <c r="G276" i="9"/>
  <c r="G155" i="9"/>
  <c r="G290" i="9"/>
  <c r="G216" i="9"/>
  <c r="G275" i="9"/>
  <c r="G154" i="9"/>
  <c r="G247" i="9"/>
  <c r="G153" i="9"/>
  <c r="G274" i="9"/>
  <c r="G139" i="9"/>
  <c r="G138" i="9"/>
  <c r="G341" i="9"/>
  <c r="G235" i="9"/>
  <c r="G152" i="9"/>
  <c r="G283" i="9"/>
  <c r="G129" i="9"/>
  <c r="G234" i="9"/>
  <c r="G151" i="9"/>
  <c r="G199" i="9"/>
  <c r="G128" i="9"/>
  <c r="B554" i="9"/>
  <c r="B553" i="9"/>
  <c r="B552" i="9"/>
  <c r="B551" i="9"/>
  <c r="B550" i="9"/>
  <c r="B549" i="9"/>
  <c r="B548" i="9"/>
  <c r="B547" i="9"/>
  <c r="B546" i="9"/>
  <c r="B545" i="9"/>
  <c r="B544" i="9"/>
  <c r="B543" i="9"/>
  <c r="B542" i="9"/>
  <c r="B541" i="9"/>
  <c r="B540" i="9"/>
  <c r="B539" i="9"/>
  <c r="B538" i="9"/>
  <c r="B537" i="9"/>
  <c r="B536" i="9"/>
  <c r="B535" i="9"/>
  <c r="B534" i="9"/>
  <c r="B533" i="9"/>
  <c r="B532" i="9"/>
  <c r="B531" i="9"/>
  <c r="B530" i="9"/>
  <c r="B529" i="9"/>
  <c r="B528" i="9"/>
  <c r="B527" i="9"/>
  <c r="B526" i="9"/>
  <c r="B525" i="9"/>
  <c r="B524" i="9"/>
  <c r="B523" i="9"/>
  <c r="B522" i="9"/>
  <c r="B521" i="9"/>
  <c r="B520" i="9"/>
  <c r="B519" i="9"/>
  <c r="B518" i="9"/>
  <c r="B517" i="9"/>
  <c r="B516" i="9"/>
  <c r="B515" i="9"/>
  <c r="B514" i="9"/>
  <c r="B513" i="9"/>
  <c r="B512" i="9"/>
  <c r="B511" i="9"/>
  <c r="B510" i="9"/>
  <c r="B509" i="9"/>
  <c r="B508" i="9"/>
  <c r="B507" i="9"/>
  <c r="B506" i="9"/>
  <c r="B107" i="9"/>
  <c r="B340" i="9"/>
  <c r="B106" i="9"/>
  <c r="B365" i="9"/>
  <c r="B105" i="9"/>
  <c r="B273" i="9"/>
  <c r="B272" i="9"/>
  <c r="B104" i="9"/>
  <c r="B103" i="9"/>
  <c r="B271" i="9"/>
  <c r="B102" i="9"/>
  <c r="B101" i="9"/>
  <c r="B100" i="9"/>
  <c r="B364" i="9"/>
  <c r="B99" i="9"/>
  <c r="B98" i="9"/>
  <c r="B97" i="9"/>
  <c r="B96" i="9"/>
  <c r="B95" i="9"/>
  <c r="B339" i="9"/>
  <c r="B94" i="9"/>
  <c r="B270" i="9"/>
  <c r="B359" i="9"/>
  <c r="B338" i="9"/>
  <c r="B93" i="9"/>
  <c r="B92" i="9"/>
  <c r="B91" i="9"/>
  <c r="B90" i="9"/>
  <c r="B89" i="9"/>
  <c r="B363" i="9"/>
  <c r="B88" i="9"/>
  <c r="B180" i="9"/>
  <c r="B55" i="9"/>
  <c r="B179" i="9"/>
  <c r="B54" i="9"/>
  <c r="B53" i="9"/>
  <c r="B52" i="9"/>
  <c r="B51" i="9"/>
  <c r="B178" i="9"/>
  <c r="B50" i="9"/>
  <c r="B337" i="9"/>
  <c r="B49" i="9"/>
  <c r="B360" i="9"/>
  <c r="B177" i="9"/>
  <c r="B48" i="9"/>
  <c r="B47" i="9"/>
  <c r="B322" i="9"/>
  <c r="B23" i="9"/>
  <c r="B302" i="9"/>
  <c r="B215" i="9"/>
  <c r="B301" i="9"/>
  <c r="B300" i="9"/>
  <c r="B263" i="9"/>
  <c r="B137" i="9"/>
  <c r="B136" i="9"/>
  <c r="B22" i="9"/>
  <c r="B260" i="9"/>
  <c r="B334" i="9"/>
  <c r="B289" i="9"/>
  <c r="B259" i="9"/>
  <c r="B168" i="9"/>
  <c r="B288" i="9"/>
  <c r="B127" i="9"/>
  <c r="B309" i="9"/>
  <c r="B257" i="9"/>
  <c r="B308" i="9"/>
  <c r="B124" i="9"/>
  <c r="B7" i="9"/>
  <c r="B123" i="9"/>
  <c r="B150" i="9"/>
  <c r="B211" i="9"/>
  <c r="B230" i="9"/>
  <c r="B165" i="9"/>
  <c r="B164" i="9"/>
  <c r="B328" i="9"/>
  <c r="B246" i="9"/>
  <c r="B119" i="9"/>
  <c r="B245" i="9"/>
  <c r="B254" i="9"/>
  <c r="B130" i="9"/>
  <c r="B297" i="9"/>
  <c r="B319" i="9"/>
  <c r="B344" i="9"/>
  <c r="B311" i="9"/>
  <c r="B147" i="9"/>
  <c r="B206" i="9"/>
  <c r="B116" i="9"/>
  <c r="B252" i="9"/>
  <c r="B224" i="9"/>
  <c r="B203" i="9"/>
  <c r="B323" i="9"/>
  <c r="B143" i="9"/>
  <c r="B202" i="9"/>
  <c r="B109" i="9"/>
  <c r="B200" i="9"/>
  <c r="B108" i="9"/>
  <c r="B239" i="9"/>
  <c r="B310" i="9"/>
  <c r="B346" i="9"/>
  <c r="B114" i="9"/>
  <c r="B305" i="9"/>
  <c r="B222" i="9"/>
  <c r="B284" i="9"/>
  <c r="B220" i="9"/>
  <c r="B237" i="9"/>
  <c r="B159" i="9"/>
  <c r="B158" i="9"/>
  <c r="B157" i="9"/>
  <c r="B249" i="9"/>
  <c r="B217" i="9"/>
  <c r="B248" i="9"/>
  <c r="B275" i="9"/>
  <c r="B154" i="9"/>
  <c r="I13" i="9"/>
  <c r="H13" i="9" s="1" a="1"/>
  <c r="H13" i="9" s="1"/>
  <c r="I367" i="9"/>
  <c r="H367" i="9" s="1" a="1"/>
  <c r="H367" i="9" s="1"/>
  <c r="I2" i="9"/>
  <c r="H2" i="9" s="1" a="1"/>
  <c r="H2" i="9" s="1"/>
  <c r="I131" i="9"/>
  <c r="H131" i="9" s="1" a="1"/>
  <c r="H131" i="9" s="1"/>
  <c r="I3" i="9"/>
  <c r="H3" i="9" s="1" a="1"/>
  <c r="H3" i="9" s="1"/>
  <c r="I368" i="9"/>
  <c r="H368" i="9" s="1" a="1"/>
  <c r="H368" i="9" s="1"/>
  <c r="I56" i="9"/>
  <c r="H56" i="9" s="1" a="1"/>
  <c r="H56" i="9" s="1"/>
  <c r="I324" i="9"/>
  <c r="H324" i="9" s="1" a="1"/>
  <c r="H324" i="9" s="1"/>
  <c r="I369" i="9"/>
  <c r="H369" i="9" s="1" a="1"/>
  <c r="H369" i="9" s="1"/>
  <c r="I370" i="9"/>
  <c r="H370" i="9" s="1" a="1"/>
  <c r="H370" i="9" s="1"/>
  <c r="I371" i="9"/>
  <c r="H371" i="9" s="1" a="1"/>
  <c r="H371" i="9" s="1"/>
  <c r="I372" i="9"/>
  <c r="H372" i="9" s="1" a="1"/>
  <c r="H372" i="9" s="1"/>
  <c r="I277" i="9"/>
  <c r="H277" i="9" s="1" a="1"/>
  <c r="H277" i="9" s="1"/>
  <c r="I264" i="9"/>
  <c r="H264" i="9" s="1" a="1"/>
  <c r="H264" i="9" s="1"/>
  <c r="I373" i="9"/>
  <c r="H373" i="9" s="1" a="1"/>
  <c r="H373" i="9" s="1"/>
  <c r="I374" i="9"/>
  <c r="H374" i="9" s="1" a="1"/>
  <c r="H374" i="9" s="1"/>
  <c r="I201" i="9"/>
  <c r="H201" i="9" s="1" a="1"/>
  <c r="H201" i="9" s="1"/>
  <c r="I57" i="9"/>
  <c r="H57" i="9" s="1" a="1"/>
  <c r="H57" i="9" s="1"/>
  <c r="I58" i="9"/>
  <c r="H58" i="9" s="1" a="1"/>
  <c r="H58" i="9" s="1"/>
  <c r="I303" i="9"/>
  <c r="H303" i="9" s="1" a="1"/>
  <c r="H303" i="9" s="1"/>
  <c r="I189" i="9"/>
  <c r="H189" i="9" s="1" a="1"/>
  <c r="H189" i="9" s="1"/>
  <c r="I133" i="9"/>
  <c r="H133" i="9" s="1" a="1"/>
  <c r="H133" i="9" s="1"/>
  <c r="I375" i="9"/>
  <c r="H375" i="9" s="1" a="1"/>
  <c r="H375" i="9" s="1"/>
  <c r="I376" i="9"/>
  <c r="H376" i="9" s="1" a="1"/>
  <c r="H376" i="9" s="1"/>
  <c r="I347" i="9"/>
  <c r="H347" i="9" s="1" a="1"/>
  <c r="H347" i="9" s="1"/>
  <c r="I196" i="9"/>
  <c r="H196" i="9" s="1" a="1"/>
  <c r="H196" i="9" s="1"/>
  <c r="I265" i="9"/>
  <c r="H265" i="9" s="1" a="1"/>
  <c r="H265" i="9" s="1"/>
  <c r="I8" i="9"/>
  <c r="H8" i="9" s="1" a="1"/>
  <c r="H8" i="9" s="1"/>
  <c r="I377" i="9"/>
  <c r="H377" i="9" s="1" a="1"/>
  <c r="H377" i="9" s="1"/>
  <c r="I378" i="9"/>
  <c r="H378" i="9" s="1" a="1"/>
  <c r="H378" i="9" s="1"/>
  <c r="I325" i="9"/>
  <c r="H325" i="9" s="1" a="1"/>
  <c r="H325" i="9" s="1"/>
  <c r="I379" i="9"/>
  <c r="H379" i="9" s="1" a="1"/>
  <c r="H379" i="9" s="1"/>
  <c r="I380" i="9"/>
  <c r="H380" i="9" s="1" a="1"/>
  <c r="H380" i="9" s="1"/>
  <c r="I243" i="9"/>
  <c r="H243" i="9" s="1" a="1"/>
  <c r="H243" i="9" s="1"/>
  <c r="I381" i="9"/>
  <c r="H381" i="9" s="1" a="1"/>
  <c r="H381" i="9" s="1"/>
  <c r="I166" i="9"/>
  <c r="H166" i="9" s="1" a="1"/>
  <c r="H166" i="9" s="1"/>
  <c r="I216" i="9"/>
  <c r="H216" i="9" s="1" a="1"/>
  <c r="H216" i="9" s="1"/>
  <c r="I244" i="9"/>
  <c r="H244" i="9" s="1" a="1"/>
  <c r="H244" i="9" s="1"/>
  <c r="I258" i="9"/>
  <c r="H258" i="9" s="1" a="1"/>
  <c r="H258" i="9" s="1"/>
  <c r="I382" i="9"/>
  <c r="H382" i="9" s="1" a="1"/>
  <c r="H382" i="9" s="1"/>
  <c r="I266" i="9"/>
  <c r="H266" i="9" s="1" a="1"/>
  <c r="H266" i="9" s="1"/>
  <c r="I125" i="9"/>
  <c r="H125" i="9" s="1" a="1"/>
  <c r="H125" i="9" s="1"/>
  <c r="I383" i="9"/>
  <c r="H383" i="9" s="1" a="1"/>
  <c r="H383" i="9" s="1"/>
  <c r="I24" i="9"/>
  <c r="H24" i="9" s="1" a="1"/>
  <c r="H24" i="9" s="1"/>
  <c r="I348" i="9"/>
  <c r="H348" i="9" s="1" a="1"/>
  <c r="H348" i="9" s="1"/>
  <c r="I355" i="9"/>
  <c r="H355" i="9" s="1" a="1"/>
  <c r="H355" i="9" s="1"/>
  <c r="I25" i="9"/>
  <c r="H25" i="9" s="1" a="1"/>
  <c r="H25" i="9" s="1"/>
  <c r="I384" i="9"/>
  <c r="H384" i="9" s="1" a="1"/>
  <c r="H384" i="9" s="1"/>
  <c r="I385" i="9"/>
  <c r="H385" i="9" s="1" a="1"/>
  <c r="H385" i="9" s="1"/>
  <c r="I153" i="9"/>
  <c r="H153" i="9" s="1" a="1"/>
  <c r="H153" i="9" s="1"/>
  <c r="I386" i="9"/>
  <c r="H386" i="9" s="1" a="1"/>
  <c r="H386" i="9" s="1"/>
  <c r="I387" i="9"/>
  <c r="H387" i="9" s="1" a="1"/>
  <c r="H387" i="9" s="1"/>
  <c r="I59" i="9"/>
  <c r="H59" i="9" s="1" a="1"/>
  <c r="H59" i="9" s="1"/>
  <c r="I388" i="9"/>
  <c r="H388" i="9" s="1" a="1"/>
  <c r="H388" i="9" s="1"/>
  <c r="I389" i="9"/>
  <c r="H389" i="9" s="1" a="1"/>
  <c r="H389" i="9" s="1"/>
  <c r="I60" i="9"/>
  <c r="H60" i="9" s="1" a="1"/>
  <c r="H60" i="9" s="1"/>
  <c r="I152" i="9"/>
  <c r="H152" i="9" s="1" a="1"/>
  <c r="H152" i="9" s="1"/>
  <c r="I121" i="9"/>
  <c r="H121" i="9" s="1" a="1"/>
  <c r="H121" i="9" s="1"/>
  <c r="I267" i="9"/>
  <c r="H267" i="9" s="1" a="1"/>
  <c r="H267" i="9" s="1"/>
  <c r="I390" i="9"/>
  <c r="H390" i="9" s="1" a="1"/>
  <c r="H390" i="9" s="1"/>
  <c r="I278" i="9"/>
  <c r="H278" i="9" s="1" a="1"/>
  <c r="H278" i="9" s="1"/>
  <c r="I14" i="9"/>
  <c r="H14" i="9" s="1" a="1"/>
  <c r="H14" i="9" s="1"/>
  <c r="I61" i="9"/>
  <c r="H61" i="9" s="1" a="1"/>
  <c r="H61" i="9" s="1"/>
  <c r="I282" i="9"/>
  <c r="H282" i="9" s="1" a="1"/>
  <c r="H282" i="9" s="1"/>
  <c r="I391" i="9"/>
  <c r="H391" i="9" s="1" a="1"/>
  <c r="H391" i="9" s="1"/>
  <c r="I392" i="9"/>
  <c r="H392" i="9" s="1" a="1"/>
  <c r="H392" i="9" s="1"/>
  <c r="I4" i="9"/>
  <c r="H4" i="9" s="1" a="1"/>
  <c r="H4" i="9" s="1"/>
  <c r="I393" i="9"/>
  <c r="H393" i="9" s="1" a="1"/>
  <c r="H393" i="9" s="1"/>
  <c r="I111" i="9"/>
  <c r="H111" i="9" s="1" a="1"/>
  <c r="H111" i="9" s="1"/>
  <c r="I15" i="9"/>
  <c r="H15" i="9" s="1" a="1"/>
  <c r="H15" i="9" s="1"/>
  <c r="I193" i="9"/>
  <c r="H193" i="9" s="1" a="1"/>
  <c r="H193" i="9" s="1"/>
  <c r="I140" i="9"/>
  <c r="H140" i="9" s="1" a="1"/>
  <c r="H140" i="9" s="1"/>
  <c r="I394" i="9"/>
  <c r="H394" i="9" s="1" a="1"/>
  <c r="H394" i="9" s="1"/>
  <c r="I395" i="9"/>
  <c r="H395" i="9" s="1" a="1"/>
  <c r="H395" i="9" s="1"/>
  <c r="I16" i="9"/>
  <c r="H16" i="9" s="1" a="1"/>
  <c r="H16" i="9" s="1"/>
  <c r="I62" i="9"/>
  <c r="H62" i="9" s="1" a="1"/>
  <c r="H62" i="9" s="1"/>
  <c r="I231" i="9"/>
  <c r="H231" i="9" s="1" a="1"/>
  <c r="H231" i="9" s="1"/>
  <c r="I187" i="9"/>
  <c r="H187" i="9" s="1" a="1"/>
  <c r="H187" i="9" s="1"/>
  <c r="I247" i="9"/>
  <c r="H247" i="9" s="1" a="1"/>
  <c r="H247" i="9" s="1"/>
  <c r="I63" i="9"/>
  <c r="H63" i="9" s="1" a="1"/>
  <c r="H63" i="9" s="1"/>
  <c r="I396" i="9"/>
  <c r="H396" i="9" s="1" a="1"/>
  <c r="H396" i="9" s="1"/>
  <c r="I26" i="9"/>
  <c r="H26" i="9" s="1" a="1"/>
  <c r="H26" i="9" s="1"/>
  <c r="I397" i="9"/>
  <c r="H397" i="9" s="1" a="1"/>
  <c r="H397" i="9" s="1"/>
  <c r="I290" i="9"/>
  <c r="H290" i="9" s="1" a="1"/>
  <c r="H290" i="9" s="1"/>
  <c r="I161" i="9"/>
  <c r="H161" i="9" s="1" a="1"/>
  <c r="H161" i="9" s="1"/>
  <c r="I142" i="9"/>
  <c r="H142" i="9" s="1" a="1"/>
  <c r="H142" i="9" s="1"/>
  <c r="I279" i="9"/>
  <c r="H279" i="9" s="1" a="1"/>
  <c r="H279" i="9" s="1"/>
  <c r="I241" i="9"/>
  <c r="H241" i="9" s="1" a="1"/>
  <c r="H241" i="9" s="1"/>
  <c r="I185" i="9"/>
  <c r="H185" i="9" s="1" a="1"/>
  <c r="H185" i="9" s="1"/>
  <c r="I181" i="9"/>
  <c r="H181" i="9" s="1" a="1"/>
  <c r="H181" i="9" s="1"/>
  <c r="I398" i="9"/>
  <c r="H398" i="9" s="1" a="1"/>
  <c r="H398" i="9" s="1"/>
  <c r="I225" i="9"/>
  <c r="H225" i="9" s="1" a="1"/>
  <c r="H225" i="9" s="1"/>
  <c r="I399" i="9"/>
  <c r="H399" i="9" s="1" a="1"/>
  <c r="H399" i="9" s="1"/>
  <c r="I27" i="9"/>
  <c r="H27" i="9" s="1" a="1"/>
  <c r="H27" i="9" s="1"/>
  <c r="I400" i="9"/>
  <c r="H400" i="9" s="1" a="1"/>
  <c r="H400" i="9" s="1"/>
  <c r="I318" i="9"/>
  <c r="H318" i="9" s="1" a="1"/>
  <c r="H318" i="9" s="1"/>
  <c r="I401" i="9"/>
  <c r="H401" i="9" s="1" a="1"/>
  <c r="H401" i="9" s="1"/>
  <c r="I402" i="9"/>
  <c r="H402" i="9" s="1" a="1"/>
  <c r="H402" i="9" s="1"/>
  <c r="I403" i="9"/>
  <c r="H403" i="9" s="1" a="1"/>
  <c r="H403" i="9" s="1"/>
  <c r="I404" i="9"/>
  <c r="H404" i="9" s="1" a="1"/>
  <c r="H404" i="9" s="1"/>
  <c r="I405" i="9"/>
  <c r="H405" i="9" s="1" a="1"/>
  <c r="H405" i="9" s="1"/>
  <c r="I132" i="9"/>
  <c r="H132" i="9" s="1" a="1"/>
  <c r="H132" i="9" s="1"/>
  <c r="I406" i="9"/>
  <c r="H406" i="9" s="1" a="1"/>
  <c r="H406" i="9" s="1"/>
  <c r="I407" i="9"/>
  <c r="H407" i="9" s="1" a="1"/>
  <c r="H407" i="9" s="1"/>
  <c r="I408" i="9"/>
  <c r="H408" i="9" s="1" a="1"/>
  <c r="H408" i="9" s="1"/>
  <c r="I151" i="9"/>
  <c r="H151" i="9" s="1" a="1"/>
  <c r="H151" i="9" s="1"/>
  <c r="I28" i="9"/>
  <c r="H28" i="9" s="1" a="1"/>
  <c r="H28" i="9" s="1"/>
  <c r="I227" i="9"/>
  <c r="H227" i="9" s="1" a="1"/>
  <c r="H227" i="9" s="1"/>
  <c r="I409" i="9"/>
  <c r="H409" i="9" s="1" a="1"/>
  <c r="H409" i="9" s="1"/>
  <c r="I283" i="9"/>
  <c r="H283" i="9" s="1" a="1"/>
  <c r="H283" i="9" s="1"/>
  <c r="I410" i="9"/>
  <c r="H410" i="9" s="1" a="1"/>
  <c r="H410" i="9" s="1"/>
  <c r="I411" i="9"/>
  <c r="H411" i="9" s="1" a="1"/>
  <c r="H411" i="9" s="1"/>
  <c r="I326" i="9"/>
  <c r="H326" i="9" s="1" a="1"/>
  <c r="H326" i="9" s="1"/>
  <c r="I412" i="9"/>
  <c r="H412" i="9" s="1" a="1"/>
  <c r="H412" i="9" s="1"/>
  <c r="I204" i="9"/>
  <c r="H204" i="9" s="1" a="1"/>
  <c r="H204" i="9" s="1"/>
  <c r="I156" i="9"/>
  <c r="H156" i="9" s="1" a="1"/>
  <c r="H156" i="9" s="1"/>
  <c r="I413" i="9"/>
  <c r="H413" i="9" s="1" a="1"/>
  <c r="H413" i="9" s="1"/>
  <c r="I414" i="9"/>
  <c r="H414" i="9" s="1" a="1"/>
  <c r="H414" i="9" s="1"/>
  <c r="I291" i="9"/>
  <c r="H291" i="9" s="1" a="1"/>
  <c r="H291" i="9" s="1"/>
  <c r="I113" i="9"/>
  <c r="H113" i="9" s="1" a="1"/>
  <c r="H113" i="9" s="1"/>
  <c r="I184" i="9"/>
  <c r="H184" i="9" s="1" a="1"/>
  <c r="H184" i="9" s="1"/>
  <c r="I118" i="9"/>
  <c r="H118" i="9" s="1" a="1"/>
  <c r="H118" i="9" s="1"/>
  <c r="I285" i="9"/>
  <c r="H285" i="9" s="1" a="1"/>
  <c r="H285" i="9" s="1"/>
  <c r="I223" i="9"/>
  <c r="H223" i="9" s="1" a="1"/>
  <c r="H223" i="9" s="1"/>
  <c r="I146" i="9"/>
  <c r="H146" i="9" s="1" a="1"/>
  <c r="H146" i="9" s="1"/>
  <c r="I138" i="9"/>
  <c r="H138" i="9" s="1" a="1"/>
  <c r="H138" i="9" s="1"/>
  <c r="I64" i="9"/>
  <c r="H64" i="9" s="1" a="1"/>
  <c r="H64" i="9" s="1"/>
  <c r="I332" i="9"/>
  <c r="H332" i="9" s="1" a="1"/>
  <c r="H332" i="9" s="1"/>
  <c r="I190" i="9"/>
  <c r="H190" i="9" s="1" a="1"/>
  <c r="H190" i="9" s="1"/>
  <c r="I65" i="9"/>
  <c r="H65" i="9" s="1" a="1"/>
  <c r="H65" i="9" s="1"/>
  <c r="I415" i="9"/>
  <c r="H415" i="9" s="1" a="1"/>
  <c r="H415" i="9" s="1"/>
  <c r="I197" i="9"/>
  <c r="H197" i="9" s="1" a="1"/>
  <c r="H197" i="9" s="1"/>
  <c r="I321" i="9"/>
  <c r="H321" i="9" s="1" a="1"/>
  <c r="H321" i="9" s="1"/>
  <c r="I205" i="9"/>
  <c r="H205" i="9" s="1" a="1"/>
  <c r="H205" i="9" s="1"/>
  <c r="I134" i="9"/>
  <c r="H134" i="9" s="1" a="1"/>
  <c r="H134" i="9" s="1"/>
  <c r="I221" i="9"/>
  <c r="H221" i="9" s="1" a="1"/>
  <c r="H221" i="9" s="1"/>
  <c r="I416" i="9"/>
  <c r="H416" i="9" s="1" a="1"/>
  <c r="H416" i="9" s="1"/>
  <c r="I188" i="9"/>
  <c r="H188" i="9" s="1" a="1"/>
  <c r="H188" i="9" s="1"/>
  <c r="I29" i="9"/>
  <c r="H29" i="9" s="1" a="1"/>
  <c r="H29" i="9" s="1"/>
  <c r="I129" i="9"/>
  <c r="H129" i="9" s="1" a="1"/>
  <c r="H129" i="9" s="1"/>
  <c r="I417" i="9"/>
  <c r="H417" i="9" s="1" a="1"/>
  <c r="H417" i="9" s="1"/>
  <c r="I207" i="9"/>
  <c r="H207" i="9" s="1" a="1"/>
  <c r="H207" i="9" s="1"/>
  <c r="I418" i="9"/>
  <c r="H418" i="9" s="1" a="1"/>
  <c r="H418" i="9" s="1"/>
  <c r="I135" i="9"/>
  <c r="H135" i="9" s="1" a="1"/>
  <c r="H135" i="9" s="1"/>
  <c r="I419" i="9"/>
  <c r="H419" i="9" s="1" a="1"/>
  <c r="H419" i="9" s="1"/>
  <c r="I420" i="9"/>
  <c r="H420" i="9" s="1" a="1"/>
  <c r="H420" i="9" s="1"/>
  <c r="I366" i="9"/>
  <c r="H366" i="9" s="1" a="1"/>
  <c r="H366" i="9" s="1"/>
  <c r="I183" i="9"/>
  <c r="H183" i="9" s="1" a="1"/>
  <c r="H183" i="9" s="1"/>
  <c r="I9" i="9"/>
  <c r="H9" i="9" s="1" a="1"/>
  <c r="H9" i="9" s="1"/>
  <c r="I421" i="9"/>
  <c r="H421" i="9" s="1" a="1"/>
  <c r="H421" i="9" s="1"/>
  <c r="I362" i="9"/>
  <c r="H362" i="9" s="1" a="1"/>
  <c r="H362" i="9" s="1"/>
  <c r="I155" i="9"/>
  <c r="H155" i="9" s="1" a="1"/>
  <c r="H155" i="9" s="1"/>
  <c r="I422" i="9"/>
  <c r="H422" i="9" s="1" a="1"/>
  <c r="H422" i="9" s="1"/>
  <c r="I423" i="9"/>
  <c r="H423" i="9" s="1" a="1"/>
  <c r="H423" i="9" s="1"/>
  <c r="I160" i="9"/>
  <c r="H160" i="9" s="1" a="1"/>
  <c r="H160" i="9" s="1"/>
  <c r="I424" i="9"/>
  <c r="H424" i="9" s="1" a="1"/>
  <c r="H424" i="9" s="1"/>
  <c r="I425" i="9"/>
  <c r="H425" i="9" s="1" a="1"/>
  <c r="H425" i="9" s="1"/>
  <c r="I426" i="9"/>
  <c r="H426" i="9" s="1" a="1"/>
  <c r="H426" i="9" s="1"/>
  <c r="I327" i="9"/>
  <c r="H327" i="9" s="1" a="1"/>
  <c r="H327" i="9" s="1"/>
  <c r="I349" i="9"/>
  <c r="H349" i="9" s="1" a="1"/>
  <c r="H349" i="9" s="1"/>
  <c r="I427" i="9"/>
  <c r="H427" i="9" s="1" a="1"/>
  <c r="H427" i="9" s="1"/>
  <c r="I428" i="9"/>
  <c r="H428" i="9" s="1" a="1"/>
  <c r="H428" i="9" s="1"/>
  <c r="I351" i="9"/>
  <c r="H351" i="9" s="1" a="1"/>
  <c r="H351" i="9" s="1"/>
  <c r="I345" i="9"/>
  <c r="H345" i="9" s="1" a="1"/>
  <c r="H345" i="9" s="1"/>
  <c r="I10" i="9"/>
  <c r="H10" i="9" s="1" a="1"/>
  <c r="H10" i="9" s="1"/>
  <c r="I66" i="9"/>
  <c r="H66" i="9" s="1" a="1"/>
  <c r="H66" i="9" s="1"/>
  <c r="I182" i="9"/>
  <c r="H182" i="9" s="1" a="1"/>
  <c r="H182" i="9" s="1"/>
  <c r="I251" i="9"/>
  <c r="H251" i="9" s="1" a="1"/>
  <c r="H251" i="9" s="1"/>
  <c r="I429" i="9"/>
  <c r="H429" i="9" s="1" a="1"/>
  <c r="H429" i="9" s="1"/>
  <c r="I17" i="9"/>
  <c r="H17" i="9" s="1" a="1"/>
  <c r="H17" i="9" s="1"/>
  <c r="I280" i="9"/>
  <c r="H280" i="9" s="1" a="1"/>
  <c r="H280" i="9" s="1"/>
  <c r="I430" i="9"/>
  <c r="H430" i="9" s="1" a="1"/>
  <c r="H430" i="9" s="1"/>
  <c r="I169" i="9"/>
  <c r="H169" i="9" s="1" a="1"/>
  <c r="H169" i="9" s="1"/>
  <c r="I431" i="9"/>
  <c r="H431" i="9" s="1" a="1"/>
  <c r="H431" i="9" s="1"/>
  <c r="I170" i="9"/>
  <c r="H170" i="9" s="1" a="1"/>
  <c r="H170" i="9" s="1"/>
  <c r="I335" i="9"/>
  <c r="H335" i="9" s="1" a="1"/>
  <c r="H335" i="9" s="1"/>
  <c r="I30" i="9"/>
  <c r="H30" i="9" s="1" a="1"/>
  <c r="H30" i="9" s="1"/>
  <c r="I163" i="9"/>
  <c r="H163" i="9" s="1" a="1"/>
  <c r="H163" i="9" s="1"/>
  <c r="I139" i="9"/>
  <c r="H139" i="9" s="1" a="1"/>
  <c r="H139" i="9" s="1"/>
  <c r="I292" i="9"/>
  <c r="H292" i="9" s="1" a="1"/>
  <c r="H292" i="9" s="1"/>
  <c r="I432" i="9"/>
  <c r="H432" i="9" s="1" a="1"/>
  <c r="H432" i="9" s="1"/>
  <c r="I250" i="9"/>
  <c r="H250" i="9" s="1" a="1"/>
  <c r="H250" i="9" s="1"/>
  <c r="I31" i="9"/>
  <c r="H31" i="9" s="1" a="1"/>
  <c r="H31" i="9" s="1"/>
  <c r="I32" i="9"/>
  <c r="H32" i="9" s="1" a="1"/>
  <c r="H32" i="9" s="1"/>
  <c r="I312" i="9"/>
  <c r="H312" i="9" s="1" a="1"/>
  <c r="H312" i="9" s="1"/>
  <c r="I433" i="9"/>
  <c r="H433" i="9" s="1" a="1"/>
  <c r="H433" i="9" s="1"/>
  <c r="I361" i="9"/>
  <c r="H361" i="9" s="1" a="1"/>
  <c r="H361" i="9" s="1"/>
  <c r="I434" i="9"/>
  <c r="H434" i="9" s="1" a="1"/>
  <c r="H434" i="9" s="1"/>
  <c r="I435" i="9"/>
  <c r="H435" i="9" s="1" a="1"/>
  <c r="H435" i="9" s="1"/>
  <c r="I436" i="9"/>
  <c r="H436" i="9" s="1" a="1"/>
  <c r="H436" i="9" s="1"/>
  <c r="I122" i="9"/>
  <c r="H122" i="9" s="1" a="1"/>
  <c r="H122" i="9" s="1"/>
  <c r="I148" i="9"/>
  <c r="H148" i="9" s="1" a="1"/>
  <c r="H148" i="9" s="1"/>
  <c r="I437" i="9"/>
  <c r="H437" i="9" s="1" a="1"/>
  <c r="H437" i="9" s="1"/>
  <c r="I294" i="9"/>
  <c r="H294" i="9" s="1" a="1"/>
  <c r="H294" i="9" s="1"/>
  <c r="I33" i="9"/>
  <c r="H33" i="9" s="1" a="1"/>
  <c r="H33" i="9" s="1"/>
  <c r="I438" i="9"/>
  <c r="H438" i="9" s="1" a="1"/>
  <c r="H438" i="9" s="1"/>
  <c r="I439" i="9"/>
  <c r="H439" i="9" s="1" a="1"/>
  <c r="H439" i="9" s="1"/>
  <c r="I358" i="9"/>
  <c r="H358" i="9" s="1" a="1"/>
  <c r="H358" i="9" s="1"/>
  <c r="I440" i="9"/>
  <c r="H440" i="9" s="1" a="1"/>
  <c r="H440" i="9" s="1"/>
  <c r="I441" i="9"/>
  <c r="H441" i="9" s="1" a="1"/>
  <c r="H441" i="9" s="1"/>
  <c r="I229" i="9"/>
  <c r="H229" i="9" s="1" a="1"/>
  <c r="H229" i="9" s="1"/>
  <c r="I34" i="9"/>
  <c r="H34" i="9" s="1" a="1"/>
  <c r="H34" i="9" s="1"/>
  <c r="I442" i="9"/>
  <c r="H442" i="9" s="1" a="1"/>
  <c r="H442" i="9" s="1"/>
  <c r="I443" i="9"/>
  <c r="H443" i="9" s="1" a="1"/>
  <c r="H443" i="9" s="1"/>
  <c r="I307" i="9"/>
  <c r="H307" i="9" s="1" a="1"/>
  <c r="H307" i="9" s="1"/>
  <c r="I444" i="9"/>
  <c r="H444" i="9" s="1" a="1"/>
  <c r="H444" i="9" s="1"/>
  <c r="I445" i="9"/>
  <c r="H445" i="9" s="1" a="1"/>
  <c r="H445" i="9" s="1"/>
  <c r="I35" i="9"/>
  <c r="H35" i="9" s="1" a="1"/>
  <c r="H35" i="9" s="1"/>
  <c r="I296" i="9"/>
  <c r="H296" i="9" s="1" a="1"/>
  <c r="H296" i="9" s="1"/>
  <c r="I36" i="9"/>
  <c r="H36" i="9" s="1" a="1"/>
  <c r="H36" i="9" s="1"/>
  <c r="I162" i="9"/>
  <c r="H162" i="9" s="1" a="1"/>
  <c r="H162" i="9" s="1"/>
  <c r="I341" i="9"/>
  <c r="H341" i="9" s="1" a="1"/>
  <c r="H341" i="9" s="1"/>
  <c r="I274" i="9"/>
  <c r="H274" i="9" s="1" a="1"/>
  <c r="H274" i="9" s="1"/>
  <c r="I238" i="9"/>
  <c r="H238" i="9" s="1" a="1"/>
  <c r="H238" i="9" s="1"/>
  <c r="I446" i="9"/>
  <c r="H446" i="9" s="1" a="1"/>
  <c r="H446" i="9" s="1"/>
  <c r="I235" i="9"/>
  <c r="H235" i="9" s="1" a="1"/>
  <c r="H235" i="9" s="1"/>
  <c r="I210" i="9"/>
  <c r="H210" i="9" s="1" a="1"/>
  <c r="H210" i="9" s="1"/>
  <c r="I236" i="9"/>
  <c r="H236" i="9" s="1" a="1"/>
  <c r="H236" i="9" s="1"/>
  <c r="I447" i="9"/>
  <c r="H447" i="9" s="1" a="1"/>
  <c r="H447" i="9" s="1"/>
  <c r="I213" i="9"/>
  <c r="H213" i="9" s="1" a="1"/>
  <c r="H213" i="9" s="1"/>
  <c r="I67" i="9"/>
  <c r="H67" i="9" s="1" a="1"/>
  <c r="H67" i="9" s="1"/>
  <c r="I448" i="9"/>
  <c r="H448" i="9" s="1" a="1"/>
  <c r="H448" i="9" s="1"/>
  <c r="I449" i="9"/>
  <c r="H449" i="9" s="1" a="1"/>
  <c r="H449" i="9" s="1"/>
  <c r="I37" i="9"/>
  <c r="H37" i="9" s="1" a="1"/>
  <c r="H37" i="9" s="1"/>
  <c r="I253" i="9"/>
  <c r="H253" i="9" s="1" a="1"/>
  <c r="H253" i="9" s="1"/>
  <c r="I314" i="9"/>
  <c r="H314" i="9" s="1" a="1"/>
  <c r="H314" i="9" s="1"/>
  <c r="I242" i="9"/>
  <c r="H242" i="9" s="1" a="1"/>
  <c r="H242" i="9" s="1"/>
  <c r="I228" i="9"/>
  <c r="H228" i="9" s="1" a="1"/>
  <c r="H228" i="9" s="1"/>
  <c r="I356" i="9"/>
  <c r="H356" i="9" s="1" a="1"/>
  <c r="H356" i="9" s="1"/>
  <c r="I18" i="9"/>
  <c r="H18" i="9" s="1" a="1"/>
  <c r="H18" i="9" s="1"/>
  <c r="I38" i="9"/>
  <c r="H38" i="9" s="1" a="1"/>
  <c r="H38" i="9" s="1"/>
  <c r="I450" i="9"/>
  <c r="H450" i="9" s="1" a="1"/>
  <c r="H450" i="9" s="1"/>
  <c r="I286" i="9"/>
  <c r="H286" i="9" s="1" a="1"/>
  <c r="H286" i="9" s="1"/>
  <c r="I214" i="9"/>
  <c r="H214" i="9" s="1" a="1"/>
  <c r="H214" i="9" s="1"/>
  <c r="I451" i="9"/>
  <c r="H451" i="9" s="1" a="1"/>
  <c r="H451" i="9" s="1"/>
  <c r="I452" i="9"/>
  <c r="H452" i="9" s="1" a="1"/>
  <c r="H452" i="9" s="1"/>
  <c r="I317" i="9"/>
  <c r="H317" i="9" s="1" a="1"/>
  <c r="H317" i="9" s="1"/>
  <c r="I453" i="9"/>
  <c r="H453" i="9" s="1" a="1"/>
  <c r="H453" i="9" s="1"/>
  <c r="I454" i="9"/>
  <c r="H454" i="9" s="1" a="1"/>
  <c r="H454" i="9" s="1"/>
  <c r="I212" i="9"/>
  <c r="H212" i="9" s="1" a="1"/>
  <c r="H212" i="9" s="1"/>
  <c r="I112" i="9"/>
  <c r="H112" i="9" s="1" a="1"/>
  <c r="H112" i="9" s="1"/>
  <c r="I455" i="9"/>
  <c r="H455" i="9" s="1" a="1"/>
  <c r="H455" i="9" s="1"/>
  <c r="I306" i="9"/>
  <c r="H306" i="9" s="1" a="1"/>
  <c r="H306" i="9" s="1"/>
  <c r="I456" i="9"/>
  <c r="H456" i="9" s="1" a="1"/>
  <c r="H456" i="9" s="1"/>
  <c r="I171" i="9"/>
  <c r="H171" i="9" s="1" a="1"/>
  <c r="H171" i="9" s="1"/>
  <c r="I68" i="9"/>
  <c r="H68" i="9" s="1" a="1"/>
  <c r="H68" i="9" s="1"/>
  <c r="I330" i="9"/>
  <c r="H330" i="9" s="1" a="1"/>
  <c r="H330" i="9" s="1"/>
  <c r="I457" i="9"/>
  <c r="H457" i="9" s="1" a="1"/>
  <c r="H457" i="9" s="1"/>
  <c r="I458" i="9"/>
  <c r="H458" i="9" s="1" a="1"/>
  <c r="H458" i="9" s="1"/>
  <c r="I232" i="9"/>
  <c r="H232" i="9" s="1" a="1"/>
  <c r="H232" i="9" s="1"/>
  <c r="I115" i="9"/>
  <c r="H115" i="9" s="1" a="1"/>
  <c r="H115" i="9" s="1"/>
  <c r="I39" i="9"/>
  <c r="H39" i="9" s="1" a="1"/>
  <c r="H39" i="9" s="1"/>
  <c r="I459" i="9"/>
  <c r="H459" i="9" s="1" a="1"/>
  <c r="H459" i="9" s="1"/>
  <c r="I460" i="9"/>
  <c r="H460" i="9" s="1" a="1"/>
  <c r="H460" i="9" s="1"/>
  <c r="I40" i="9"/>
  <c r="H40" i="9" s="1" a="1"/>
  <c r="H40" i="9" s="1"/>
  <c r="I172" i="9"/>
  <c r="H172" i="9" s="1" a="1"/>
  <c r="H172" i="9" s="1"/>
  <c r="I352" i="9"/>
  <c r="H352" i="9" s="1" a="1"/>
  <c r="H352" i="9" s="1"/>
  <c r="I461" i="9"/>
  <c r="H461" i="9" s="1" a="1"/>
  <c r="H461" i="9" s="1"/>
  <c r="I19" i="9"/>
  <c r="H19" i="9" s="1" a="1"/>
  <c r="H19" i="9" s="1"/>
  <c r="I209" i="9"/>
  <c r="H209" i="9" s="1" a="1"/>
  <c r="H209" i="9" s="1"/>
  <c r="I149" i="9"/>
  <c r="H149" i="9" s="1" a="1"/>
  <c r="H149" i="9" s="1"/>
  <c r="I69" i="9"/>
  <c r="H69" i="9" s="1" a="1"/>
  <c r="H69" i="9" s="1"/>
  <c r="I70" i="9"/>
  <c r="H70" i="9" s="1" a="1"/>
  <c r="H70" i="9" s="1"/>
  <c r="I298" i="9"/>
  <c r="H298" i="9" s="1" a="1"/>
  <c r="H298" i="9" s="1"/>
  <c r="I261" i="9"/>
  <c r="H261" i="9" s="1" a="1"/>
  <c r="H261" i="9" s="1"/>
  <c r="I315" i="9"/>
  <c r="H315" i="9" s="1" a="1"/>
  <c r="H315" i="9" s="1"/>
  <c r="I71" i="9"/>
  <c r="H71" i="9" s="1" a="1"/>
  <c r="H71" i="9" s="1"/>
  <c r="I208" i="9"/>
  <c r="H208" i="9" s="1" a="1"/>
  <c r="H208" i="9" s="1"/>
  <c r="I281" i="9"/>
  <c r="H281" i="9" s="1" a="1"/>
  <c r="H281" i="9" s="1"/>
  <c r="I110" i="9"/>
  <c r="H110" i="9" s="1" a="1"/>
  <c r="H110" i="9" s="1"/>
  <c r="I240" i="9"/>
  <c r="H240" i="9" s="1" a="1"/>
  <c r="H240" i="9" s="1"/>
  <c r="I462" i="9"/>
  <c r="H462" i="9" s="1" a="1"/>
  <c r="H462" i="9" s="1"/>
  <c r="I194" i="9"/>
  <c r="H194" i="9" s="1" a="1"/>
  <c r="H194" i="9" s="1"/>
  <c r="I357" i="9"/>
  <c r="H357" i="9" s="1" a="1"/>
  <c r="H357" i="9" s="1"/>
  <c r="I72" i="9"/>
  <c r="H72" i="9" s="1" a="1"/>
  <c r="H72" i="9" s="1"/>
  <c r="I463" i="9"/>
  <c r="H463" i="9" s="1" a="1"/>
  <c r="H463" i="9" s="1"/>
  <c r="I219" i="9"/>
  <c r="H219" i="9" s="1" a="1"/>
  <c r="H219" i="9" s="1"/>
  <c r="I464" i="9"/>
  <c r="H464" i="9" s="1" a="1"/>
  <c r="H464" i="9" s="1"/>
  <c r="I268" i="9"/>
  <c r="H268" i="9" s="1" a="1"/>
  <c r="H268" i="9" s="1"/>
  <c r="I295" i="9"/>
  <c r="H295" i="9" s="1" a="1"/>
  <c r="H295" i="9" s="1"/>
  <c r="I465" i="9"/>
  <c r="H465" i="9" s="1" a="1"/>
  <c r="H465" i="9" s="1"/>
  <c r="I466" i="9"/>
  <c r="H466" i="9" s="1" a="1"/>
  <c r="H466" i="9" s="1"/>
  <c r="I141" i="9"/>
  <c r="H141" i="9" s="1" a="1"/>
  <c r="H141" i="9" s="1"/>
  <c r="I329" i="9"/>
  <c r="H329" i="9" s="1" a="1"/>
  <c r="H329" i="9" s="1"/>
  <c r="I233" i="9"/>
  <c r="H233" i="9" s="1" a="1"/>
  <c r="H233" i="9" s="1"/>
  <c r="I467" i="9"/>
  <c r="H467" i="9" s="1" a="1"/>
  <c r="H467" i="9" s="1"/>
  <c r="I468" i="9"/>
  <c r="H468" i="9" s="1" a="1"/>
  <c r="H468" i="9" s="1"/>
  <c r="I73" i="9"/>
  <c r="H73" i="9" s="1" a="1"/>
  <c r="H73" i="9" s="1"/>
  <c r="I469" i="9"/>
  <c r="H469" i="9" s="1" a="1"/>
  <c r="H469" i="9" s="1"/>
  <c r="I74" i="9"/>
  <c r="H74" i="9" s="1" a="1"/>
  <c r="H74" i="9" s="1"/>
  <c r="I145" i="9"/>
  <c r="H145" i="9" s="1" a="1"/>
  <c r="H145" i="9" s="1"/>
  <c r="I173" i="9"/>
  <c r="H173" i="9" s="1" a="1"/>
  <c r="H173" i="9" s="1"/>
  <c r="I174" i="9"/>
  <c r="H174" i="9" s="1" a="1"/>
  <c r="H174" i="9" s="1"/>
  <c r="I186" i="9"/>
  <c r="H186" i="9" s="1" a="1"/>
  <c r="H186" i="9" s="1"/>
  <c r="I41" i="9"/>
  <c r="H41" i="9" s="1" a="1"/>
  <c r="H41" i="9" s="1"/>
  <c r="I75" i="9"/>
  <c r="H75" i="9" s="1" a="1"/>
  <c r="H75" i="9" s="1"/>
  <c r="I470" i="9"/>
  <c r="H470" i="9" s="1" a="1"/>
  <c r="H470" i="9" s="1"/>
  <c r="I471" i="9"/>
  <c r="H471" i="9" s="1" a="1"/>
  <c r="H471" i="9" s="1"/>
  <c r="I11" i="9"/>
  <c r="H11" i="9" s="1" a="1"/>
  <c r="H11" i="9" s="1"/>
  <c r="I218" i="9"/>
  <c r="H218" i="9" s="1" a="1"/>
  <c r="H218" i="9" s="1"/>
  <c r="I331" i="9"/>
  <c r="H331" i="9" s="1" a="1"/>
  <c r="H331" i="9" s="1"/>
  <c r="I472" i="9"/>
  <c r="H472" i="9" s="1" a="1"/>
  <c r="H472" i="9" s="1"/>
  <c r="I473" i="9"/>
  <c r="H473" i="9" s="1" a="1"/>
  <c r="H473" i="9" s="1"/>
  <c r="I474" i="9"/>
  <c r="H474" i="9" s="1" a="1"/>
  <c r="H474" i="9" s="1"/>
  <c r="I76" i="9"/>
  <c r="H76" i="9" s="1" a="1"/>
  <c r="H76" i="9" s="1"/>
  <c r="I475" i="9"/>
  <c r="H475" i="9" s="1" a="1"/>
  <c r="H475" i="9" s="1"/>
  <c r="I336" i="9"/>
  <c r="H336" i="9" s="1" a="1"/>
  <c r="H336" i="9" s="1"/>
  <c r="I77" i="9"/>
  <c r="H77" i="9" s="1" a="1"/>
  <c r="H77" i="9" s="1"/>
  <c r="I476" i="9"/>
  <c r="H476" i="9" s="1" a="1"/>
  <c r="H476" i="9" s="1"/>
  <c r="I42" i="9"/>
  <c r="H42" i="9" s="1" a="1"/>
  <c r="H42" i="9" s="1"/>
  <c r="I477" i="9"/>
  <c r="H477" i="9" s="1" a="1"/>
  <c r="H477" i="9" s="1"/>
  <c r="I293" i="9"/>
  <c r="H293" i="9" s="1" a="1"/>
  <c r="H293" i="9" s="1"/>
  <c r="I478" i="9"/>
  <c r="H478" i="9" s="1" a="1"/>
  <c r="H478" i="9" s="1"/>
  <c r="I479" i="9"/>
  <c r="H479" i="9" s="1" a="1"/>
  <c r="H479" i="9" s="1"/>
  <c r="I480" i="9"/>
  <c r="H480" i="9" s="1" a="1"/>
  <c r="H480" i="9" s="1"/>
  <c r="I342" i="9"/>
  <c r="H342" i="9" s="1" a="1"/>
  <c r="H342" i="9" s="1"/>
  <c r="I316" i="9"/>
  <c r="H316" i="9" s="1" a="1"/>
  <c r="H316" i="9" s="1"/>
  <c r="I481" i="9"/>
  <c r="H481" i="9" s="1" a="1"/>
  <c r="H481" i="9" s="1"/>
  <c r="I195" i="9"/>
  <c r="H195" i="9" s="1" a="1"/>
  <c r="H195" i="9" s="1"/>
  <c r="I255" i="9"/>
  <c r="H255" i="9" s="1" a="1"/>
  <c r="H255" i="9" s="1"/>
  <c r="I128" i="9"/>
  <c r="H128" i="9" s="1" a="1"/>
  <c r="H128" i="9" s="1"/>
  <c r="I482" i="9"/>
  <c r="H482" i="9" s="1" a="1"/>
  <c r="H482" i="9" s="1"/>
  <c r="I483" i="9"/>
  <c r="H483" i="9" s="1" a="1"/>
  <c r="H483" i="9" s="1"/>
  <c r="I484" i="9"/>
  <c r="H484" i="9" s="1" a="1"/>
  <c r="H484" i="9" s="1"/>
  <c r="I269" i="9"/>
  <c r="H269" i="9" s="1" a="1"/>
  <c r="H269" i="9" s="1"/>
  <c r="I175" i="9"/>
  <c r="H175" i="9" s="1" a="1"/>
  <c r="H175" i="9" s="1"/>
  <c r="I304" i="9"/>
  <c r="H304" i="9" s="1" a="1"/>
  <c r="H304" i="9" s="1"/>
  <c r="I485" i="9"/>
  <c r="H485" i="9" s="1" a="1"/>
  <c r="H485" i="9" s="1"/>
  <c r="I144" i="9"/>
  <c r="H144" i="9" s="1" a="1"/>
  <c r="H144" i="9" s="1"/>
  <c r="I199" i="9"/>
  <c r="H199" i="9" s="1" a="1"/>
  <c r="H199" i="9" s="1"/>
  <c r="I276" i="9"/>
  <c r="H276" i="9" s="1" a="1"/>
  <c r="H276" i="9" s="1"/>
  <c r="I234" i="9"/>
  <c r="H234" i="9" s="1" a="1"/>
  <c r="H234" i="9" s="1"/>
  <c r="I486" i="9"/>
  <c r="H486" i="9" s="1" a="1"/>
  <c r="H486" i="9" s="1"/>
  <c r="I117" i="9"/>
  <c r="H117" i="9" s="1" a="1"/>
  <c r="H117" i="9" s="1"/>
  <c r="I487" i="9"/>
  <c r="H487" i="9" s="1" a="1"/>
  <c r="H487" i="9" s="1"/>
  <c r="I333" i="9"/>
  <c r="H333" i="9" s="1" a="1"/>
  <c r="H333" i="9" s="1"/>
  <c r="I78" i="9"/>
  <c r="H78" i="9" s="1" a="1"/>
  <c r="H78" i="9" s="1"/>
  <c r="I299" i="9"/>
  <c r="H299" i="9" s="1" a="1"/>
  <c r="H299" i="9" s="1"/>
  <c r="I488" i="9"/>
  <c r="H488" i="9" s="1" a="1"/>
  <c r="H488" i="9" s="1"/>
  <c r="I489" i="9"/>
  <c r="H489" i="9" s="1" a="1"/>
  <c r="H489" i="9" s="1"/>
  <c r="I79" i="9"/>
  <c r="H79" i="9" s="1" a="1"/>
  <c r="H79" i="9" s="1"/>
  <c r="I43" i="9"/>
  <c r="H43" i="9" s="1" a="1"/>
  <c r="H43" i="9" s="1"/>
  <c r="I490" i="9"/>
  <c r="H490" i="9" s="1" a="1"/>
  <c r="H490" i="9" s="1"/>
  <c r="I491" i="9"/>
  <c r="H491" i="9" s="1" a="1"/>
  <c r="H491" i="9" s="1"/>
  <c r="I492" i="9"/>
  <c r="H492" i="9" s="1" a="1"/>
  <c r="H492" i="9" s="1"/>
  <c r="I44" i="9"/>
  <c r="H44" i="9" s="1" a="1"/>
  <c r="H44" i="9" s="1"/>
  <c r="I493" i="9"/>
  <c r="H493" i="9" s="1" a="1"/>
  <c r="H493" i="9" s="1"/>
  <c r="I20" i="9"/>
  <c r="H20" i="9" s="1" a="1"/>
  <c r="H20" i="9" s="1"/>
  <c r="I167" i="9"/>
  <c r="H167" i="9" s="1" a="1"/>
  <c r="H167" i="9" s="1"/>
  <c r="I21" i="9"/>
  <c r="H21" i="9" s="1" a="1"/>
  <c r="H21" i="9" s="1"/>
  <c r="I176" i="9"/>
  <c r="H176" i="9" s="1" a="1"/>
  <c r="H176" i="9" s="1"/>
  <c r="I494" i="9"/>
  <c r="H494" i="9" s="1" a="1"/>
  <c r="H494" i="9" s="1"/>
  <c r="I45" i="9"/>
  <c r="H45" i="9" s="1" a="1"/>
  <c r="H45" i="9" s="1"/>
  <c r="I80" i="9"/>
  <c r="H80" i="9" s="1" a="1"/>
  <c r="H80" i="9" s="1"/>
  <c r="I81" i="9"/>
  <c r="H81" i="9" s="1" a="1"/>
  <c r="H81" i="9" s="1"/>
  <c r="I82" i="9"/>
  <c r="H82" i="9" s="1" a="1"/>
  <c r="H82" i="9" s="1"/>
  <c r="I495" i="9"/>
  <c r="H495" i="9" s="1" a="1"/>
  <c r="H495" i="9" s="1"/>
  <c r="I353" i="9"/>
  <c r="H353" i="9" s="1" a="1"/>
  <c r="H353" i="9" s="1"/>
  <c r="I496" i="9"/>
  <c r="H496" i="9" s="1" a="1"/>
  <c r="H496" i="9" s="1"/>
  <c r="I287" i="9"/>
  <c r="H287" i="9" s="1" a="1"/>
  <c r="H287" i="9" s="1"/>
  <c r="I497" i="9"/>
  <c r="H497" i="9" s="1" a="1"/>
  <c r="H497" i="9" s="1"/>
  <c r="I498" i="9"/>
  <c r="H498" i="9" s="1" a="1"/>
  <c r="H498" i="9" s="1"/>
  <c r="I262" i="9"/>
  <c r="H262" i="9" s="1" a="1"/>
  <c r="H262" i="9" s="1"/>
  <c r="I192" i="9"/>
  <c r="H192" i="9" s="1" a="1"/>
  <c r="H192" i="9" s="1"/>
  <c r="I126" i="9"/>
  <c r="H126" i="9" s="1" a="1"/>
  <c r="H126" i="9" s="1"/>
  <c r="I499" i="9"/>
  <c r="H499" i="9" s="1" a="1"/>
  <c r="H499" i="9" s="1"/>
  <c r="I83" i="9"/>
  <c r="H83" i="9" s="1" a="1"/>
  <c r="H83" i="9" s="1"/>
  <c r="I500" i="9"/>
  <c r="H500" i="9" s="1" a="1"/>
  <c r="H500" i="9" s="1"/>
  <c r="I5" i="9"/>
  <c r="H5" i="9" s="1" a="1"/>
  <c r="H5" i="9" s="1"/>
  <c r="I12" i="9"/>
  <c r="H12" i="9" s="1" a="1"/>
  <c r="H12" i="9" s="1"/>
  <c r="I256" i="9"/>
  <c r="H256" i="9" s="1" a="1"/>
  <c r="H256" i="9" s="1"/>
  <c r="I501" i="9"/>
  <c r="H501" i="9" s="1" a="1"/>
  <c r="H501" i="9" s="1"/>
  <c r="I354" i="9"/>
  <c r="H354" i="9" s="1" a="1"/>
  <c r="H354" i="9" s="1"/>
  <c r="I84" i="9"/>
  <c r="H84" i="9" s="1" a="1"/>
  <c r="H84" i="9" s="1"/>
  <c r="I502" i="9"/>
  <c r="H502" i="9" s="1" a="1"/>
  <c r="H502" i="9" s="1"/>
  <c r="I120" i="9"/>
  <c r="H120" i="9" s="1" a="1"/>
  <c r="H120" i="9" s="1"/>
  <c r="I191" i="9"/>
  <c r="H191" i="9" s="1" a="1"/>
  <c r="H191" i="9" s="1"/>
  <c r="I85" i="9"/>
  <c r="H85" i="9" s="1" a="1"/>
  <c r="H85" i="9" s="1"/>
  <c r="I320" i="9"/>
  <c r="H320" i="9" s="1" a="1"/>
  <c r="H320" i="9" s="1"/>
  <c r="I226" i="9"/>
  <c r="H226" i="9" s="1" a="1"/>
  <c r="H226" i="9" s="1"/>
  <c r="I343" i="9"/>
  <c r="H343" i="9" s="1" a="1"/>
  <c r="H343" i="9" s="1"/>
  <c r="I86" i="9"/>
  <c r="H86" i="9" s="1" a="1"/>
  <c r="H86" i="9" s="1"/>
  <c r="I503" i="9"/>
  <c r="H503" i="9" s="1" a="1"/>
  <c r="H503" i="9" s="1"/>
  <c r="I350" i="9"/>
  <c r="H350" i="9" s="1" a="1"/>
  <c r="H350" i="9" s="1"/>
  <c r="I6" i="9"/>
  <c r="H6" i="9" s="1" a="1"/>
  <c r="H6" i="9" s="1"/>
  <c r="I87" i="9"/>
  <c r="H87" i="9" s="1" a="1"/>
  <c r="H87" i="9" s="1"/>
  <c r="I504" i="9"/>
  <c r="H504" i="9" s="1" a="1"/>
  <c r="H504" i="9" s="1"/>
  <c r="I46" i="9"/>
  <c r="H46" i="9" s="1" a="1"/>
  <c r="H46" i="9" s="1"/>
  <c r="I198" i="9"/>
  <c r="H198" i="9" s="1" a="1"/>
  <c r="H198" i="9" s="1"/>
  <c r="I313" i="9"/>
  <c r="H313" i="9" s="1" a="1"/>
  <c r="H313" i="9" s="1"/>
  <c r="I505" i="9"/>
  <c r="H505" i="9" s="1" a="1"/>
  <c r="H505" i="9" s="1"/>
  <c r="I88" i="9"/>
  <c r="H88" i="9" s="1" a="1"/>
  <c r="H88" i="9" s="1"/>
  <c r="I363" i="9"/>
  <c r="H363" i="9" s="1" a="1"/>
  <c r="H363" i="9" s="1"/>
  <c r="I237" i="9"/>
  <c r="H237" i="9" s="1" a="1"/>
  <c r="H237" i="9" s="1"/>
  <c r="I150" i="9"/>
  <c r="H150" i="9" s="1" a="1"/>
  <c r="H150" i="9" s="1"/>
  <c r="I127" i="9"/>
  <c r="H127" i="9" s="1" a="1"/>
  <c r="H127" i="9" s="1"/>
  <c r="I123" i="9"/>
  <c r="H123" i="9" s="1" a="1"/>
  <c r="H123" i="9" s="1"/>
  <c r="I47" i="9"/>
  <c r="H47" i="9" s="1" a="1"/>
  <c r="H47" i="9" s="1"/>
  <c r="I506" i="9"/>
  <c r="H506" i="9" s="1" a="1"/>
  <c r="H506" i="9" s="1"/>
  <c r="I116" i="9"/>
  <c r="H116" i="9" s="1" a="1"/>
  <c r="H116" i="9" s="1"/>
  <c r="I507" i="9"/>
  <c r="H507" i="9" s="1" a="1"/>
  <c r="H507" i="9" s="1"/>
  <c r="I89" i="9"/>
  <c r="H89" i="9" s="1" a="1"/>
  <c r="H89" i="9" s="1"/>
  <c r="I48" i="9"/>
  <c r="H48" i="9" s="1" a="1"/>
  <c r="H48" i="9" s="1"/>
  <c r="I508" i="9"/>
  <c r="H508" i="9" s="1" a="1"/>
  <c r="H508" i="9" s="1"/>
  <c r="I177" i="9"/>
  <c r="H177" i="9" s="1" a="1"/>
  <c r="H177" i="9" s="1"/>
  <c r="I360" i="9"/>
  <c r="H360" i="9" s="1" a="1"/>
  <c r="H360" i="9" s="1"/>
  <c r="I154" i="9"/>
  <c r="H154" i="9" s="1" a="1"/>
  <c r="H154" i="9" s="1"/>
  <c r="I288" i="9"/>
  <c r="H288" i="9" s="1" a="1"/>
  <c r="H288" i="9" s="1"/>
  <c r="I509" i="9"/>
  <c r="H509" i="9" s="1" a="1"/>
  <c r="H509" i="9" s="1"/>
  <c r="I510" i="9"/>
  <c r="H510" i="9" s="1" a="1"/>
  <c r="H510" i="9" s="1"/>
  <c r="I90" i="9"/>
  <c r="H90" i="9" s="1" a="1"/>
  <c r="H90" i="9" s="1"/>
  <c r="I164" i="9"/>
  <c r="H164" i="9" s="1" a="1"/>
  <c r="H164" i="9" s="1"/>
  <c r="I49" i="9"/>
  <c r="H49" i="9" s="1" a="1"/>
  <c r="H49" i="9" s="1"/>
  <c r="I220" i="9"/>
  <c r="H220" i="9" s="1" a="1"/>
  <c r="H220" i="9" s="1"/>
  <c r="I319" i="9"/>
  <c r="H319" i="9" s="1" a="1"/>
  <c r="H319" i="9" s="1"/>
  <c r="I511" i="9"/>
  <c r="H511" i="9" s="1" a="1"/>
  <c r="H511" i="9" s="1"/>
  <c r="I337" i="9"/>
  <c r="H337" i="9" s="1" a="1"/>
  <c r="H337" i="9" s="1"/>
  <c r="I91" i="9"/>
  <c r="H91" i="9" s="1" a="1"/>
  <c r="H91" i="9" s="1"/>
  <c r="I92" i="9"/>
  <c r="H92" i="9" s="1" a="1"/>
  <c r="H92" i="9" s="1"/>
  <c r="I245" i="9"/>
  <c r="H245" i="9" s="1" a="1"/>
  <c r="H245" i="9" s="1"/>
  <c r="I217" i="9"/>
  <c r="H217" i="9" s="1" a="1"/>
  <c r="H217" i="9" s="1"/>
  <c r="I200" i="9"/>
  <c r="H200" i="9" s="1" a="1"/>
  <c r="H200" i="9" s="1"/>
  <c r="I93" i="9"/>
  <c r="H93" i="9" s="1" a="1"/>
  <c r="H93" i="9" s="1"/>
  <c r="I338" i="9"/>
  <c r="H338" i="9" s="1" a="1"/>
  <c r="H338" i="9" s="1"/>
  <c r="I512" i="9"/>
  <c r="H512" i="9" s="1" a="1"/>
  <c r="H512" i="9" s="1"/>
  <c r="I109" i="9"/>
  <c r="H109" i="9" s="1" a="1"/>
  <c r="H109" i="9" s="1"/>
  <c r="I513" i="9"/>
  <c r="H513" i="9" s="1" a="1"/>
  <c r="H513" i="9" s="1"/>
  <c r="I514" i="9"/>
  <c r="H514" i="9" s="1" a="1"/>
  <c r="H514" i="9" s="1"/>
  <c r="I202" i="9"/>
  <c r="H202" i="9" s="1" a="1"/>
  <c r="H202" i="9" s="1"/>
  <c r="I254" i="9"/>
  <c r="H254" i="9" s="1" a="1"/>
  <c r="H254" i="9" s="1"/>
  <c r="I7" i="9"/>
  <c r="H7" i="9" s="1" a="1"/>
  <c r="H7" i="9" s="1"/>
  <c r="I359" i="9"/>
  <c r="H359" i="9" s="1" a="1"/>
  <c r="H359" i="9" s="1"/>
  <c r="I222" i="9"/>
  <c r="H222" i="9" s="1" a="1"/>
  <c r="H222" i="9" s="1"/>
  <c r="I270" i="9"/>
  <c r="H270" i="9" s="1" a="1"/>
  <c r="H270" i="9" s="1"/>
  <c r="I94" i="9"/>
  <c r="H94" i="9" s="1" a="1"/>
  <c r="H94" i="9" s="1"/>
  <c r="I515" i="9"/>
  <c r="H515" i="9" s="1" a="1"/>
  <c r="H515" i="9" s="1"/>
  <c r="I516" i="9"/>
  <c r="H516" i="9" s="1" a="1"/>
  <c r="H516" i="9" s="1"/>
  <c r="I517" i="9"/>
  <c r="H517" i="9" s="1" a="1"/>
  <c r="H517" i="9" s="1"/>
  <c r="I168" i="9"/>
  <c r="H168" i="9" s="1" a="1"/>
  <c r="H168" i="9" s="1"/>
  <c r="I518" i="9"/>
  <c r="H518" i="9" s="1" a="1"/>
  <c r="H518" i="9" s="1"/>
  <c r="I339" i="9"/>
  <c r="H339" i="9" s="1" a="1"/>
  <c r="H339" i="9" s="1"/>
  <c r="I165" i="9"/>
  <c r="H165" i="9" s="1" a="1"/>
  <c r="H165" i="9" s="1"/>
  <c r="I158" i="9"/>
  <c r="H158" i="9" s="1" a="1"/>
  <c r="H158" i="9" s="1"/>
  <c r="I143" i="9"/>
  <c r="H143" i="9" s="1" a="1"/>
  <c r="H143" i="9" s="1"/>
  <c r="I275" i="9"/>
  <c r="H275" i="9" s="1" a="1"/>
  <c r="H275" i="9" s="1"/>
  <c r="I519" i="9"/>
  <c r="H519" i="9" s="1" a="1"/>
  <c r="H519" i="9" s="1"/>
  <c r="I284" i="9"/>
  <c r="H284" i="9" s="1" a="1"/>
  <c r="H284" i="9" s="1"/>
  <c r="I22" i="9"/>
  <c r="H22" i="9" s="1" a="1"/>
  <c r="H22" i="9" s="1"/>
  <c r="I520" i="9"/>
  <c r="H520" i="9" s="1" a="1"/>
  <c r="H520" i="9" s="1"/>
  <c r="I259" i="9"/>
  <c r="H259" i="9" s="1" a="1"/>
  <c r="H259" i="9" s="1"/>
  <c r="I521" i="9"/>
  <c r="H521" i="9" s="1" a="1"/>
  <c r="H521" i="9" s="1"/>
  <c r="I206" i="9"/>
  <c r="H206" i="9" s="1" a="1"/>
  <c r="H206" i="9" s="1"/>
  <c r="I50" i="9"/>
  <c r="H50" i="9" s="1" a="1"/>
  <c r="H50" i="9" s="1"/>
  <c r="I136" i="9"/>
  <c r="H136" i="9" s="1" a="1"/>
  <c r="H136" i="9" s="1"/>
  <c r="I305" i="9"/>
  <c r="H305" i="9" s="1" a="1"/>
  <c r="H305" i="9" s="1"/>
  <c r="I224" i="9"/>
  <c r="H224" i="9" s="1" a="1"/>
  <c r="H224" i="9" s="1"/>
  <c r="I522" i="9"/>
  <c r="H522" i="9" s="1" a="1"/>
  <c r="H522" i="9" s="1"/>
  <c r="I523" i="9"/>
  <c r="H523" i="9" s="1" a="1"/>
  <c r="H523" i="9" s="1"/>
  <c r="I95" i="9"/>
  <c r="H95" i="9" s="1" a="1"/>
  <c r="H95" i="9" s="1"/>
  <c r="I137" i="9"/>
  <c r="H137" i="9" s="1" a="1"/>
  <c r="H137" i="9" s="1"/>
  <c r="I96" i="9"/>
  <c r="H96" i="9" s="1" a="1"/>
  <c r="H96" i="9" s="1"/>
  <c r="I524" i="9"/>
  <c r="H524" i="9" s="1" a="1"/>
  <c r="H524" i="9" s="1"/>
  <c r="I178" i="9"/>
  <c r="H178" i="9" s="1" a="1"/>
  <c r="H178" i="9" s="1"/>
  <c r="I328" i="9"/>
  <c r="H328" i="9" s="1" a="1"/>
  <c r="H328" i="9" s="1"/>
  <c r="I525" i="9"/>
  <c r="H525" i="9" s="1" a="1"/>
  <c r="H525" i="9" s="1"/>
  <c r="I97" i="9"/>
  <c r="H97" i="9" s="1" a="1"/>
  <c r="H97" i="9" s="1"/>
  <c r="I159" i="9"/>
  <c r="H159" i="9" s="1" a="1"/>
  <c r="H159" i="9" s="1"/>
  <c r="I51" i="9"/>
  <c r="H51" i="9" s="1" a="1"/>
  <c r="H51" i="9" s="1"/>
  <c r="I124" i="9"/>
  <c r="H124" i="9" s="1" a="1"/>
  <c r="H124" i="9" s="1"/>
  <c r="I98" i="9"/>
  <c r="H98" i="9" s="1" a="1"/>
  <c r="H98" i="9" s="1"/>
  <c r="I157" i="9"/>
  <c r="H157" i="9" s="1" a="1"/>
  <c r="H157" i="9" s="1"/>
  <c r="I52" i="9"/>
  <c r="H52" i="9" s="1" a="1"/>
  <c r="H52" i="9" s="1"/>
  <c r="I526" i="9"/>
  <c r="H526" i="9" s="1" a="1"/>
  <c r="H526" i="9" s="1"/>
  <c r="I527" i="9"/>
  <c r="H527" i="9" s="1" a="1"/>
  <c r="H527" i="9" s="1"/>
  <c r="I99" i="9"/>
  <c r="H99" i="9" s="1" a="1"/>
  <c r="H99" i="9" s="1"/>
  <c r="I53" i="9"/>
  <c r="H53" i="9" s="1" a="1"/>
  <c r="H53" i="9" s="1"/>
  <c r="I528" i="9"/>
  <c r="H528" i="9" s="1" a="1"/>
  <c r="H528" i="9" s="1"/>
  <c r="I529" i="9"/>
  <c r="H529" i="9" s="1" a="1"/>
  <c r="H529" i="9" s="1"/>
  <c r="I530" i="9"/>
  <c r="H530" i="9" s="1" a="1"/>
  <c r="H530" i="9" s="1"/>
  <c r="I249" i="9"/>
  <c r="H249" i="9" s="1" a="1"/>
  <c r="H249" i="9" s="1"/>
  <c r="I364" i="9"/>
  <c r="H364" i="9" s="1" a="1"/>
  <c r="H364" i="9" s="1"/>
  <c r="I531" i="9"/>
  <c r="H531" i="9" s="1" a="1"/>
  <c r="H531" i="9" s="1"/>
  <c r="I119" i="9"/>
  <c r="H119" i="9" s="1" a="1"/>
  <c r="H119" i="9" s="1"/>
  <c r="I54" i="9"/>
  <c r="H54" i="9" s="1" a="1"/>
  <c r="H54" i="9" s="1"/>
  <c r="I532" i="9"/>
  <c r="H532" i="9" s="1" a="1"/>
  <c r="H532" i="9" s="1"/>
  <c r="I147" i="9"/>
  <c r="H147" i="9" s="1" a="1"/>
  <c r="H147" i="9" s="1"/>
  <c r="I179" i="9"/>
  <c r="H179" i="9" s="1" a="1"/>
  <c r="H179" i="9" s="1"/>
  <c r="I533" i="9"/>
  <c r="H533" i="9" s="1" a="1"/>
  <c r="H533" i="9" s="1"/>
  <c r="I310" i="9"/>
  <c r="H310" i="9" s="1" a="1"/>
  <c r="H310" i="9" s="1"/>
  <c r="I323" i="9"/>
  <c r="H323" i="9" s="1" a="1"/>
  <c r="H323" i="9" s="1"/>
  <c r="I100" i="9"/>
  <c r="H100" i="9" s="1" a="1"/>
  <c r="H100" i="9" s="1"/>
  <c r="I101" i="9"/>
  <c r="H101" i="9" s="1" a="1"/>
  <c r="H101" i="9" s="1"/>
  <c r="I308" i="9"/>
  <c r="H308" i="9" s="1" a="1"/>
  <c r="H308" i="9" s="1"/>
  <c r="I102" i="9"/>
  <c r="H102" i="9" s="1" a="1"/>
  <c r="H102" i="9" s="1"/>
  <c r="I311" i="9"/>
  <c r="H311" i="9" s="1" a="1"/>
  <c r="H311" i="9" s="1"/>
  <c r="I203" i="9"/>
  <c r="H203" i="9" s="1" a="1"/>
  <c r="H203" i="9" s="1"/>
  <c r="I263" i="9"/>
  <c r="H263" i="9" s="1" a="1"/>
  <c r="H263" i="9" s="1"/>
  <c r="I230" i="9"/>
  <c r="H230" i="9" s="1" a="1"/>
  <c r="H230" i="9" s="1"/>
  <c r="I271" i="9"/>
  <c r="H271" i="9" s="1" a="1"/>
  <c r="H271" i="9" s="1"/>
  <c r="I534" i="9"/>
  <c r="H534" i="9" s="1" a="1"/>
  <c r="H534" i="9" s="1"/>
  <c r="I103" i="9"/>
  <c r="H103" i="9" s="1" a="1"/>
  <c r="H103" i="9" s="1"/>
  <c r="I535" i="9"/>
  <c r="H535" i="9" s="1" a="1"/>
  <c r="H535" i="9" s="1"/>
  <c r="I239" i="9"/>
  <c r="H239" i="9" s="1" a="1"/>
  <c r="H239" i="9" s="1"/>
  <c r="I536" i="9"/>
  <c r="H536" i="9" s="1" a="1"/>
  <c r="H536" i="9" s="1"/>
  <c r="I537" i="9"/>
  <c r="H537" i="9" s="1" a="1"/>
  <c r="H537" i="9" s="1"/>
  <c r="I538" i="9"/>
  <c r="H538" i="9" s="1" a="1"/>
  <c r="H538" i="9" s="1"/>
  <c r="I300" i="9"/>
  <c r="H300" i="9" s="1" a="1"/>
  <c r="H300" i="9" s="1"/>
  <c r="I104" i="9"/>
  <c r="H104" i="9" s="1" a="1"/>
  <c r="H104" i="9" s="1"/>
  <c r="I539" i="9"/>
  <c r="H539" i="9" s="1" a="1"/>
  <c r="H539" i="9" s="1"/>
  <c r="I211" i="9"/>
  <c r="H211" i="9" s="1" a="1"/>
  <c r="H211" i="9" s="1"/>
  <c r="I540" i="9"/>
  <c r="H540" i="9" s="1" a="1"/>
  <c r="H540" i="9" s="1"/>
  <c r="I272" i="9"/>
  <c r="H272" i="9" s="1" a="1"/>
  <c r="H272" i="9" s="1"/>
  <c r="I541" i="9"/>
  <c r="H541" i="9" s="1" a="1"/>
  <c r="H541" i="9" s="1"/>
  <c r="I542" i="9"/>
  <c r="H542" i="9" s="1" a="1"/>
  <c r="H542" i="9" s="1"/>
  <c r="I543" i="9"/>
  <c r="H543" i="9" s="1" a="1"/>
  <c r="H543" i="9" s="1"/>
  <c r="I55" i="9"/>
  <c r="H55" i="9" s="1" a="1"/>
  <c r="H55" i="9" s="1"/>
  <c r="I257" i="9"/>
  <c r="H257" i="9" s="1" a="1"/>
  <c r="H257" i="9" s="1"/>
  <c r="I544" i="9"/>
  <c r="H544" i="9" s="1" a="1"/>
  <c r="H544" i="9" s="1"/>
  <c r="I114" i="9"/>
  <c r="H114" i="9" s="1" a="1"/>
  <c r="H114" i="9" s="1"/>
  <c r="I545" i="9"/>
  <c r="H545" i="9" s="1" a="1"/>
  <c r="H545" i="9" s="1"/>
  <c r="I248" i="9"/>
  <c r="H248" i="9" s="1" a="1"/>
  <c r="H248" i="9" s="1"/>
  <c r="I309" i="9"/>
  <c r="H309" i="9" s="1" a="1"/>
  <c r="H309" i="9" s="1"/>
  <c r="I246" i="9"/>
  <c r="H246" i="9" s="1" a="1"/>
  <c r="H246" i="9" s="1"/>
  <c r="I346" i="9"/>
  <c r="H346" i="9" s="1" a="1"/>
  <c r="H346" i="9" s="1"/>
  <c r="I297" i="9"/>
  <c r="H297" i="9" s="1" a="1"/>
  <c r="H297" i="9" s="1"/>
  <c r="I344" i="9"/>
  <c r="H344" i="9" s="1" a="1"/>
  <c r="H344" i="9" s="1"/>
  <c r="I301" i="9"/>
  <c r="H301" i="9" s="1" a="1"/>
  <c r="H301" i="9" s="1"/>
  <c r="I180" i="9"/>
  <c r="H180" i="9" s="1" a="1"/>
  <c r="H180" i="9" s="1"/>
  <c r="I273" i="9"/>
  <c r="H273" i="9" s="1" a="1"/>
  <c r="H273" i="9" s="1"/>
  <c r="I289" i="9"/>
  <c r="H289" i="9" s="1" a="1"/>
  <c r="H289" i="9" s="1"/>
  <c r="I546" i="9"/>
  <c r="H546" i="9" s="1" a="1"/>
  <c r="H546" i="9" s="1"/>
  <c r="I252" i="9"/>
  <c r="H252" i="9" s="1" a="1"/>
  <c r="H252" i="9" s="1"/>
  <c r="I215" i="9"/>
  <c r="H215" i="9" s="1" a="1"/>
  <c r="H215" i="9" s="1"/>
  <c r="I108" i="9"/>
  <c r="H108" i="9" s="1" a="1"/>
  <c r="H108" i="9" s="1"/>
  <c r="I334" i="9"/>
  <c r="H334" i="9" s="1" a="1"/>
  <c r="H334" i="9" s="1"/>
  <c r="I547" i="9"/>
  <c r="H547" i="9" s="1" a="1"/>
  <c r="H547" i="9" s="1"/>
  <c r="I130" i="9"/>
  <c r="H130" i="9" s="1" a="1"/>
  <c r="H130" i="9" s="1"/>
  <c r="I548" i="9"/>
  <c r="H548" i="9" s="1" a="1"/>
  <c r="H548" i="9" s="1"/>
  <c r="I549" i="9"/>
  <c r="H549" i="9" s="1" a="1"/>
  <c r="H549" i="9" s="1"/>
  <c r="I302" i="9"/>
  <c r="H302" i="9" s="1" a="1"/>
  <c r="H302" i="9" s="1"/>
  <c r="I23" i="9"/>
  <c r="H23" i="9" s="1" a="1"/>
  <c r="H23" i="9" s="1"/>
  <c r="I105" i="9"/>
  <c r="H105" i="9" s="1" a="1"/>
  <c r="H105" i="9" s="1"/>
  <c r="I365" i="9"/>
  <c r="H365" i="9" s="1" a="1"/>
  <c r="H365" i="9" s="1"/>
  <c r="I550" i="9"/>
  <c r="H550" i="9" s="1" a="1"/>
  <c r="H550" i="9" s="1"/>
  <c r="I551" i="9"/>
  <c r="H551" i="9" s="1" a="1"/>
  <c r="H551" i="9" s="1"/>
  <c r="I552" i="9"/>
  <c r="H552" i="9" s="1" a="1"/>
  <c r="H552" i="9" s="1"/>
  <c r="I106" i="9"/>
  <c r="H106" i="9" s="1" a="1"/>
  <c r="H106" i="9" s="1"/>
  <c r="I322" i="9"/>
  <c r="H322" i="9" s="1" a="1"/>
  <c r="H322" i="9" s="1"/>
  <c r="I553" i="9"/>
  <c r="H553" i="9" s="1" a="1"/>
  <c r="H553" i="9" s="1"/>
  <c r="I340" i="9"/>
  <c r="H340" i="9" s="1" a="1"/>
  <c r="H340" i="9" s="1"/>
  <c r="I107" i="9"/>
  <c r="H107" i="9" s="1" a="1"/>
  <c r="H107" i="9" s="1"/>
  <c r="I260" i="9"/>
  <c r="H260" i="9" s="1" a="1"/>
  <c r="H260" i="9" s="1"/>
  <c r="I554" i="9"/>
  <c r="H554" i="9" s="1" a="1"/>
  <c r="H554" i="9" s="1"/>
  <c r="E13" i="9"/>
  <c r="F13" i="9" s="1" a="1"/>
  <c r="F13" i="9" s="1"/>
  <c r="E367" i="9"/>
  <c r="F367" i="9" s="1" a="1"/>
  <c r="F367" i="9" s="1"/>
  <c r="E2" i="9"/>
  <c r="F2" i="9" s="1" a="1"/>
  <c r="F2" i="9" s="1"/>
  <c r="E131" i="9"/>
  <c r="F131" i="9" s="1" a="1"/>
  <c r="F131" i="9" s="1"/>
  <c r="E3" i="9"/>
  <c r="F3" i="9" s="1" a="1"/>
  <c r="F3" i="9" s="1"/>
  <c r="E368" i="9"/>
  <c r="F368" i="9" s="1" a="1"/>
  <c r="F368" i="9" s="1"/>
  <c r="E56" i="9"/>
  <c r="F56" i="9" s="1" a="1"/>
  <c r="F56" i="9" s="1"/>
  <c r="E324" i="9"/>
  <c r="F324" i="9" s="1" a="1"/>
  <c r="F324" i="9" s="1"/>
  <c r="E369" i="9"/>
  <c r="F369" i="9" s="1" a="1"/>
  <c r="F369" i="9" s="1"/>
  <c r="E370" i="9"/>
  <c r="F370" i="9" s="1" a="1"/>
  <c r="F370" i="9" s="1"/>
  <c r="E371" i="9"/>
  <c r="F371" i="9" s="1" a="1"/>
  <c r="F371" i="9" s="1"/>
  <c r="E372" i="9"/>
  <c r="F372" i="9" s="1" a="1"/>
  <c r="F372" i="9" s="1"/>
  <c r="E277" i="9"/>
  <c r="F277" i="9" s="1" a="1"/>
  <c r="F277" i="9" s="1"/>
  <c r="E264" i="9"/>
  <c r="F264" i="9" s="1" a="1"/>
  <c r="F264" i="9" s="1"/>
  <c r="E373" i="9"/>
  <c r="F373" i="9" s="1" a="1"/>
  <c r="F373" i="9" s="1"/>
  <c r="E374" i="9"/>
  <c r="F374" i="9" s="1" a="1"/>
  <c r="F374" i="9" s="1"/>
  <c r="E201" i="9"/>
  <c r="F201" i="9" s="1" a="1"/>
  <c r="F201" i="9" s="1"/>
  <c r="E57" i="9"/>
  <c r="F57" i="9" s="1" a="1"/>
  <c r="F57" i="9" s="1"/>
  <c r="E58" i="9"/>
  <c r="F58" i="9" s="1" a="1"/>
  <c r="F58" i="9" s="1"/>
  <c r="E303" i="9"/>
  <c r="F303" i="9" s="1" a="1"/>
  <c r="F303" i="9" s="1"/>
  <c r="E189" i="9"/>
  <c r="F189" i="9" s="1" a="1"/>
  <c r="F189" i="9" s="1"/>
  <c r="E133" i="9"/>
  <c r="F133" i="9" s="1" a="1"/>
  <c r="F133" i="9" s="1"/>
  <c r="E375" i="9"/>
  <c r="F375" i="9" s="1" a="1"/>
  <c r="F375" i="9" s="1"/>
  <c r="E376" i="9"/>
  <c r="F376" i="9" s="1" a="1"/>
  <c r="F376" i="9" s="1"/>
  <c r="E347" i="9"/>
  <c r="F347" i="9" s="1" a="1"/>
  <c r="F347" i="9" s="1"/>
  <c r="E196" i="9"/>
  <c r="F196" i="9" s="1" a="1"/>
  <c r="F196" i="9" s="1"/>
  <c r="E265" i="9"/>
  <c r="F265" i="9" s="1" a="1"/>
  <c r="F265" i="9" s="1"/>
  <c r="E8" i="9"/>
  <c r="F8" i="9" s="1" a="1"/>
  <c r="F8" i="9" s="1"/>
  <c r="E377" i="9"/>
  <c r="F377" i="9" s="1" a="1"/>
  <c r="F377" i="9" s="1"/>
  <c r="E378" i="9"/>
  <c r="F378" i="9" s="1" a="1"/>
  <c r="F378" i="9" s="1"/>
  <c r="E325" i="9"/>
  <c r="F325" i="9" s="1" a="1"/>
  <c r="F325" i="9" s="1"/>
  <c r="E379" i="9"/>
  <c r="F379" i="9" s="1" a="1"/>
  <c r="F379" i="9" s="1"/>
  <c r="E380" i="9"/>
  <c r="F380" i="9" s="1" a="1"/>
  <c r="F380" i="9" s="1"/>
  <c r="E243" i="9"/>
  <c r="F243" i="9" s="1" a="1"/>
  <c r="F243" i="9" s="1"/>
  <c r="E381" i="9"/>
  <c r="F381" i="9" s="1" a="1"/>
  <c r="F381" i="9" s="1"/>
  <c r="E166" i="9"/>
  <c r="F166" i="9" s="1" a="1"/>
  <c r="F166" i="9" s="1"/>
  <c r="E216" i="9"/>
  <c r="F216" i="9" s="1" a="1"/>
  <c r="F216" i="9" s="1"/>
  <c r="E244" i="9"/>
  <c r="F244" i="9" s="1" a="1"/>
  <c r="F244" i="9" s="1"/>
  <c r="E258" i="9"/>
  <c r="F258" i="9" s="1" a="1"/>
  <c r="F258" i="9" s="1"/>
  <c r="E382" i="9"/>
  <c r="F382" i="9" s="1" a="1"/>
  <c r="F382" i="9" s="1"/>
  <c r="E266" i="9"/>
  <c r="F266" i="9" s="1" a="1"/>
  <c r="F266" i="9" s="1"/>
  <c r="E125" i="9"/>
  <c r="F125" i="9" s="1" a="1"/>
  <c r="F125" i="9" s="1"/>
  <c r="E383" i="9"/>
  <c r="F383" i="9" s="1" a="1"/>
  <c r="F383" i="9" s="1"/>
  <c r="E24" i="9"/>
  <c r="F24" i="9" s="1" a="1"/>
  <c r="F24" i="9" s="1"/>
  <c r="E348" i="9"/>
  <c r="F348" i="9" s="1" a="1"/>
  <c r="F348" i="9" s="1"/>
  <c r="E355" i="9"/>
  <c r="F355" i="9" s="1" a="1"/>
  <c r="F355" i="9" s="1"/>
  <c r="E25" i="9"/>
  <c r="F25" i="9" s="1" a="1"/>
  <c r="F25" i="9" s="1"/>
  <c r="E384" i="9"/>
  <c r="F384" i="9" s="1" a="1"/>
  <c r="F384" i="9" s="1"/>
  <c r="E385" i="9"/>
  <c r="F385" i="9" s="1" a="1"/>
  <c r="F385" i="9" s="1"/>
  <c r="E153" i="9"/>
  <c r="F153" i="9" s="1" a="1"/>
  <c r="F153" i="9" s="1"/>
  <c r="E386" i="9"/>
  <c r="F386" i="9" s="1" a="1"/>
  <c r="F386" i="9" s="1"/>
  <c r="E387" i="9"/>
  <c r="F387" i="9" s="1" a="1"/>
  <c r="F387" i="9" s="1"/>
  <c r="E59" i="9"/>
  <c r="F59" i="9" s="1" a="1"/>
  <c r="F59" i="9" s="1"/>
  <c r="E388" i="9"/>
  <c r="F388" i="9" s="1" a="1"/>
  <c r="F388" i="9" s="1"/>
  <c r="E389" i="9"/>
  <c r="F389" i="9" s="1" a="1"/>
  <c r="F389" i="9" s="1"/>
  <c r="E60" i="9"/>
  <c r="F60" i="9" s="1" a="1"/>
  <c r="F60" i="9" s="1"/>
  <c r="E152" i="9"/>
  <c r="F152" i="9" s="1" a="1"/>
  <c r="F152" i="9" s="1"/>
  <c r="E121" i="9"/>
  <c r="F121" i="9" s="1" a="1"/>
  <c r="F121" i="9" s="1"/>
  <c r="E267" i="9"/>
  <c r="F267" i="9" s="1" a="1"/>
  <c r="F267" i="9" s="1"/>
  <c r="E390" i="9"/>
  <c r="F390" i="9" s="1" a="1"/>
  <c r="F390" i="9" s="1"/>
  <c r="E278" i="9"/>
  <c r="F278" i="9" s="1" a="1"/>
  <c r="F278" i="9" s="1"/>
  <c r="E14" i="9"/>
  <c r="F14" i="9" s="1" a="1"/>
  <c r="F14" i="9" s="1"/>
  <c r="E61" i="9"/>
  <c r="F61" i="9" s="1" a="1"/>
  <c r="F61" i="9" s="1"/>
  <c r="E282" i="9"/>
  <c r="F282" i="9" s="1" a="1"/>
  <c r="F282" i="9" s="1"/>
  <c r="E391" i="9"/>
  <c r="F391" i="9" s="1" a="1"/>
  <c r="F391" i="9" s="1"/>
  <c r="E392" i="9"/>
  <c r="F392" i="9" s="1" a="1"/>
  <c r="F392" i="9" s="1"/>
  <c r="E4" i="9"/>
  <c r="F4" i="9" s="1" a="1"/>
  <c r="F4" i="9" s="1"/>
  <c r="E393" i="9"/>
  <c r="F393" i="9" s="1" a="1"/>
  <c r="F393" i="9" s="1"/>
  <c r="E111" i="9"/>
  <c r="F111" i="9" s="1" a="1"/>
  <c r="F111" i="9" s="1"/>
  <c r="E15" i="9"/>
  <c r="F15" i="9" s="1" a="1"/>
  <c r="F15" i="9" s="1"/>
  <c r="E193" i="9"/>
  <c r="F193" i="9" s="1" a="1"/>
  <c r="F193" i="9" s="1"/>
  <c r="E140" i="9"/>
  <c r="F140" i="9" s="1" a="1"/>
  <c r="F140" i="9" s="1"/>
  <c r="E394" i="9"/>
  <c r="F394" i="9" s="1" a="1"/>
  <c r="F394" i="9" s="1"/>
  <c r="E395" i="9"/>
  <c r="F395" i="9" s="1" a="1"/>
  <c r="F395" i="9" s="1"/>
  <c r="E16" i="9"/>
  <c r="F16" i="9" s="1" a="1"/>
  <c r="F16" i="9" s="1"/>
  <c r="E62" i="9"/>
  <c r="F62" i="9" s="1" a="1"/>
  <c r="F62" i="9" s="1"/>
  <c r="E231" i="9"/>
  <c r="F231" i="9" s="1" a="1"/>
  <c r="F231" i="9" s="1"/>
  <c r="E187" i="9"/>
  <c r="F187" i="9" s="1" a="1"/>
  <c r="F187" i="9" s="1"/>
  <c r="E247" i="9"/>
  <c r="F247" i="9" s="1" a="1"/>
  <c r="F247" i="9" s="1"/>
  <c r="E63" i="9"/>
  <c r="F63" i="9" s="1" a="1"/>
  <c r="F63" i="9" s="1"/>
  <c r="E396" i="9"/>
  <c r="F396" i="9" s="1" a="1"/>
  <c r="F396" i="9" s="1"/>
  <c r="E26" i="9"/>
  <c r="F26" i="9" s="1" a="1"/>
  <c r="F26" i="9" s="1"/>
  <c r="E397" i="9"/>
  <c r="F397" i="9" s="1" a="1"/>
  <c r="F397" i="9" s="1"/>
  <c r="E290" i="9"/>
  <c r="F290" i="9" s="1" a="1"/>
  <c r="F290" i="9" s="1"/>
  <c r="E161" i="9"/>
  <c r="F161" i="9" s="1" a="1"/>
  <c r="F161" i="9" s="1"/>
  <c r="E142" i="9"/>
  <c r="F142" i="9" s="1" a="1"/>
  <c r="F142" i="9" s="1"/>
  <c r="E279" i="9"/>
  <c r="F279" i="9" s="1" a="1"/>
  <c r="F279" i="9" s="1"/>
  <c r="E241" i="9"/>
  <c r="F241" i="9" s="1" a="1"/>
  <c r="F241" i="9" s="1"/>
  <c r="E185" i="9"/>
  <c r="F185" i="9" s="1" a="1"/>
  <c r="F185" i="9" s="1"/>
  <c r="E181" i="9"/>
  <c r="F181" i="9" s="1" a="1"/>
  <c r="F181" i="9" s="1"/>
  <c r="E398" i="9"/>
  <c r="F398" i="9" s="1" a="1"/>
  <c r="F398" i="9" s="1"/>
  <c r="E225" i="9"/>
  <c r="F225" i="9" s="1" a="1"/>
  <c r="F225" i="9" s="1"/>
  <c r="E399" i="9"/>
  <c r="F399" i="9" s="1" a="1"/>
  <c r="F399" i="9" s="1"/>
  <c r="E27" i="9"/>
  <c r="F27" i="9" s="1" a="1"/>
  <c r="F27" i="9" s="1"/>
  <c r="E400" i="9"/>
  <c r="F400" i="9" s="1" a="1"/>
  <c r="F400" i="9" s="1"/>
  <c r="E318" i="9"/>
  <c r="F318" i="9" s="1" a="1"/>
  <c r="F318" i="9" s="1"/>
  <c r="E401" i="9"/>
  <c r="F401" i="9" s="1" a="1"/>
  <c r="F401" i="9" s="1"/>
  <c r="E402" i="9"/>
  <c r="F402" i="9" s="1" a="1"/>
  <c r="F402" i="9" s="1"/>
  <c r="E403" i="9"/>
  <c r="F403" i="9" s="1" a="1"/>
  <c r="F403" i="9" s="1"/>
  <c r="E404" i="9"/>
  <c r="F404" i="9" s="1" a="1"/>
  <c r="F404" i="9" s="1"/>
  <c r="E405" i="9"/>
  <c r="F405" i="9" s="1" a="1"/>
  <c r="F405" i="9" s="1"/>
  <c r="E132" i="9"/>
  <c r="F132" i="9" s="1" a="1"/>
  <c r="F132" i="9" s="1"/>
  <c r="E406" i="9"/>
  <c r="F406" i="9" s="1" a="1"/>
  <c r="F406" i="9" s="1"/>
  <c r="E407" i="9"/>
  <c r="F407" i="9" s="1" a="1"/>
  <c r="F407" i="9" s="1"/>
  <c r="E408" i="9"/>
  <c r="F408" i="9" s="1" a="1"/>
  <c r="F408" i="9" s="1"/>
  <c r="E151" i="9"/>
  <c r="F151" i="9" s="1" a="1"/>
  <c r="F151" i="9" s="1"/>
  <c r="E28" i="9"/>
  <c r="F28" i="9" s="1" a="1"/>
  <c r="F28" i="9" s="1"/>
  <c r="E227" i="9"/>
  <c r="F227" i="9" s="1" a="1"/>
  <c r="F227" i="9" s="1"/>
  <c r="E409" i="9"/>
  <c r="F409" i="9" s="1" a="1"/>
  <c r="F409" i="9" s="1"/>
  <c r="E283" i="9"/>
  <c r="F283" i="9" s="1" a="1"/>
  <c r="F283" i="9" s="1"/>
  <c r="E410" i="9"/>
  <c r="F410" i="9" s="1" a="1"/>
  <c r="F410" i="9" s="1"/>
  <c r="E411" i="9"/>
  <c r="F411" i="9" s="1" a="1"/>
  <c r="F411" i="9" s="1"/>
  <c r="E326" i="9"/>
  <c r="F326" i="9" s="1" a="1"/>
  <c r="F326" i="9" s="1"/>
  <c r="E412" i="9"/>
  <c r="F412" i="9" s="1" a="1"/>
  <c r="F412" i="9" s="1"/>
  <c r="E204" i="9"/>
  <c r="F204" i="9" s="1" a="1"/>
  <c r="F204" i="9" s="1"/>
  <c r="E156" i="9"/>
  <c r="F156" i="9" s="1" a="1"/>
  <c r="F156" i="9" s="1"/>
  <c r="E413" i="9"/>
  <c r="F413" i="9" s="1" a="1"/>
  <c r="F413" i="9" s="1"/>
  <c r="E414" i="9"/>
  <c r="F414" i="9" s="1" a="1"/>
  <c r="F414" i="9" s="1"/>
  <c r="E291" i="9"/>
  <c r="F291" i="9" s="1" a="1"/>
  <c r="F291" i="9" s="1"/>
  <c r="E113" i="9"/>
  <c r="F113" i="9" s="1" a="1"/>
  <c r="F113" i="9" s="1"/>
  <c r="E184" i="9"/>
  <c r="F184" i="9" s="1" a="1"/>
  <c r="F184" i="9" s="1"/>
  <c r="E118" i="9"/>
  <c r="F118" i="9" s="1" a="1"/>
  <c r="F118" i="9" s="1"/>
  <c r="E285" i="9"/>
  <c r="F285" i="9" s="1" a="1"/>
  <c r="F285" i="9" s="1"/>
  <c r="E223" i="9"/>
  <c r="F223" i="9" s="1" a="1"/>
  <c r="F223" i="9" s="1"/>
  <c r="E146" i="9"/>
  <c r="F146" i="9" s="1" a="1"/>
  <c r="F146" i="9" s="1"/>
  <c r="E138" i="9"/>
  <c r="F138" i="9" s="1" a="1"/>
  <c r="F138" i="9" s="1"/>
  <c r="E64" i="9"/>
  <c r="F64" i="9" s="1" a="1"/>
  <c r="F64" i="9" s="1"/>
  <c r="E332" i="9"/>
  <c r="F332" i="9" s="1" a="1"/>
  <c r="F332" i="9" s="1"/>
  <c r="E190" i="9"/>
  <c r="F190" i="9" s="1" a="1"/>
  <c r="F190" i="9" s="1"/>
  <c r="E65" i="9"/>
  <c r="F65" i="9" s="1" a="1"/>
  <c r="F65" i="9" s="1"/>
  <c r="E415" i="9"/>
  <c r="F415" i="9" s="1" a="1"/>
  <c r="F415" i="9" s="1"/>
  <c r="E197" i="9"/>
  <c r="F197" i="9" s="1" a="1"/>
  <c r="F197" i="9" s="1"/>
  <c r="E321" i="9"/>
  <c r="F321" i="9" s="1" a="1"/>
  <c r="F321" i="9" s="1"/>
  <c r="E205" i="9"/>
  <c r="F205" i="9" s="1" a="1"/>
  <c r="F205" i="9" s="1"/>
  <c r="E134" i="9"/>
  <c r="F134" i="9" s="1" a="1"/>
  <c r="F134" i="9" s="1"/>
  <c r="E221" i="9"/>
  <c r="F221" i="9" s="1" a="1"/>
  <c r="F221" i="9" s="1"/>
  <c r="E416" i="9"/>
  <c r="F416" i="9" s="1" a="1"/>
  <c r="F416" i="9" s="1"/>
  <c r="E188" i="9"/>
  <c r="F188" i="9" s="1" a="1"/>
  <c r="F188" i="9" s="1"/>
  <c r="E29" i="9"/>
  <c r="F29" i="9" s="1" a="1"/>
  <c r="F29" i="9" s="1"/>
  <c r="E129" i="9"/>
  <c r="F129" i="9" s="1" a="1"/>
  <c r="F129" i="9" s="1"/>
  <c r="E417" i="9"/>
  <c r="F417" i="9" s="1" a="1"/>
  <c r="F417" i="9" s="1"/>
  <c r="E207" i="9"/>
  <c r="F207" i="9" s="1" a="1"/>
  <c r="F207" i="9" s="1"/>
  <c r="E418" i="9"/>
  <c r="F418" i="9" s="1" a="1"/>
  <c r="F418" i="9" s="1"/>
  <c r="E135" i="9"/>
  <c r="F135" i="9" s="1" a="1"/>
  <c r="F135" i="9" s="1"/>
  <c r="E419" i="9"/>
  <c r="F419" i="9" s="1" a="1"/>
  <c r="F419" i="9" s="1"/>
  <c r="E420" i="9"/>
  <c r="F420" i="9" s="1" a="1"/>
  <c r="F420" i="9" s="1"/>
  <c r="E366" i="9"/>
  <c r="F366" i="9" s="1" a="1"/>
  <c r="F366" i="9" s="1"/>
  <c r="E183" i="9"/>
  <c r="F183" i="9" s="1" a="1"/>
  <c r="F183" i="9" s="1"/>
  <c r="E9" i="9"/>
  <c r="F9" i="9" s="1" a="1"/>
  <c r="F9" i="9" s="1"/>
  <c r="E421" i="9"/>
  <c r="F421" i="9" s="1" a="1"/>
  <c r="F421" i="9" s="1"/>
  <c r="E362" i="9"/>
  <c r="F362" i="9" s="1" a="1"/>
  <c r="F362" i="9" s="1"/>
  <c r="E155" i="9"/>
  <c r="F155" i="9" s="1" a="1"/>
  <c r="F155" i="9" s="1"/>
  <c r="E422" i="9"/>
  <c r="F422" i="9" s="1" a="1"/>
  <c r="F422" i="9" s="1"/>
  <c r="E423" i="9"/>
  <c r="F423" i="9" s="1" a="1"/>
  <c r="F423" i="9" s="1"/>
  <c r="E160" i="9"/>
  <c r="F160" i="9" s="1" a="1"/>
  <c r="F160" i="9" s="1"/>
  <c r="E424" i="9"/>
  <c r="F424" i="9" s="1" a="1"/>
  <c r="F424" i="9" s="1"/>
  <c r="E425" i="9"/>
  <c r="F425" i="9" s="1" a="1"/>
  <c r="F425" i="9" s="1"/>
  <c r="E426" i="9"/>
  <c r="F426" i="9" s="1" a="1"/>
  <c r="F426" i="9" s="1"/>
  <c r="E327" i="9"/>
  <c r="F327" i="9" s="1" a="1"/>
  <c r="F327" i="9" s="1"/>
  <c r="E349" i="9"/>
  <c r="F349" i="9" s="1" a="1"/>
  <c r="F349" i="9" s="1"/>
  <c r="E427" i="9"/>
  <c r="F427" i="9" s="1" a="1"/>
  <c r="F427" i="9" s="1"/>
  <c r="E428" i="9"/>
  <c r="F428" i="9" s="1" a="1"/>
  <c r="F428" i="9" s="1"/>
  <c r="E351" i="9"/>
  <c r="F351" i="9" s="1" a="1"/>
  <c r="F351" i="9" s="1"/>
  <c r="E345" i="9"/>
  <c r="F345" i="9" s="1" a="1"/>
  <c r="F345" i="9" s="1"/>
  <c r="E10" i="9"/>
  <c r="F10" i="9" s="1" a="1"/>
  <c r="F10" i="9" s="1"/>
  <c r="E66" i="9"/>
  <c r="F66" i="9" s="1" a="1"/>
  <c r="F66" i="9" s="1"/>
  <c r="E182" i="9"/>
  <c r="F182" i="9" s="1" a="1"/>
  <c r="F182" i="9" s="1"/>
  <c r="E251" i="9"/>
  <c r="F251" i="9" s="1" a="1"/>
  <c r="F251" i="9" s="1"/>
  <c r="E429" i="9"/>
  <c r="F429" i="9" s="1" a="1"/>
  <c r="F429" i="9" s="1"/>
  <c r="E17" i="9"/>
  <c r="F17" i="9" s="1" a="1"/>
  <c r="F17" i="9" s="1"/>
  <c r="E280" i="9"/>
  <c r="F280" i="9" s="1" a="1"/>
  <c r="F280" i="9" s="1"/>
  <c r="E430" i="9"/>
  <c r="F430" i="9" s="1" a="1"/>
  <c r="F430" i="9" s="1"/>
  <c r="E169" i="9"/>
  <c r="F169" i="9" s="1" a="1"/>
  <c r="F169" i="9" s="1"/>
  <c r="E431" i="9"/>
  <c r="F431" i="9" s="1" a="1"/>
  <c r="F431" i="9" s="1"/>
  <c r="E170" i="9"/>
  <c r="F170" i="9" s="1" a="1"/>
  <c r="F170" i="9" s="1"/>
  <c r="E335" i="9"/>
  <c r="F335" i="9" s="1" a="1"/>
  <c r="F335" i="9" s="1"/>
  <c r="E30" i="9"/>
  <c r="F30" i="9" s="1" a="1"/>
  <c r="F30" i="9" s="1"/>
  <c r="E163" i="9"/>
  <c r="F163" i="9" s="1" a="1"/>
  <c r="F163" i="9" s="1"/>
  <c r="E139" i="9"/>
  <c r="F139" i="9" s="1" a="1"/>
  <c r="F139" i="9" s="1"/>
  <c r="E292" i="9"/>
  <c r="F292" i="9" s="1" a="1"/>
  <c r="F292" i="9" s="1"/>
  <c r="E432" i="9"/>
  <c r="F432" i="9" s="1" a="1"/>
  <c r="F432" i="9" s="1"/>
  <c r="E250" i="9"/>
  <c r="F250" i="9" s="1" a="1"/>
  <c r="F250" i="9" s="1"/>
  <c r="E31" i="9"/>
  <c r="F31" i="9" s="1" a="1"/>
  <c r="F31" i="9" s="1"/>
  <c r="E32" i="9"/>
  <c r="F32" i="9" s="1" a="1"/>
  <c r="F32" i="9" s="1"/>
  <c r="E312" i="9"/>
  <c r="F312" i="9" s="1" a="1"/>
  <c r="F312" i="9" s="1"/>
  <c r="E433" i="9"/>
  <c r="F433" i="9" s="1" a="1"/>
  <c r="F433" i="9" s="1"/>
  <c r="E361" i="9"/>
  <c r="F361" i="9" s="1" a="1"/>
  <c r="F361" i="9" s="1"/>
  <c r="E434" i="9"/>
  <c r="F434" i="9" s="1" a="1"/>
  <c r="F434" i="9" s="1"/>
  <c r="E435" i="9"/>
  <c r="F435" i="9" s="1" a="1"/>
  <c r="F435" i="9" s="1"/>
  <c r="E436" i="9"/>
  <c r="F436" i="9" s="1" a="1"/>
  <c r="F436" i="9" s="1"/>
  <c r="E122" i="9"/>
  <c r="F122" i="9" s="1" a="1"/>
  <c r="F122" i="9" s="1"/>
  <c r="E148" i="9"/>
  <c r="F148" i="9" s="1" a="1"/>
  <c r="F148" i="9" s="1"/>
  <c r="E437" i="9"/>
  <c r="F437" i="9" s="1" a="1"/>
  <c r="F437" i="9" s="1"/>
  <c r="E294" i="9"/>
  <c r="F294" i="9" s="1" a="1"/>
  <c r="F294" i="9" s="1"/>
  <c r="E33" i="9"/>
  <c r="F33" i="9" s="1" a="1"/>
  <c r="F33" i="9" s="1"/>
  <c r="E438" i="9"/>
  <c r="F438" i="9" s="1" a="1"/>
  <c r="F438" i="9" s="1"/>
  <c r="E439" i="9"/>
  <c r="F439" i="9" s="1" a="1"/>
  <c r="F439" i="9" s="1"/>
  <c r="E358" i="9"/>
  <c r="F358" i="9" s="1" a="1"/>
  <c r="F358" i="9" s="1"/>
  <c r="E440" i="9"/>
  <c r="F440" i="9" s="1" a="1"/>
  <c r="F440" i="9" s="1"/>
  <c r="E441" i="9"/>
  <c r="F441" i="9" s="1" a="1"/>
  <c r="F441" i="9" s="1"/>
  <c r="E229" i="9"/>
  <c r="F229" i="9" s="1" a="1"/>
  <c r="F229" i="9" s="1"/>
  <c r="E34" i="9"/>
  <c r="F34" i="9" s="1" a="1"/>
  <c r="F34" i="9" s="1"/>
  <c r="E442" i="9"/>
  <c r="F442" i="9" s="1" a="1"/>
  <c r="F442" i="9" s="1"/>
  <c r="E443" i="9"/>
  <c r="F443" i="9" s="1" a="1"/>
  <c r="F443" i="9" s="1"/>
  <c r="E307" i="9"/>
  <c r="F307" i="9" s="1" a="1"/>
  <c r="F307" i="9" s="1"/>
  <c r="E444" i="9"/>
  <c r="F444" i="9" s="1" a="1"/>
  <c r="F444" i="9" s="1"/>
  <c r="E445" i="9"/>
  <c r="F445" i="9" s="1" a="1"/>
  <c r="F445" i="9" s="1"/>
  <c r="E35" i="9"/>
  <c r="F35" i="9" s="1" a="1"/>
  <c r="F35" i="9" s="1"/>
  <c r="E296" i="9"/>
  <c r="F296" i="9" s="1" a="1"/>
  <c r="F296" i="9" s="1"/>
  <c r="E36" i="9"/>
  <c r="F36" i="9" s="1" a="1"/>
  <c r="F36" i="9" s="1"/>
  <c r="E162" i="9"/>
  <c r="F162" i="9" s="1" a="1"/>
  <c r="F162" i="9" s="1"/>
  <c r="E341" i="9"/>
  <c r="F341" i="9" s="1" a="1"/>
  <c r="F341" i="9" s="1"/>
  <c r="E274" i="9"/>
  <c r="F274" i="9" s="1" a="1"/>
  <c r="F274" i="9" s="1"/>
  <c r="E238" i="9"/>
  <c r="F238" i="9" s="1" a="1"/>
  <c r="F238" i="9" s="1"/>
  <c r="E446" i="9"/>
  <c r="F446" i="9" s="1" a="1"/>
  <c r="F446" i="9" s="1"/>
  <c r="E235" i="9"/>
  <c r="F235" i="9" s="1" a="1"/>
  <c r="F235" i="9" s="1"/>
  <c r="E210" i="9"/>
  <c r="F210" i="9" s="1" a="1"/>
  <c r="F210" i="9" s="1"/>
  <c r="E236" i="9"/>
  <c r="F236" i="9" s="1" a="1"/>
  <c r="F236" i="9" s="1"/>
  <c r="E447" i="9"/>
  <c r="F447" i="9" s="1" a="1"/>
  <c r="F447" i="9" s="1"/>
  <c r="E213" i="9"/>
  <c r="F213" i="9" s="1" a="1"/>
  <c r="F213" i="9" s="1"/>
  <c r="E67" i="9"/>
  <c r="F67" i="9" s="1" a="1"/>
  <c r="F67" i="9" s="1"/>
  <c r="E448" i="9"/>
  <c r="F448" i="9" s="1" a="1"/>
  <c r="F448" i="9" s="1"/>
  <c r="E449" i="9"/>
  <c r="F449" i="9" s="1" a="1"/>
  <c r="F449" i="9" s="1"/>
  <c r="E37" i="9"/>
  <c r="F37" i="9" s="1" a="1"/>
  <c r="F37" i="9" s="1"/>
  <c r="E253" i="9"/>
  <c r="F253" i="9" s="1" a="1"/>
  <c r="F253" i="9" s="1"/>
  <c r="E314" i="9"/>
  <c r="F314" i="9" s="1" a="1"/>
  <c r="F314" i="9" s="1"/>
  <c r="E242" i="9"/>
  <c r="F242" i="9" s="1" a="1"/>
  <c r="F242" i="9" s="1"/>
  <c r="E228" i="9"/>
  <c r="F228" i="9" s="1" a="1"/>
  <c r="F228" i="9" s="1"/>
  <c r="E356" i="9"/>
  <c r="F356" i="9" s="1" a="1"/>
  <c r="F356" i="9" s="1"/>
  <c r="E18" i="9"/>
  <c r="F18" i="9" s="1" a="1"/>
  <c r="F18" i="9" s="1"/>
  <c r="E38" i="9"/>
  <c r="F38" i="9" s="1" a="1"/>
  <c r="F38" i="9" s="1"/>
  <c r="E450" i="9"/>
  <c r="F450" i="9" s="1" a="1"/>
  <c r="F450" i="9" s="1"/>
  <c r="E286" i="9"/>
  <c r="F286" i="9" s="1" a="1"/>
  <c r="F286" i="9" s="1"/>
  <c r="E214" i="9"/>
  <c r="F214" i="9" s="1" a="1"/>
  <c r="F214" i="9" s="1"/>
  <c r="E451" i="9"/>
  <c r="F451" i="9" s="1" a="1"/>
  <c r="F451" i="9" s="1"/>
  <c r="E452" i="9"/>
  <c r="F452" i="9" s="1" a="1"/>
  <c r="F452" i="9" s="1"/>
  <c r="E317" i="9"/>
  <c r="F317" i="9" s="1" a="1"/>
  <c r="F317" i="9" s="1"/>
  <c r="E453" i="9"/>
  <c r="F453" i="9" s="1" a="1"/>
  <c r="F453" i="9" s="1"/>
  <c r="E454" i="9"/>
  <c r="F454" i="9" s="1" a="1"/>
  <c r="F454" i="9" s="1"/>
  <c r="E212" i="9"/>
  <c r="F212" i="9" s="1" a="1"/>
  <c r="F212" i="9" s="1"/>
  <c r="E112" i="9"/>
  <c r="F112" i="9" s="1" a="1"/>
  <c r="F112" i="9" s="1"/>
  <c r="E455" i="9"/>
  <c r="F455" i="9" s="1" a="1"/>
  <c r="F455" i="9" s="1"/>
  <c r="E306" i="9"/>
  <c r="F306" i="9" s="1" a="1"/>
  <c r="F306" i="9" s="1"/>
  <c r="E456" i="9"/>
  <c r="F456" i="9" s="1" a="1"/>
  <c r="F456" i="9" s="1"/>
  <c r="E171" i="9"/>
  <c r="F171" i="9" s="1" a="1"/>
  <c r="F171" i="9" s="1"/>
  <c r="E68" i="9"/>
  <c r="F68" i="9" s="1" a="1"/>
  <c r="F68" i="9" s="1"/>
  <c r="E330" i="9"/>
  <c r="F330" i="9" s="1" a="1"/>
  <c r="F330" i="9" s="1"/>
  <c r="E457" i="9"/>
  <c r="F457" i="9" s="1" a="1"/>
  <c r="F457" i="9" s="1"/>
  <c r="E458" i="9"/>
  <c r="F458" i="9" s="1" a="1"/>
  <c r="F458" i="9" s="1"/>
  <c r="E232" i="9"/>
  <c r="F232" i="9" s="1" a="1"/>
  <c r="F232" i="9" s="1"/>
  <c r="E115" i="9"/>
  <c r="F115" i="9" s="1" a="1"/>
  <c r="F115" i="9" s="1"/>
  <c r="E39" i="9"/>
  <c r="F39" i="9" s="1" a="1"/>
  <c r="F39" i="9" s="1"/>
  <c r="E459" i="9"/>
  <c r="F459" i="9" s="1" a="1"/>
  <c r="F459" i="9" s="1"/>
  <c r="E460" i="9"/>
  <c r="F460" i="9" s="1" a="1"/>
  <c r="F460" i="9" s="1"/>
  <c r="E40" i="9"/>
  <c r="F40" i="9" s="1" a="1"/>
  <c r="F40" i="9" s="1"/>
  <c r="E172" i="9"/>
  <c r="F172" i="9" s="1" a="1"/>
  <c r="F172" i="9" s="1"/>
  <c r="E352" i="9"/>
  <c r="F352" i="9" s="1" a="1"/>
  <c r="F352" i="9" s="1"/>
  <c r="E461" i="9"/>
  <c r="F461" i="9" s="1" a="1"/>
  <c r="F461" i="9" s="1"/>
  <c r="E19" i="9"/>
  <c r="F19" i="9" s="1" a="1"/>
  <c r="F19" i="9" s="1"/>
  <c r="E209" i="9"/>
  <c r="F209" i="9" s="1" a="1"/>
  <c r="F209" i="9" s="1"/>
  <c r="E149" i="9"/>
  <c r="F149" i="9" s="1" a="1"/>
  <c r="F149" i="9" s="1"/>
  <c r="E69" i="9"/>
  <c r="F69" i="9" s="1" a="1"/>
  <c r="F69" i="9" s="1"/>
  <c r="E70" i="9"/>
  <c r="F70" i="9" s="1" a="1"/>
  <c r="F70" i="9" s="1"/>
  <c r="E298" i="9"/>
  <c r="F298" i="9" s="1" a="1"/>
  <c r="F298" i="9" s="1"/>
  <c r="E261" i="9"/>
  <c r="F261" i="9" s="1" a="1"/>
  <c r="F261" i="9" s="1"/>
  <c r="E315" i="9"/>
  <c r="F315" i="9" s="1" a="1"/>
  <c r="F315" i="9" s="1"/>
  <c r="E71" i="9"/>
  <c r="F71" i="9" s="1" a="1"/>
  <c r="F71" i="9" s="1"/>
  <c r="E208" i="9"/>
  <c r="F208" i="9" s="1" a="1"/>
  <c r="F208" i="9" s="1"/>
  <c r="E281" i="9"/>
  <c r="F281" i="9" s="1" a="1"/>
  <c r="F281" i="9" s="1"/>
  <c r="E110" i="9"/>
  <c r="F110" i="9" s="1" a="1"/>
  <c r="F110" i="9" s="1"/>
  <c r="E240" i="9"/>
  <c r="F240" i="9" s="1" a="1"/>
  <c r="F240" i="9" s="1"/>
  <c r="E462" i="9"/>
  <c r="F462" i="9" s="1" a="1"/>
  <c r="F462" i="9" s="1"/>
  <c r="E194" i="9"/>
  <c r="F194" i="9" s="1" a="1"/>
  <c r="F194" i="9" s="1"/>
  <c r="E357" i="9"/>
  <c r="F357" i="9" s="1" a="1"/>
  <c r="F357" i="9" s="1"/>
  <c r="E72" i="9"/>
  <c r="F72" i="9" s="1" a="1"/>
  <c r="F72" i="9" s="1"/>
  <c r="E463" i="9"/>
  <c r="F463" i="9" s="1" a="1"/>
  <c r="F463" i="9" s="1"/>
  <c r="E219" i="9"/>
  <c r="F219" i="9" s="1" a="1"/>
  <c r="F219" i="9" s="1"/>
  <c r="E464" i="9"/>
  <c r="F464" i="9" s="1" a="1"/>
  <c r="F464" i="9" s="1"/>
  <c r="E268" i="9"/>
  <c r="F268" i="9" s="1" a="1"/>
  <c r="F268" i="9" s="1"/>
  <c r="E295" i="9"/>
  <c r="F295" i="9" s="1" a="1"/>
  <c r="F295" i="9" s="1"/>
  <c r="E465" i="9"/>
  <c r="F465" i="9" s="1" a="1"/>
  <c r="F465" i="9" s="1"/>
  <c r="E466" i="9"/>
  <c r="F466" i="9" s="1" a="1"/>
  <c r="F466" i="9" s="1"/>
  <c r="E141" i="9"/>
  <c r="F141" i="9" s="1" a="1"/>
  <c r="F141" i="9" s="1"/>
  <c r="E329" i="9"/>
  <c r="F329" i="9" s="1" a="1"/>
  <c r="F329" i="9" s="1"/>
  <c r="E233" i="9"/>
  <c r="F233" i="9" s="1" a="1"/>
  <c r="F233" i="9" s="1"/>
  <c r="E467" i="9"/>
  <c r="F467" i="9" s="1" a="1"/>
  <c r="F467" i="9" s="1"/>
  <c r="E468" i="9"/>
  <c r="F468" i="9" s="1" a="1"/>
  <c r="F468" i="9" s="1"/>
  <c r="E73" i="9"/>
  <c r="F73" i="9" s="1" a="1"/>
  <c r="F73" i="9" s="1"/>
  <c r="E469" i="9"/>
  <c r="F469" i="9" s="1" a="1"/>
  <c r="F469" i="9" s="1"/>
  <c r="E74" i="9"/>
  <c r="F74" i="9" s="1" a="1"/>
  <c r="F74" i="9" s="1"/>
  <c r="E145" i="9"/>
  <c r="F145" i="9" s="1" a="1"/>
  <c r="F145" i="9" s="1"/>
  <c r="E173" i="9"/>
  <c r="F173" i="9" s="1" a="1"/>
  <c r="F173" i="9" s="1"/>
  <c r="E174" i="9"/>
  <c r="F174" i="9" s="1" a="1"/>
  <c r="F174" i="9" s="1"/>
  <c r="E186" i="9"/>
  <c r="F186" i="9" s="1" a="1"/>
  <c r="F186" i="9" s="1"/>
  <c r="E41" i="9"/>
  <c r="F41" i="9" s="1" a="1"/>
  <c r="F41" i="9" s="1"/>
  <c r="E75" i="9"/>
  <c r="F75" i="9" s="1" a="1"/>
  <c r="F75" i="9" s="1"/>
  <c r="E470" i="9"/>
  <c r="F470" i="9" s="1" a="1"/>
  <c r="F470" i="9" s="1"/>
  <c r="E471" i="9"/>
  <c r="F471" i="9" s="1" a="1"/>
  <c r="F471" i="9" s="1"/>
  <c r="E11" i="9"/>
  <c r="F11" i="9" s="1" a="1"/>
  <c r="F11" i="9" s="1"/>
  <c r="E218" i="9"/>
  <c r="F218" i="9" s="1" a="1"/>
  <c r="F218" i="9" s="1"/>
  <c r="E331" i="9"/>
  <c r="F331" i="9" s="1" a="1"/>
  <c r="F331" i="9" s="1"/>
  <c r="E472" i="9"/>
  <c r="F472" i="9" s="1" a="1"/>
  <c r="F472" i="9" s="1"/>
  <c r="E473" i="9"/>
  <c r="F473" i="9" s="1" a="1"/>
  <c r="F473" i="9" s="1"/>
  <c r="E474" i="9"/>
  <c r="F474" i="9" s="1" a="1"/>
  <c r="F474" i="9" s="1"/>
  <c r="E76" i="9"/>
  <c r="F76" i="9" s="1" a="1"/>
  <c r="F76" i="9" s="1"/>
  <c r="E475" i="9"/>
  <c r="F475" i="9" s="1" a="1"/>
  <c r="F475" i="9" s="1"/>
  <c r="E336" i="9"/>
  <c r="F336" i="9" s="1" a="1"/>
  <c r="F336" i="9" s="1"/>
  <c r="E77" i="9"/>
  <c r="F77" i="9" s="1" a="1"/>
  <c r="F77" i="9" s="1"/>
  <c r="E476" i="9"/>
  <c r="F476" i="9" s="1" a="1"/>
  <c r="F476" i="9" s="1"/>
  <c r="E42" i="9"/>
  <c r="F42" i="9" s="1" a="1"/>
  <c r="F42" i="9" s="1"/>
  <c r="E477" i="9"/>
  <c r="F477" i="9" s="1" a="1"/>
  <c r="F477" i="9" s="1"/>
  <c r="E293" i="9"/>
  <c r="F293" i="9" s="1" a="1"/>
  <c r="F293" i="9" s="1"/>
  <c r="E478" i="9"/>
  <c r="F478" i="9" s="1" a="1"/>
  <c r="F478" i="9" s="1"/>
  <c r="E479" i="9"/>
  <c r="F479" i="9" s="1" a="1"/>
  <c r="F479" i="9" s="1"/>
  <c r="E480" i="9"/>
  <c r="F480" i="9" s="1" a="1"/>
  <c r="F480" i="9" s="1"/>
  <c r="E342" i="9"/>
  <c r="F342" i="9" s="1" a="1"/>
  <c r="F342" i="9" s="1"/>
  <c r="E316" i="9"/>
  <c r="F316" i="9" s="1" a="1"/>
  <c r="F316" i="9" s="1"/>
  <c r="E481" i="9"/>
  <c r="F481" i="9" s="1" a="1"/>
  <c r="F481" i="9" s="1"/>
  <c r="E195" i="9"/>
  <c r="F195" i="9" s="1" a="1"/>
  <c r="F195" i="9" s="1"/>
  <c r="E255" i="9"/>
  <c r="F255" i="9" s="1" a="1"/>
  <c r="F255" i="9" s="1"/>
  <c r="E482" i="9"/>
  <c r="F482" i="9" s="1" a="1"/>
  <c r="F482" i="9" s="1"/>
  <c r="E483" i="9"/>
  <c r="F483" i="9" s="1" a="1"/>
  <c r="F483" i="9" s="1"/>
  <c r="E484" i="9"/>
  <c r="F484" i="9" s="1" a="1"/>
  <c r="F484" i="9" s="1"/>
  <c r="E269" i="9"/>
  <c r="F269" i="9" s="1" a="1"/>
  <c r="F269" i="9" s="1"/>
  <c r="E175" i="9"/>
  <c r="F175" i="9" s="1" a="1"/>
  <c r="F175" i="9" s="1"/>
  <c r="E304" i="9"/>
  <c r="F304" i="9" s="1" a="1"/>
  <c r="F304" i="9" s="1"/>
  <c r="E485" i="9"/>
  <c r="F485" i="9" s="1" a="1"/>
  <c r="F485" i="9" s="1"/>
  <c r="E144" i="9"/>
  <c r="F144" i="9" s="1" a="1"/>
  <c r="F144" i="9" s="1"/>
  <c r="E199" i="9"/>
  <c r="F199" i="9" s="1" a="1"/>
  <c r="F199" i="9" s="1"/>
  <c r="E276" i="9"/>
  <c r="F276" i="9" s="1" a="1"/>
  <c r="F276" i="9" s="1"/>
  <c r="E234" i="9"/>
  <c r="F234" i="9" s="1" a="1"/>
  <c r="F234" i="9" s="1"/>
  <c r="E486" i="9"/>
  <c r="F486" i="9" s="1" a="1"/>
  <c r="F486" i="9" s="1"/>
  <c r="E117" i="9"/>
  <c r="F117" i="9" s="1" a="1"/>
  <c r="F117" i="9" s="1"/>
  <c r="E487" i="9"/>
  <c r="F487" i="9" s="1" a="1"/>
  <c r="F487" i="9" s="1"/>
  <c r="E333" i="9"/>
  <c r="F333" i="9" s="1" a="1"/>
  <c r="F333" i="9" s="1"/>
  <c r="E78" i="9"/>
  <c r="F78" i="9" s="1" a="1"/>
  <c r="F78" i="9" s="1"/>
  <c r="E299" i="9"/>
  <c r="F299" i="9" s="1" a="1"/>
  <c r="F299" i="9" s="1"/>
  <c r="E488" i="9"/>
  <c r="F488" i="9" s="1" a="1"/>
  <c r="F488" i="9" s="1"/>
  <c r="E489" i="9"/>
  <c r="F489" i="9" s="1" a="1"/>
  <c r="F489" i="9" s="1"/>
  <c r="E79" i="9"/>
  <c r="F79" i="9" s="1" a="1"/>
  <c r="F79" i="9" s="1"/>
  <c r="E43" i="9"/>
  <c r="F43" i="9" s="1" a="1"/>
  <c r="F43" i="9" s="1"/>
  <c r="E490" i="9"/>
  <c r="F490" i="9" s="1" a="1"/>
  <c r="F490" i="9" s="1"/>
  <c r="E491" i="9"/>
  <c r="F491" i="9" s="1" a="1"/>
  <c r="F491" i="9" s="1"/>
  <c r="E492" i="9"/>
  <c r="F492" i="9" s="1" a="1"/>
  <c r="F492" i="9" s="1"/>
  <c r="E44" i="9"/>
  <c r="F44" i="9" s="1" a="1"/>
  <c r="F44" i="9" s="1"/>
  <c r="E493" i="9"/>
  <c r="F493" i="9" s="1" a="1"/>
  <c r="F493" i="9" s="1"/>
  <c r="E20" i="9"/>
  <c r="F20" i="9" s="1" a="1"/>
  <c r="F20" i="9" s="1"/>
  <c r="E167" i="9"/>
  <c r="F167" i="9" s="1" a="1"/>
  <c r="F167" i="9" s="1"/>
  <c r="E21" i="9"/>
  <c r="F21" i="9" s="1" a="1"/>
  <c r="F21" i="9" s="1"/>
  <c r="E176" i="9"/>
  <c r="F176" i="9" s="1" a="1"/>
  <c r="F176" i="9" s="1"/>
  <c r="E494" i="9"/>
  <c r="F494" i="9" s="1" a="1"/>
  <c r="F494" i="9" s="1"/>
  <c r="E45" i="9"/>
  <c r="F45" i="9" s="1" a="1"/>
  <c r="F45" i="9" s="1"/>
  <c r="E80" i="9"/>
  <c r="F80" i="9" s="1" a="1"/>
  <c r="F80" i="9" s="1"/>
  <c r="E81" i="9"/>
  <c r="F81" i="9" s="1" a="1"/>
  <c r="F81" i="9" s="1"/>
  <c r="E82" i="9"/>
  <c r="F82" i="9" s="1" a="1"/>
  <c r="F82" i="9" s="1"/>
  <c r="E495" i="9"/>
  <c r="F495" i="9" s="1" a="1"/>
  <c r="F495" i="9" s="1"/>
  <c r="E353" i="9"/>
  <c r="F353" i="9" s="1" a="1"/>
  <c r="F353" i="9" s="1"/>
  <c r="E496" i="9"/>
  <c r="F496" i="9" s="1" a="1"/>
  <c r="F496" i="9" s="1"/>
  <c r="E287" i="9"/>
  <c r="F287" i="9" s="1" a="1"/>
  <c r="F287" i="9" s="1"/>
  <c r="E497" i="9"/>
  <c r="F497" i="9" s="1" a="1"/>
  <c r="F497" i="9" s="1"/>
  <c r="E498" i="9"/>
  <c r="F498" i="9" s="1" a="1"/>
  <c r="F498" i="9" s="1"/>
  <c r="E262" i="9"/>
  <c r="F262" i="9" s="1" a="1"/>
  <c r="F262" i="9" s="1"/>
  <c r="E192" i="9"/>
  <c r="F192" i="9" s="1" a="1"/>
  <c r="F192" i="9" s="1"/>
  <c r="E126" i="9"/>
  <c r="F126" i="9" s="1" a="1"/>
  <c r="F126" i="9" s="1"/>
  <c r="E499" i="9"/>
  <c r="F499" i="9" s="1" a="1"/>
  <c r="F499" i="9" s="1"/>
  <c r="E83" i="9"/>
  <c r="F83" i="9" s="1" a="1"/>
  <c r="F83" i="9" s="1"/>
  <c r="E500" i="9"/>
  <c r="F500" i="9" s="1" a="1"/>
  <c r="F500" i="9" s="1"/>
  <c r="E5" i="9"/>
  <c r="F5" i="9" s="1" a="1"/>
  <c r="F5" i="9" s="1"/>
  <c r="E12" i="9"/>
  <c r="F12" i="9" s="1" a="1"/>
  <c r="F12" i="9" s="1"/>
  <c r="E256" i="9"/>
  <c r="F256" i="9" s="1" a="1"/>
  <c r="F256" i="9" s="1"/>
  <c r="E501" i="9"/>
  <c r="F501" i="9" s="1" a="1"/>
  <c r="F501" i="9" s="1"/>
  <c r="E354" i="9"/>
  <c r="F354" i="9" s="1" a="1"/>
  <c r="F354" i="9" s="1"/>
  <c r="E84" i="9"/>
  <c r="F84" i="9" s="1" a="1"/>
  <c r="F84" i="9" s="1"/>
  <c r="E502" i="9"/>
  <c r="F502" i="9" s="1" a="1"/>
  <c r="F502" i="9" s="1"/>
  <c r="E120" i="9"/>
  <c r="F120" i="9" s="1" a="1"/>
  <c r="F120" i="9" s="1"/>
  <c r="E191" i="9"/>
  <c r="F191" i="9" s="1" a="1"/>
  <c r="F191" i="9" s="1"/>
  <c r="E85" i="9"/>
  <c r="F85" i="9" s="1" a="1"/>
  <c r="F85" i="9" s="1"/>
  <c r="E320" i="9"/>
  <c r="F320" i="9" s="1" a="1"/>
  <c r="F320" i="9" s="1"/>
  <c r="E226" i="9"/>
  <c r="F226" i="9" s="1" a="1"/>
  <c r="F226" i="9" s="1"/>
  <c r="E343" i="9"/>
  <c r="F343" i="9" s="1" a="1"/>
  <c r="F343" i="9" s="1"/>
  <c r="E86" i="9"/>
  <c r="F86" i="9" s="1" a="1"/>
  <c r="F86" i="9" s="1"/>
  <c r="E503" i="9"/>
  <c r="F503" i="9" s="1" a="1"/>
  <c r="F503" i="9" s="1"/>
  <c r="E350" i="9"/>
  <c r="F350" i="9" s="1" a="1"/>
  <c r="F350" i="9" s="1"/>
  <c r="E6" i="9"/>
  <c r="F6" i="9" s="1" a="1"/>
  <c r="F6" i="9" s="1"/>
  <c r="E87" i="9"/>
  <c r="F87" i="9" s="1" a="1"/>
  <c r="F87" i="9" s="1"/>
  <c r="E504" i="9"/>
  <c r="F504" i="9" s="1" a="1"/>
  <c r="F504" i="9" s="1"/>
  <c r="E46" i="9"/>
  <c r="F46" i="9" s="1" a="1"/>
  <c r="F46" i="9" s="1"/>
  <c r="E198" i="9"/>
  <c r="F198" i="9" s="1" a="1"/>
  <c r="F198" i="9" s="1"/>
  <c r="E313" i="9"/>
  <c r="F313" i="9" s="1" a="1"/>
  <c r="F313" i="9" s="1"/>
  <c r="E505" i="9"/>
  <c r="F505" i="9" s="1" a="1"/>
  <c r="F505" i="9" s="1"/>
  <c r="E88" i="9"/>
  <c r="F88" i="9" s="1" a="1"/>
  <c r="F88" i="9" s="1"/>
  <c r="E363" i="9"/>
  <c r="F363" i="9" s="1" a="1"/>
  <c r="F363" i="9" s="1"/>
  <c r="E237" i="9"/>
  <c r="F237" i="9" s="1" a="1"/>
  <c r="F237" i="9" s="1"/>
  <c r="E150" i="9"/>
  <c r="F150" i="9" s="1" a="1"/>
  <c r="F150" i="9" s="1"/>
  <c r="E127" i="9"/>
  <c r="F127" i="9" s="1" a="1"/>
  <c r="F127" i="9" s="1"/>
  <c r="E123" i="9"/>
  <c r="F123" i="9" s="1" a="1"/>
  <c r="F123" i="9" s="1"/>
  <c r="E47" i="9"/>
  <c r="F47" i="9" s="1" a="1"/>
  <c r="F47" i="9" s="1"/>
  <c r="E506" i="9"/>
  <c r="F506" i="9" s="1" a="1"/>
  <c r="F506" i="9" s="1"/>
  <c r="E116" i="9"/>
  <c r="F116" i="9" s="1" a="1"/>
  <c r="F116" i="9" s="1"/>
  <c r="E507" i="9"/>
  <c r="F507" i="9" s="1" a="1"/>
  <c r="F507" i="9" s="1"/>
  <c r="E89" i="9"/>
  <c r="F89" i="9" s="1" a="1"/>
  <c r="F89" i="9" s="1"/>
  <c r="E48" i="9"/>
  <c r="F48" i="9" s="1" a="1"/>
  <c r="F48" i="9" s="1"/>
  <c r="E508" i="9"/>
  <c r="F508" i="9" s="1" a="1"/>
  <c r="F508" i="9" s="1"/>
  <c r="E177" i="9"/>
  <c r="F177" i="9" s="1" a="1"/>
  <c r="F177" i="9" s="1"/>
  <c r="E360" i="9"/>
  <c r="F360" i="9" s="1" a="1"/>
  <c r="F360" i="9" s="1"/>
  <c r="E154" i="9"/>
  <c r="F154" i="9" s="1" a="1"/>
  <c r="F154" i="9" s="1"/>
  <c r="E288" i="9"/>
  <c r="F288" i="9" s="1" a="1"/>
  <c r="F288" i="9" s="1"/>
  <c r="E509" i="9"/>
  <c r="F509" i="9" s="1" a="1"/>
  <c r="F509" i="9" s="1"/>
  <c r="E510" i="9"/>
  <c r="F510" i="9" s="1" a="1"/>
  <c r="F510" i="9" s="1"/>
  <c r="E90" i="9"/>
  <c r="F90" i="9" s="1" a="1"/>
  <c r="F90" i="9" s="1"/>
  <c r="E164" i="9"/>
  <c r="F164" i="9" s="1" a="1"/>
  <c r="F164" i="9" s="1"/>
  <c r="E49" i="9"/>
  <c r="F49" i="9" s="1" a="1"/>
  <c r="F49" i="9" s="1"/>
  <c r="E220" i="9"/>
  <c r="F220" i="9" s="1" a="1"/>
  <c r="F220" i="9" s="1"/>
  <c r="E319" i="9"/>
  <c r="F319" i="9" s="1" a="1"/>
  <c r="F319" i="9" s="1"/>
  <c r="E511" i="9"/>
  <c r="F511" i="9" s="1" a="1"/>
  <c r="F511" i="9" s="1"/>
  <c r="E337" i="9"/>
  <c r="F337" i="9" s="1" a="1"/>
  <c r="F337" i="9" s="1"/>
  <c r="E91" i="9"/>
  <c r="F91" i="9" s="1" a="1"/>
  <c r="F91" i="9" s="1"/>
  <c r="E92" i="9"/>
  <c r="F92" i="9" s="1" a="1"/>
  <c r="F92" i="9" s="1"/>
  <c r="E245" i="9"/>
  <c r="F245" i="9" s="1" a="1"/>
  <c r="F245" i="9" s="1"/>
  <c r="E217" i="9"/>
  <c r="F217" i="9" s="1" a="1"/>
  <c r="F217" i="9" s="1"/>
  <c r="E200" i="9"/>
  <c r="F200" i="9" s="1" a="1"/>
  <c r="F200" i="9" s="1"/>
  <c r="E93" i="9"/>
  <c r="F93" i="9" s="1" a="1"/>
  <c r="F93" i="9" s="1"/>
  <c r="E338" i="9"/>
  <c r="F338" i="9" s="1" a="1"/>
  <c r="F338" i="9" s="1"/>
  <c r="E512" i="9"/>
  <c r="F512" i="9" s="1" a="1"/>
  <c r="F512" i="9" s="1"/>
  <c r="E109" i="9"/>
  <c r="F109" i="9" s="1" a="1"/>
  <c r="F109" i="9" s="1"/>
  <c r="E513" i="9"/>
  <c r="F513" i="9" s="1" a="1"/>
  <c r="F513" i="9" s="1"/>
  <c r="E514" i="9"/>
  <c r="F514" i="9" s="1" a="1"/>
  <c r="F514" i="9" s="1"/>
  <c r="E202" i="9"/>
  <c r="F202" i="9" s="1" a="1"/>
  <c r="F202" i="9" s="1"/>
  <c r="E254" i="9"/>
  <c r="F254" i="9" s="1" a="1"/>
  <c r="F254" i="9" s="1"/>
  <c r="E7" i="9"/>
  <c r="F7" i="9" s="1" a="1"/>
  <c r="F7" i="9" s="1"/>
  <c r="E359" i="9"/>
  <c r="F359" i="9" s="1" a="1"/>
  <c r="F359" i="9" s="1"/>
  <c r="E222" i="9"/>
  <c r="F222" i="9" s="1" a="1"/>
  <c r="F222" i="9" s="1"/>
  <c r="E270" i="9"/>
  <c r="F270" i="9" s="1" a="1"/>
  <c r="F270" i="9" s="1"/>
  <c r="E94" i="9"/>
  <c r="F94" i="9" s="1" a="1"/>
  <c r="F94" i="9" s="1"/>
  <c r="E515" i="9"/>
  <c r="F515" i="9" s="1" a="1"/>
  <c r="F515" i="9" s="1"/>
  <c r="E516" i="9"/>
  <c r="F516" i="9" s="1" a="1"/>
  <c r="F516" i="9" s="1"/>
  <c r="E517" i="9"/>
  <c r="F517" i="9" s="1" a="1"/>
  <c r="F517" i="9" s="1"/>
  <c r="E168" i="9"/>
  <c r="F168" i="9" s="1" a="1"/>
  <c r="F168" i="9" s="1"/>
  <c r="E518" i="9"/>
  <c r="F518" i="9" s="1" a="1"/>
  <c r="F518" i="9" s="1"/>
  <c r="E339" i="9"/>
  <c r="F339" i="9" s="1" a="1"/>
  <c r="F339" i="9" s="1"/>
  <c r="E165" i="9"/>
  <c r="F165" i="9" s="1" a="1"/>
  <c r="F165" i="9" s="1"/>
  <c r="E158" i="9"/>
  <c r="F158" i="9" s="1" a="1"/>
  <c r="F158" i="9" s="1"/>
  <c r="E143" i="9"/>
  <c r="F143" i="9" s="1" a="1"/>
  <c r="F143" i="9" s="1"/>
  <c r="E275" i="9"/>
  <c r="F275" i="9" s="1" a="1"/>
  <c r="F275" i="9" s="1"/>
  <c r="E519" i="9"/>
  <c r="F519" i="9" s="1" a="1"/>
  <c r="F519" i="9" s="1"/>
  <c r="E284" i="9"/>
  <c r="F284" i="9" s="1" a="1"/>
  <c r="F284" i="9" s="1"/>
  <c r="E22" i="9"/>
  <c r="F22" i="9" s="1" a="1"/>
  <c r="F22" i="9" s="1"/>
  <c r="E520" i="9"/>
  <c r="F520" i="9" s="1" a="1"/>
  <c r="F520" i="9" s="1"/>
  <c r="E259" i="9"/>
  <c r="F259" i="9" s="1" a="1"/>
  <c r="F259" i="9" s="1"/>
  <c r="E521" i="9"/>
  <c r="F521" i="9" s="1" a="1"/>
  <c r="F521" i="9" s="1"/>
  <c r="E206" i="9"/>
  <c r="F206" i="9" s="1" a="1"/>
  <c r="F206" i="9" s="1"/>
  <c r="E50" i="9"/>
  <c r="F50" i="9" s="1" a="1"/>
  <c r="F50" i="9" s="1"/>
  <c r="E136" i="9"/>
  <c r="F136" i="9" s="1" a="1"/>
  <c r="F136" i="9" s="1"/>
  <c r="E305" i="9"/>
  <c r="F305" i="9" s="1" a="1"/>
  <c r="F305" i="9" s="1"/>
  <c r="E224" i="9"/>
  <c r="F224" i="9" s="1" a="1"/>
  <c r="F224" i="9" s="1"/>
  <c r="E522" i="9"/>
  <c r="F522" i="9" s="1" a="1"/>
  <c r="F522" i="9" s="1"/>
  <c r="E523" i="9"/>
  <c r="F523" i="9" s="1" a="1"/>
  <c r="F523" i="9" s="1"/>
  <c r="E95" i="9"/>
  <c r="F95" i="9" s="1" a="1"/>
  <c r="F95" i="9" s="1"/>
  <c r="E137" i="9"/>
  <c r="F137" i="9" s="1" a="1"/>
  <c r="F137" i="9" s="1"/>
  <c r="E96" i="9"/>
  <c r="F96" i="9" s="1" a="1"/>
  <c r="F96" i="9" s="1"/>
  <c r="E524" i="9"/>
  <c r="F524" i="9" s="1" a="1"/>
  <c r="F524" i="9" s="1"/>
  <c r="E178" i="9"/>
  <c r="F178" i="9" s="1" a="1"/>
  <c r="F178" i="9" s="1"/>
  <c r="E328" i="9"/>
  <c r="F328" i="9" s="1" a="1"/>
  <c r="F328" i="9" s="1"/>
  <c r="E525" i="9"/>
  <c r="F525" i="9" s="1" a="1"/>
  <c r="F525" i="9" s="1"/>
  <c r="E97" i="9"/>
  <c r="F97" i="9" s="1" a="1"/>
  <c r="F97" i="9" s="1"/>
  <c r="E159" i="9"/>
  <c r="F159" i="9" s="1" a="1"/>
  <c r="F159" i="9" s="1"/>
  <c r="E51" i="9"/>
  <c r="F51" i="9" s="1" a="1"/>
  <c r="F51" i="9" s="1"/>
  <c r="E124" i="9"/>
  <c r="F124" i="9" s="1" a="1"/>
  <c r="F124" i="9" s="1"/>
  <c r="E98" i="9"/>
  <c r="F98" i="9" s="1" a="1"/>
  <c r="F98" i="9" s="1"/>
  <c r="E157" i="9"/>
  <c r="F157" i="9" s="1" a="1"/>
  <c r="F157" i="9" s="1"/>
  <c r="E52" i="9"/>
  <c r="F52" i="9" s="1" a="1"/>
  <c r="F52" i="9" s="1"/>
  <c r="E526" i="9"/>
  <c r="F526" i="9" s="1" a="1"/>
  <c r="F526" i="9" s="1"/>
  <c r="E527" i="9"/>
  <c r="F527" i="9" s="1" a="1"/>
  <c r="F527" i="9" s="1"/>
  <c r="E99" i="9"/>
  <c r="F99" i="9" s="1" a="1"/>
  <c r="F99" i="9" s="1"/>
  <c r="E53" i="9"/>
  <c r="F53" i="9" s="1" a="1"/>
  <c r="F53" i="9" s="1"/>
  <c r="E528" i="9"/>
  <c r="F528" i="9" s="1" a="1"/>
  <c r="F528" i="9" s="1"/>
  <c r="E529" i="9"/>
  <c r="F529" i="9" s="1" a="1"/>
  <c r="F529" i="9" s="1"/>
  <c r="E530" i="9"/>
  <c r="F530" i="9" s="1" a="1"/>
  <c r="F530" i="9" s="1"/>
  <c r="E249" i="9"/>
  <c r="F249" i="9" s="1" a="1"/>
  <c r="F249" i="9" s="1"/>
  <c r="E364" i="9"/>
  <c r="F364" i="9" s="1" a="1"/>
  <c r="F364" i="9" s="1"/>
  <c r="E531" i="9"/>
  <c r="F531" i="9" s="1" a="1"/>
  <c r="F531" i="9" s="1"/>
  <c r="E119" i="9"/>
  <c r="F119" i="9" s="1" a="1"/>
  <c r="F119" i="9" s="1"/>
  <c r="E54" i="9"/>
  <c r="F54" i="9" s="1" a="1"/>
  <c r="F54" i="9" s="1"/>
  <c r="E532" i="9"/>
  <c r="F532" i="9" s="1" a="1"/>
  <c r="F532" i="9" s="1"/>
  <c r="E147" i="9"/>
  <c r="F147" i="9" s="1" a="1"/>
  <c r="F147" i="9" s="1"/>
  <c r="E179" i="9"/>
  <c r="F179" i="9" s="1" a="1"/>
  <c r="F179" i="9" s="1"/>
  <c r="E533" i="9"/>
  <c r="F533" i="9" s="1" a="1"/>
  <c r="F533" i="9" s="1"/>
  <c r="E310" i="9"/>
  <c r="F310" i="9" s="1" a="1"/>
  <c r="F310" i="9" s="1"/>
  <c r="E323" i="9"/>
  <c r="F323" i="9" s="1" a="1"/>
  <c r="F323" i="9" s="1"/>
  <c r="E100" i="9"/>
  <c r="F100" i="9" s="1" a="1"/>
  <c r="F100" i="9" s="1"/>
  <c r="E101" i="9"/>
  <c r="F101" i="9" s="1" a="1"/>
  <c r="F101" i="9" s="1"/>
  <c r="E308" i="9"/>
  <c r="F308" i="9" s="1" a="1"/>
  <c r="F308" i="9" s="1"/>
  <c r="E102" i="9"/>
  <c r="F102" i="9" s="1" a="1"/>
  <c r="F102" i="9" s="1"/>
  <c r="E311" i="9"/>
  <c r="F311" i="9" s="1" a="1"/>
  <c r="F311" i="9" s="1"/>
  <c r="E203" i="9"/>
  <c r="F203" i="9" s="1" a="1"/>
  <c r="F203" i="9" s="1"/>
  <c r="E263" i="9"/>
  <c r="F263" i="9" s="1" a="1"/>
  <c r="F263" i="9" s="1"/>
  <c r="E230" i="9"/>
  <c r="F230" i="9" s="1" a="1"/>
  <c r="F230" i="9" s="1"/>
  <c r="E271" i="9"/>
  <c r="F271" i="9" s="1" a="1"/>
  <c r="F271" i="9" s="1"/>
  <c r="E534" i="9"/>
  <c r="F534" i="9" s="1" a="1"/>
  <c r="F534" i="9" s="1"/>
  <c r="E103" i="9"/>
  <c r="F103" i="9" s="1" a="1"/>
  <c r="F103" i="9" s="1"/>
  <c r="E535" i="9"/>
  <c r="F535" i="9" s="1" a="1"/>
  <c r="F535" i="9" s="1"/>
  <c r="E239" i="9"/>
  <c r="F239" i="9" s="1" a="1"/>
  <c r="F239" i="9" s="1"/>
  <c r="E536" i="9"/>
  <c r="F536" i="9" s="1" a="1"/>
  <c r="F536" i="9" s="1"/>
  <c r="E537" i="9"/>
  <c r="F537" i="9" s="1" a="1"/>
  <c r="F537" i="9" s="1"/>
  <c r="E538" i="9"/>
  <c r="F538" i="9" s="1" a="1"/>
  <c r="F538" i="9" s="1"/>
  <c r="E300" i="9"/>
  <c r="F300" i="9" s="1" a="1"/>
  <c r="F300" i="9" s="1"/>
  <c r="E104" i="9"/>
  <c r="F104" i="9" s="1" a="1"/>
  <c r="F104" i="9" s="1"/>
  <c r="E539" i="9"/>
  <c r="F539" i="9" s="1" a="1"/>
  <c r="F539" i="9" s="1"/>
  <c r="E211" i="9"/>
  <c r="F211" i="9" s="1" a="1"/>
  <c r="F211" i="9" s="1"/>
  <c r="E540" i="9"/>
  <c r="F540" i="9" s="1" a="1"/>
  <c r="F540" i="9" s="1"/>
  <c r="E272" i="9"/>
  <c r="F272" i="9" s="1" a="1"/>
  <c r="F272" i="9" s="1"/>
  <c r="E541" i="9"/>
  <c r="F541" i="9" s="1" a="1"/>
  <c r="F541" i="9" s="1"/>
  <c r="E542" i="9"/>
  <c r="F542" i="9" s="1" a="1"/>
  <c r="F542" i="9" s="1"/>
  <c r="E543" i="9"/>
  <c r="F543" i="9" s="1" a="1"/>
  <c r="F543" i="9" s="1"/>
  <c r="E55" i="9"/>
  <c r="F55" i="9" s="1" a="1"/>
  <c r="F55" i="9" s="1"/>
  <c r="E257" i="9"/>
  <c r="F257" i="9" s="1" a="1"/>
  <c r="F257" i="9" s="1"/>
  <c r="E544" i="9"/>
  <c r="F544" i="9" s="1" a="1"/>
  <c r="F544" i="9" s="1"/>
  <c r="E114" i="9"/>
  <c r="F114" i="9" s="1" a="1"/>
  <c r="F114" i="9" s="1"/>
  <c r="E545" i="9"/>
  <c r="F545" i="9" s="1" a="1"/>
  <c r="F545" i="9" s="1"/>
  <c r="E248" i="9"/>
  <c r="F248" i="9" s="1" a="1"/>
  <c r="F248" i="9" s="1"/>
  <c r="E309" i="9"/>
  <c r="F309" i="9" s="1" a="1"/>
  <c r="F309" i="9" s="1"/>
  <c r="E246" i="9"/>
  <c r="F246" i="9" s="1" a="1"/>
  <c r="F246" i="9" s="1"/>
  <c r="E346" i="9"/>
  <c r="F346" i="9" s="1" a="1"/>
  <c r="F346" i="9" s="1"/>
  <c r="E297" i="9"/>
  <c r="F297" i="9" s="1" a="1"/>
  <c r="F297" i="9" s="1"/>
  <c r="E344" i="9"/>
  <c r="F344" i="9" s="1" a="1"/>
  <c r="F344" i="9" s="1"/>
  <c r="E301" i="9"/>
  <c r="F301" i="9" s="1" a="1"/>
  <c r="F301" i="9" s="1"/>
  <c r="E180" i="9"/>
  <c r="F180" i="9" s="1" a="1"/>
  <c r="F180" i="9" s="1"/>
  <c r="E273" i="9"/>
  <c r="F273" i="9" s="1" a="1"/>
  <c r="F273" i="9" s="1"/>
  <c r="E289" i="9"/>
  <c r="F289" i="9" s="1" a="1"/>
  <c r="F289" i="9" s="1"/>
  <c r="E546" i="9"/>
  <c r="F546" i="9" s="1" a="1"/>
  <c r="F546" i="9" s="1"/>
  <c r="E252" i="9"/>
  <c r="F252" i="9" s="1" a="1"/>
  <c r="F252" i="9" s="1"/>
  <c r="E215" i="9"/>
  <c r="F215" i="9" s="1" a="1"/>
  <c r="F215" i="9" s="1"/>
  <c r="E108" i="9"/>
  <c r="F108" i="9" s="1" a="1"/>
  <c r="F108" i="9" s="1"/>
  <c r="E334" i="9"/>
  <c r="F334" i="9" s="1" a="1"/>
  <c r="F334" i="9" s="1"/>
  <c r="E547" i="9"/>
  <c r="F547" i="9" s="1" a="1"/>
  <c r="F547" i="9" s="1"/>
  <c r="E130" i="9"/>
  <c r="F130" i="9" s="1" a="1"/>
  <c r="F130" i="9" s="1"/>
  <c r="E548" i="9"/>
  <c r="F548" i="9" s="1" a="1"/>
  <c r="F548" i="9" s="1"/>
  <c r="E549" i="9"/>
  <c r="F549" i="9" s="1" a="1"/>
  <c r="F549" i="9" s="1"/>
  <c r="E302" i="9"/>
  <c r="F302" i="9" s="1" a="1"/>
  <c r="F302" i="9" s="1"/>
  <c r="E23" i="9"/>
  <c r="F23" i="9" s="1" a="1"/>
  <c r="F23" i="9" s="1"/>
  <c r="E105" i="9"/>
  <c r="F105" i="9" s="1" a="1"/>
  <c r="F105" i="9" s="1"/>
  <c r="E365" i="9"/>
  <c r="F365" i="9" s="1" a="1"/>
  <c r="F365" i="9" s="1"/>
  <c r="E550" i="9"/>
  <c r="F550" i="9" s="1" a="1"/>
  <c r="F550" i="9" s="1"/>
  <c r="E551" i="9"/>
  <c r="F551" i="9" s="1" a="1"/>
  <c r="F551" i="9" s="1"/>
  <c r="E552" i="9"/>
  <c r="F552" i="9" s="1" a="1"/>
  <c r="F552" i="9" s="1"/>
  <c r="E106" i="9"/>
  <c r="F106" i="9" s="1" a="1"/>
  <c r="F106" i="9" s="1"/>
  <c r="E322" i="9"/>
  <c r="F322" i="9" s="1" a="1"/>
  <c r="F322" i="9" s="1"/>
  <c r="E553" i="9"/>
  <c r="F553" i="9" s="1" a="1"/>
  <c r="F553" i="9" s="1"/>
  <c r="E340" i="9"/>
  <c r="F340" i="9" s="1" a="1"/>
  <c r="F340" i="9" s="1"/>
  <c r="E107" i="9"/>
  <c r="F107" i="9" s="1" a="1"/>
  <c r="F107" i="9" s="1"/>
  <c r="E260" i="9"/>
  <c r="F260" i="9" s="1" a="1"/>
  <c r="F260" i="9" s="1"/>
  <c r="E554" i="9"/>
  <c r="F554" i="9" s="1" a="1"/>
  <c r="F554" i="9" s="1"/>
  <c r="D13" i="9"/>
  <c r="D367" i="9"/>
  <c r="D2" i="9"/>
  <c r="D131" i="9"/>
  <c r="D3" i="9"/>
  <c r="D368" i="9"/>
  <c r="D56" i="9"/>
  <c r="D324" i="9"/>
  <c r="D369" i="9"/>
  <c r="D370" i="9"/>
  <c r="D371" i="9"/>
  <c r="D372" i="9"/>
  <c r="D277" i="9"/>
  <c r="D264" i="9"/>
  <c r="D373" i="9"/>
  <c r="D374" i="9"/>
  <c r="D201" i="9"/>
  <c r="D57" i="9"/>
  <c r="D58" i="9"/>
  <c r="D303" i="9"/>
  <c r="D189" i="9"/>
  <c r="D133" i="9"/>
  <c r="D375" i="9"/>
  <c r="D376" i="9"/>
  <c r="D347" i="9"/>
  <c r="D196" i="9"/>
  <c r="D265" i="9"/>
  <c r="D8" i="9"/>
  <c r="D377" i="9"/>
  <c r="D378" i="9"/>
  <c r="D325" i="9"/>
  <c r="D379" i="9"/>
  <c r="D380" i="9"/>
  <c r="D243" i="9"/>
  <c r="D381" i="9"/>
  <c r="D166" i="9"/>
  <c r="D216" i="9"/>
  <c r="D244" i="9"/>
  <c r="D258" i="9"/>
  <c r="D382" i="9"/>
  <c r="D266" i="9"/>
  <c r="D125" i="9"/>
  <c r="D383" i="9"/>
  <c r="D24" i="9"/>
  <c r="D348" i="9"/>
  <c r="D355" i="9"/>
  <c r="D25" i="9"/>
  <c r="D384" i="9"/>
  <c r="D385" i="9"/>
  <c r="D153" i="9"/>
  <c r="D386" i="9"/>
  <c r="D387" i="9"/>
  <c r="D59" i="9"/>
  <c r="D388" i="9"/>
  <c r="D389" i="9"/>
  <c r="D60" i="9"/>
  <c r="D152" i="9"/>
  <c r="D121" i="9"/>
  <c r="D267" i="9"/>
  <c r="D390" i="9"/>
  <c r="D278" i="9"/>
  <c r="D14" i="9"/>
  <c r="D61" i="9"/>
  <c r="D282" i="9"/>
  <c r="D391" i="9"/>
  <c r="D392" i="9"/>
  <c r="D4" i="9"/>
  <c r="D393" i="9"/>
  <c r="D111" i="9"/>
  <c r="D15" i="9"/>
  <c r="D193" i="9"/>
  <c r="D140" i="9"/>
  <c r="D394" i="9"/>
  <c r="D395" i="9"/>
  <c r="D16" i="9"/>
  <c r="D62" i="9"/>
  <c r="D231" i="9"/>
  <c r="D187" i="9"/>
  <c r="D247" i="9"/>
  <c r="D63" i="9"/>
  <c r="D396" i="9"/>
  <c r="D26" i="9"/>
  <c r="D397" i="9"/>
  <c r="D290" i="9"/>
  <c r="D161" i="9"/>
  <c r="D142" i="9"/>
  <c r="D279" i="9"/>
  <c r="D241" i="9"/>
  <c r="D185" i="9"/>
  <c r="D181" i="9"/>
  <c r="D398" i="9"/>
  <c r="D225" i="9"/>
  <c r="D399" i="9"/>
  <c r="D27" i="9"/>
  <c r="D400" i="9"/>
  <c r="D318" i="9"/>
  <c r="D401" i="9"/>
  <c r="D402" i="9"/>
  <c r="D403" i="9"/>
  <c r="D404" i="9"/>
  <c r="D405" i="9"/>
  <c r="D132" i="9"/>
  <c r="D406" i="9"/>
  <c r="D407" i="9"/>
  <c r="D408" i="9"/>
  <c r="D151" i="9"/>
  <c r="D28" i="9"/>
  <c r="D227" i="9"/>
  <c r="D409" i="9"/>
  <c r="D283" i="9"/>
  <c r="D410" i="9"/>
  <c r="D411" i="9"/>
  <c r="D326" i="9"/>
  <c r="D412" i="9"/>
  <c r="D204" i="9"/>
  <c r="D156" i="9"/>
  <c r="D413" i="9"/>
  <c r="D414" i="9"/>
  <c r="D291" i="9"/>
  <c r="D113" i="9"/>
  <c r="D184" i="9"/>
  <c r="D118" i="9"/>
  <c r="D285" i="9"/>
  <c r="D223" i="9"/>
  <c r="D146" i="9"/>
  <c r="D138" i="9"/>
  <c r="D64" i="9"/>
  <c r="D332" i="9"/>
  <c r="D190" i="9"/>
  <c r="D65" i="9"/>
  <c r="D415" i="9"/>
  <c r="D197" i="9"/>
  <c r="D321" i="9"/>
  <c r="D205" i="9"/>
  <c r="D134" i="9"/>
  <c r="D221" i="9"/>
  <c r="D416" i="9"/>
  <c r="D188" i="9"/>
  <c r="D29" i="9"/>
  <c r="D129" i="9"/>
  <c r="D417" i="9"/>
  <c r="D207" i="9"/>
  <c r="D418" i="9"/>
  <c r="D135" i="9"/>
  <c r="D419" i="9"/>
  <c r="D420" i="9"/>
  <c r="D366" i="9"/>
  <c r="D183" i="9"/>
  <c r="D9" i="9"/>
  <c r="D421" i="9"/>
  <c r="D362" i="9"/>
  <c r="D155" i="9"/>
  <c r="D422" i="9"/>
  <c r="D423" i="9"/>
  <c r="D160" i="9"/>
  <c r="D424" i="9"/>
  <c r="D425" i="9"/>
  <c r="D426" i="9"/>
  <c r="D327" i="9"/>
  <c r="D349" i="9"/>
  <c r="D427" i="9"/>
  <c r="D428" i="9"/>
  <c r="D351" i="9"/>
  <c r="D345" i="9"/>
  <c r="D10" i="9"/>
  <c r="D66" i="9"/>
  <c r="D182" i="9"/>
  <c r="D251" i="9"/>
  <c r="D429" i="9"/>
  <c r="D17" i="9"/>
  <c r="D280" i="9"/>
  <c r="D430" i="9"/>
  <c r="D169" i="9"/>
  <c r="D431" i="9"/>
  <c r="D170" i="9"/>
  <c r="D335" i="9"/>
  <c r="D30" i="9"/>
  <c r="D163" i="9"/>
  <c r="D139" i="9"/>
  <c r="D292" i="9"/>
  <c r="D432" i="9"/>
  <c r="D250" i="9"/>
  <c r="D31" i="9"/>
  <c r="D32" i="9"/>
  <c r="D312" i="9"/>
  <c r="D433" i="9"/>
  <c r="D361" i="9"/>
  <c r="D434" i="9"/>
  <c r="D435" i="9"/>
  <c r="D436" i="9"/>
  <c r="D122" i="9"/>
  <c r="D148" i="9"/>
  <c r="D437" i="9"/>
  <c r="D294" i="9"/>
  <c r="D33" i="9"/>
  <c r="D438" i="9"/>
  <c r="D439" i="9"/>
  <c r="D358" i="9"/>
  <c r="D440" i="9"/>
  <c r="D441" i="9"/>
  <c r="D229" i="9"/>
  <c r="D34" i="9"/>
  <c r="D442" i="9"/>
  <c r="D443" i="9"/>
  <c r="D307" i="9"/>
  <c r="D444" i="9"/>
  <c r="D445" i="9"/>
  <c r="D35" i="9"/>
  <c r="D296" i="9"/>
  <c r="D36" i="9"/>
  <c r="D162" i="9"/>
  <c r="D341" i="9"/>
  <c r="D274" i="9"/>
  <c r="D238" i="9"/>
  <c r="D446" i="9"/>
  <c r="D235" i="9"/>
  <c r="D210" i="9"/>
  <c r="D236" i="9"/>
  <c r="D447" i="9"/>
  <c r="D213" i="9"/>
  <c r="D67" i="9"/>
  <c r="D448" i="9"/>
  <c r="D449" i="9"/>
  <c r="D37" i="9"/>
  <c r="D253" i="9"/>
  <c r="D314" i="9"/>
  <c r="D242" i="9"/>
  <c r="D228" i="9"/>
  <c r="D356" i="9"/>
  <c r="D18" i="9"/>
  <c r="D38" i="9"/>
  <c r="D450" i="9"/>
  <c r="D286" i="9"/>
  <c r="D214" i="9"/>
  <c r="D451" i="9"/>
  <c r="D452" i="9"/>
  <c r="D317" i="9"/>
  <c r="D453" i="9"/>
  <c r="D454" i="9"/>
  <c r="D212" i="9"/>
  <c r="D112" i="9"/>
  <c r="D455" i="9"/>
  <c r="D306" i="9"/>
  <c r="D456" i="9"/>
  <c r="D171" i="9"/>
  <c r="D68" i="9"/>
  <c r="D330" i="9"/>
  <c r="D457" i="9"/>
  <c r="D458" i="9"/>
  <c r="D232" i="9"/>
  <c r="D115" i="9"/>
  <c r="D39" i="9"/>
  <c r="D459" i="9"/>
  <c r="D460" i="9"/>
  <c r="D40" i="9"/>
  <c r="D172" i="9"/>
  <c r="D352" i="9"/>
  <c r="D461" i="9"/>
  <c r="D19" i="9"/>
  <c r="D209" i="9"/>
  <c r="D149" i="9"/>
  <c r="D69" i="9"/>
  <c r="D70" i="9"/>
  <c r="D298" i="9"/>
  <c r="D261" i="9"/>
  <c r="D315" i="9"/>
  <c r="D71" i="9"/>
  <c r="D208" i="9"/>
  <c r="D281" i="9"/>
  <c r="D110" i="9"/>
  <c r="D240" i="9"/>
  <c r="D462" i="9"/>
  <c r="D194" i="9"/>
  <c r="D357" i="9"/>
  <c r="D72" i="9"/>
  <c r="D463" i="9"/>
  <c r="D219" i="9"/>
  <c r="D464" i="9"/>
  <c r="D268" i="9"/>
  <c r="D295" i="9"/>
  <c r="D465" i="9"/>
  <c r="D466" i="9"/>
  <c r="D141" i="9"/>
  <c r="D329" i="9"/>
  <c r="D233" i="9"/>
  <c r="D467" i="9"/>
  <c r="D468" i="9"/>
  <c r="D73" i="9"/>
  <c r="D469" i="9"/>
  <c r="D74" i="9"/>
  <c r="D145" i="9"/>
  <c r="D173" i="9"/>
  <c r="D174" i="9"/>
  <c r="D186" i="9"/>
  <c r="D41" i="9"/>
  <c r="D75" i="9"/>
  <c r="D470" i="9"/>
  <c r="D471" i="9"/>
  <c r="D11" i="9"/>
  <c r="D218" i="9"/>
  <c r="D331" i="9"/>
  <c r="D472" i="9"/>
  <c r="D473" i="9"/>
  <c r="D474" i="9"/>
  <c r="D76" i="9"/>
  <c r="D475" i="9"/>
  <c r="D336" i="9"/>
  <c r="D77" i="9"/>
  <c r="D476" i="9"/>
  <c r="D42" i="9"/>
  <c r="D477" i="9"/>
  <c r="D293" i="9"/>
  <c r="D478" i="9"/>
  <c r="D479" i="9"/>
  <c r="D480" i="9"/>
  <c r="D342" i="9"/>
  <c r="D316" i="9"/>
  <c r="D481" i="9"/>
  <c r="D195" i="9"/>
  <c r="D255" i="9"/>
  <c r="D128" i="9"/>
  <c r="D482" i="9"/>
  <c r="D483" i="9"/>
  <c r="D484" i="9"/>
  <c r="D269" i="9"/>
  <c r="D175" i="9"/>
  <c r="D304" i="9"/>
  <c r="D485" i="9"/>
  <c r="D144" i="9"/>
  <c r="D199" i="9"/>
  <c r="D276" i="9"/>
  <c r="D234" i="9"/>
  <c r="D486" i="9"/>
  <c r="D117" i="9"/>
  <c r="D487" i="9"/>
  <c r="D333" i="9"/>
  <c r="D78" i="9"/>
  <c r="D299" i="9"/>
  <c r="D488" i="9"/>
  <c r="D489" i="9"/>
  <c r="D79" i="9"/>
  <c r="D43" i="9"/>
  <c r="D490" i="9"/>
  <c r="D491" i="9"/>
  <c r="D492" i="9"/>
  <c r="D44" i="9"/>
  <c r="D493" i="9"/>
  <c r="D20" i="9"/>
  <c r="D167" i="9"/>
  <c r="D21" i="9"/>
  <c r="D176" i="9"/>
  <c r="D494" i="9"/>
  <c r="D45" i="9"/>
  <c r="D80" i="9"/>
  <c r="D81" i="9"/>
  <c r="D82" i="9"/>
  <c r="D495" i="9"/>
  <c r="D353" i="9"/>
  <c r="D496" i="9"/>
  <c r="D287" i="9"/>
  <c r="D497" i="9"/>
  <c r="D498" i="9"/>
  <c r="D262" i="9"/>
  <c r="D192" i="9"/>
  <c r="D126" i="9"/>
  <c r="D499" i="9"/>
  <c r="D83" i="9"/>
  <c r="D500" i="9"/>
  <c r="D5" i="9"/>
  <c r="D12" i="9"/>
  <c r="D256" i="9"/>
  <c r="D501" i="9"/>
  <c r="D354" i="9"/>
  <c r="D84" i="9"/>
  <c r="D502" i="9"/>
  <c r="D120" i="9"/>
  <c r="D191" i="9"/>
  <c r="D85" i="9"/>
  <c r="D320" i="9"/>
  <c r="D226" i="9"/>
  <c r="D343" i="9"/>
  <c r="D86" i="9"/>
  <c r="D503" i="9"/>
  <c r="D350" i="9"/>
  <c r="D6" i="9"/>
  <c r="D87" i="9"/>
  <c r="D504" i="9"/>
  <c r="D46" i="9"/>
  <c r="D198" i="9"/>
  <c r="D313" i="9"/>
  <c r="D505" i="9"/>
  <c r="D88" i="9"/>
  <c r="D363" i="9"/>
  <c r="D237" i="9"/>
  <c r="D150" i="9"/>
  <c r="D127" i="9"/>
  <c r="D123" i="9"/>
  <c r="D47" i="9"/>
  <c r="D506" i="9"/>
  <c r="D116" i="9"/>
  <c r="D507" i="9"/>
  <c r="D89" i="9"/>
  <c r="D48" i="9"/>
  <c r="D508" i="9"/>
  <c r="D177" i="9"/>
  <c r="D360" i="9"/>
  <c r="D154" i="9"/>
  <c r="D288" i="9"/>
  <c r="D509" i="9"/>
  <c r="D510" i="9"/>
  <c r="D90" i="9"/>
  <c r="D164" i="9"/>
  <c r="D49" i="9"/>
  <c r="D220" i="9"/>
  <c r="D319" i="9"/>
  <c r="D511" i="9"/>
  <c r="D337" i="9"/>
  <c r="D91" i="9"/>
  <c r="D92" i="9"/>
  <c r="D245" i="9"/>
  <c r="D217" i="9"/>
  <c r="D200" i="9"/>
  <c r="D93" i="9"/>
  <c r="D338" i="9"/>
  <c r="D512" i="9"/>
  <c r="D109" i="9"/>
  <c r="D513" i="9"/>
  <c r="D514" i="9"/>
  <c r="D202" i="9"/>
  <c r="D254" i="9"/>
  <c r="D7" i="9"/>
  <c r="D359" i="9"/>
  <c r="D222" i="9"/>
  <c r="D270" i="9"/>
  <c r="D94" i="9"/>
  <c r="D515" i="9"/>
  <c r="D516" i="9"/>
  <c r="D517" i="9"/>
  <c r="D168" i="9"/>
  <c r="D518" i="9"/>
  <c r="D339" i="9"/>
  <c r="D165" i="9"/>
  <c r="D158" i="9"/>
  <c r="D143" i="9"/>
  <c r="D275" i="9"/>
  <c r="D519" i="9"/>
  <c r="D284" i="9"/>
  <c r="D22" i="9"/>
  <c r="D520" i="9"/>
  <c r="D259" i="9"/>
  <c r="D521" i="9"/>
  <c r="D206" i="9"/>
  <c r="D50" i="9"/>
  <c r="D136" i="9"/>
  <c r="D305" i="9"/>
  <c r="D224" i="9"/>
  <c r="D522" i="9"/>
  <c r="D523" i="9"/>
  <c r="D95" i="9"/>
  <c r="D137" i="9"/>
  <c r="D96" i="9"/>
  <c r="D524" i="9"/>
  <c r="D178" i="9"/>
  <c r="D328" i="9"/>
  <c r="D525" i="9"/>
  <c r="D97" i="9"/>
  <c r="D159" i="9"/>
  <c r="D51" i="9"/>
  <c r="D124" i="9"/>
  <c r="D98" i="9"/>
  <c r="D157" i="9"/>
  <c r="D52" i="9"/>
  <c r="D526" i="9"/>
  <c r="D527" i="9"/>
  <c r="D99" i="9"/>
  <c r="D53" i="9"/>
  <c r="D528" i="9"/>
  <c r="D529" i="9"/>
  <c r="D530" i="9"/>
  <c r="D249" i="9"/>
  <c r="D364" i="9"/>
  <c r="D531" i="9"/>
  <c r="D119" i="9"/>
  <c r="D54" i="9"/>
  <c r="D532" i="9"/>
  <c r="D147" i="9"/>
  <c r="D179" i="9"/>
  <c r="D533" i="9"/>
  <c r="D310" i="9"/>
  <c r="D323" i="9"/>
  <c r="D100" i="9"/>
  <c r="D101" i="9"/>
  <c r="D308" i="9"/>
  <c r="D102" i="9"/>
  <c r="D311" i="9"/>
  <c r="D203" i="9"/>
  <c r="D263" i="9"/>
  <c r="D230" i="9"/>
  <c r="D271" i="9"/>
  <c r="D534" i="9"/>
  <c r="D103" i="9"/>
  <c r="D535" i="9"/>
  <c r="D239" i="9"/>
  <c r="D536" i="9"/>
  <c r="D537" i="9"/>
  <c r="D538" i="9"/>
  <c r="D300" i="9"/>
  <c r="D104" i="9"/>
  <c r="D539" i="9"/>
  <c r="D211" i="9"/>
  <c r="D540" i="9"/>
  <c r="D272" i="9"/>
  <c r="D541" i="9"/>
  <c r="D542" i="9"/>
  <c r="D543" i="9"/>
  <c r="D55" i="9"/>
  <c r="D257" i="9"/>
  <c r="D544" i="9"/>
  <c r="D114" i="9"/>
  <c r="D545" i="9"/>
  <c r="D248" i="9"/>
  <c r="D309" i="9"/>
  <c r="D246" i="9"/>
  <c r="D346" i="9"/>
  <c r="D297" i="9"/>
  <c r="D344" i="9"/>
  <c r="D301" i="9"/>
  <c r="D180" i="9"/>
  <c r="D273" i="9"/>
  <c r="D289" i="9"/>
  <c r="D546" i="9"/>
  <c r="D252" i="9"/>
  <c r="D215" i="9"/>
  <c r="D108" i="9"/>
  <c r="D334" i="9"/>
  <c r="D547" i="9"/>
  <c r="D130" i="9"/>
  <c r="D548" i="9"/>
  <c r="D549" i="9"/>
  <c r="D302" i="9"/>
  <c r="D23" i="9"/>
  <c r="D105" i="9"/>
  <c r="D365" i="9"/>
  <c r="D550" i="9"/>
  <c r="D551" i="9"/>
  <c r="D552" i="9"/>
  <c r="D106" i="9"/>
  <c r="D322" i="9"/>
  <c r="D553" i="9"/>
  <c r="D340" i="9"/>
  <c r="D107" i="9"/>
  <c r="D260" i="9"/>
  <c r="D554" i="9"/>
  <c r="B14" i="9"/>
  <c r="B181" i="9"/>
  <c r="B398" i="9"/>
  <c r="B61" i="9"/>
  <c r="B225" i="9"/>
  <c r="B399" i="9"/>
  <c r="B375" i="9"/>
  <c r="B376" i="9"/>
  <c r="B453" i="9"/>
  <c r="B13" i="9"/>
  <c r="B384" i="9"/>
  <c r="B347" i="9"/>
  <c r="B454" i="9"/>
  <c r="B282" i="9"/>
  <c r="B27" i="9"/>
  <c r="B391" i="9"/>
  <c r="B392" i="9"/>
  <c r="B385" i="9"/>
  <c r="B374" i="9"/>
  <c r="B212" i="9"/>
  <c r="B112" i="9"/>
  <c r="B400" i="9"/>
  <c r="B4" i="9"/>
  <c r="B196" i="9"/>
  <c r="B455" i="9"/>
  <c r="B306" i="9"/>
  <c r="B318" i="9"/>
  <c r="B370" i="9"/>
  <c r="B456" i="9"/>
  <c r="B171" i="9"/>
  <c r="B68" i="9"/>
  <c r="B330" i="9"/>
  <c r="B401" i="9"/>
  <c r="B402" i="9"/>
  <c r="B153" i="9"/>
  <c r="B457" i="9"/>
  <c r="B403" i="9"/>
  <c r="B386" i="9"/>
  <c r="B201" i="9"/>
  <c r="B458" i="9"/>
  <c r="B367" i="9"/>
  <c r="B265" i="9"/>
  <c r="B232" i="9"/>
  <c r="B393" i="9"/>
  <c r="B404" i="9"/>
  <c r="B405" i="9"/>
  <c r="B115" i="9"/>
  <c r="B111" i="9"/>
  <c r="B132" i="9"/>
  <c r="B406" i="9"/>
  <c r="B407" i="9"/>
  <c r="B408" i="9"/>
  <c r="B39" i="9"/>
  <c r="B8" i="9"/>
  <c r="B57" i="9"/>
  <c r="B459" i="9"/>
  <c r="B377" i="9"/>
  <c r="B151" i="9"/>
  <c r="B28" i="9"/>
  <c r="B387" i="9"/>
  <c r="B2" i="9"/>
  <c r="B59" i="9"/>
  <c r="B227" i="9"/>
  <c r="B460" i="9"/>
  <c r="B40" i="9"/>
  <c r="B388" i="9"/>
  <c r="B172" i="9"/>
  <c r="B352" i="9"/>
  <c r="B461" i="9"/>
  <c r="B19" i="9"/>
  <c r="B209" i="9"/>
  <c r="B149" i="9"/>
  <c r="B69" i="9"/>
  <c r="B70" i="9"/>
  <c r="B409" i="9"/>
  <c r="B298" i="9"/>
  <c r="B283" i="9"/>
  <c r="B410" i="9"/>
  <c r="B411" i="9"/>
  <c r="B261" i="9"/>
  <c r="B315" i="9"/>
  <c r="B71" i="9"/>
  <c r="B326" i="9"/>
  <c r="B412" i="9"/>
  <c r="B204" i="9"/>
  <c r="B208" i="9"/>
  <c r="B156" i="9"/>
  <c r="B413" i="9"/>
  <c r="B414" i="9"/>
  <c r="B378" i="9"/>
  <c r="B15" i="9"/>
  <c r="B291" i="9"/>
  <c r="B113" i="9"/>
  <c r="B281" i="9"/>
  <c r="B110" i="9"/>
  <c r="B325" i="9"/>
  <c r="B240" i="9"/>
  <c r="B184" i="9"/>
  <c r="B462" i="9"/>
  <c r="B194" i="9"/>
  <c r="B379" i="9"/>
  <c r="B357" i="9"/>
  <c r="B118" i="9"/>
  <c r="B193" i="9"/>
  <c r="B72" i="9"/>
  <c r="B285" i="9"/>
  <c r="B223" i="9"/>
  <c r="B380" i="9"/>
  <c r="B146" i="9"/>
  <c r="B463" i="9"/>
  <c r="B219" i="9"/>
  <c r="B138" i="9"/>
  <c r="B464" i="9"/>
  <c r="B243" i="9"/>
  <c r="B140" i="9"/>
  <c r="B131" i="9"/>
  <c r="B371" i="9"/>
  <c r="B64" i="9"/>
  <c r="B332" i="9"/>
  <c r="B389" i="9"/>
  <c r="B190" i="9"/>
  <c r="B303" i="9"/>
  <c r="B65" i="9"/>
  <c r="B268" i="9"/>
  <c r="B415" i="9"/>
  <c r="B295" i="9"/>
  <c r="B465" i="9"/>
  <c r="B197" i="9"/>
  <c r="B466" i="9"/>
  <c r="B321" i="9"/>
  <c r="B205" i="9"/>
  <c r="B141" i="9"/>
  <c r="B329" i="9"/>
  <c r="B60" i="9"/>
  <c r="B394" i="9"/>
  <c r="B233" i="9"/>
  <c r="B467" i="9"/>
  <c r="B134" i="9"/>
  <c r="B221" i="9"/>
  <c r="B152" i="9"/>
  <c r="B468" i="9"/>
  <c r="B416" i="9"/>
  <c r="B73" i="9"/>
  <c r="B469" i="9"/>
  <c r="B395" i="9"/>
  <c r="B188" i="9"/>
  <c r="B29" i="9"/>
  <c r="B74" i="9"/>
  <c r="B129" i="9"/>
  <c r="B417" i="9"/>
  <c r="B145" i="9"/>
  <c r="B207" i="9"/>
  <c r="B173" i="9"/>
  <c r="B174" i="9"/>
  <c r="B418" i="9"/>
  <c r="B381" i="9"/>
  <c r="B186" i="9"/>
  <c r="B16" i="9"/>
  <c r="B41" i="9"/>
  <c r="B75" i="9"/>
  <c r="B470" i="9"/>
  <c r="B62" i="9"/>
  <c r="B135" i="9"/>
  <c r="B189" i="9"/>
  <c r="B471" i="9"/>
  <c r="B231" i="9"/>
  <c r="B11" i="9"/>
  <c r="B419" i="9"/>
  <c r="B218" i="9"/>
  <c r="B420" i="9"/>
  <c r="B331" i="9"/>
  <c r="B366" i="9"/>
  <c r="B472" i="9"/>
  <c r="B166" i="9"/>
  <c r="B473" i="9"/>
  <c r="B474" i="9"/>
  <c r="B3" i="9"/>
  <c r="B183" i="9"/>
  <c r="B9" i="9"/>
  <c r="B187" i="9"/>
  <c r="B421" i="9"/>
  <c r="B247" i="9"/>
  <c r="B76" i="9"/>
  <c r="B362" i="9"/>
  <c r="B155" i="9"/>
  <c r="B372" i="9"/>
  <c r="B475" i="9"/>
  <c r="B422" i="9"/>
  <c r="B423" i="9"/>
  <c r="B368" i="9"/>
  <c r="B160" i="9"/>
  <c r="B424" i="9"/>
  <c r="B336" i="9"/>
  <c r="B425" i="9"/>
  <c r="B77" i="9"/>
  <c r="B476" i="9"/>
  <c r="B426" i="9"/>
  <c r="B42" i="9"/>
  <c r="B327" i="9"/>
  <c r="B477" i="9"/>
  <c r="B277" i="9"/>
  <c r="B293" i="9"/>
  <c r="B478" i="9"/>
  <c r="B349" i="9"/>
  <c r="B479" i="9"/>
  <c r="B480" i="9"/>
  <c r="B63" i="9"/>
  <c r="B427" i="9"/>
  <c r="B428" i="9"/>
  <c r="B351" i="9"/>
  <c r="B345" i="9"/>
  <c r="B10" i="9"/>
  <c r="B342" i="9"/>
  <c r="B316" i="9"/>
  <c r="B481" i="9"/>
  <c r="B66" i="9"/>
  <c r="B121" i="9"/>
  <c r="B182" i="9"/>
  <c r="B267" i="9"/>
  <c r="B195" i="9"/>
  <c r="B251" i="9"/>
  <c r="B255" i="9"/>
  <c r="B128" i="9"/>
  <c r="B264" i="9"/>
  <c r="B482" i="9"/>
  <c r="B429" i="9"/>
  <c r="B17" i="9"/>
  <c r="B58" i="9"/>
  <c r="B396" i="9"/>
  <c r="B280" i="9"/>
  <c r="B430" i="9"/>
  <c r="B169" i="9"/>
  <c r="B431" i="9"/>
  <c r="B170" i="9"/>
  <c r="B133" i="9"/>
  <c r="B483" i="9"/>
  <c r="B26" i="9"/>
  <c r="B397" i="9"/>
  <c r="B335" i="9"/>
  <c r="B30" i="9"/>
  <c r="B163" i="9"/>
  <c r="B139" i="9"/>
  <c r="B484" i="9"/>
  <c r="B290" i="9"/>
  <c r="B269" i="9"/>
  <c r="B292" i="9"/>
  <c r="B175" i="9"/>
  <c r="B304" i="9"/>
  <c r="B485" i="9"/>
  <c r="B144" i="9"/>
  <c r="B432" i="9"/>
  <c r="B199" i="9"/>
  <c r="B250" i="9"/>
  <c r="B276" i="9"/>
  <c r="B31" i="9"/>
  <c r="B234" i="9"/>
  <c r="B32" i="9"/>
  <c r="B486" i="9"/>
  <c r="B312" i="9"/>
  <c r="B433" i="9"/>
  <c r="B216" i="9"/>
  <c r="B117" i="9"/>
  <c r="B487" i="9"/>
  <c r="B361" i="9"/>
  <c r="B434" i="9"/>
  <c r="B435" i="9"/>
  <c r="B333" i="9"/>
  <c r="B436" i="9"/>
  <c r="B78" i="9"/>
  <c r="B299" i="9"/>
  <c r="B488" i="9"/>
  <c r="B244" i="9"/>
  <c r="B161" i="9"/>
  <c r="B56" i="9"/>
  <c r="B489" i="9"/>
  <c r="B79" i="9"/>
  <c r="B43" i="9"/>
  <c r="B122" i="9"/>
  <c r="B148" i="9"/>
  <c r="B490" i="9"/>
  <c r="B491" i="9"/>
  <c r="B437" i="9"/>
  <c r="B492" i="9"/>
  <c r="B324" i="9"/>
  <c r="B294" i="9"/>
  <c r="B44" i="9"/>
  <c r="B33" i="9"/>
  <c r="B438" i="9"/>
  <c r="B493" i="9"/>
  <c r="B439" i="9"/>
  <c r="B20" i="9"/>
  <c r="B167" i="9"/>
  <c r="B258" i="9"/>
  <c r="B358" i="9"/>
  <c r="B21" i="9"/>
  <c r="B440" i="9"/>
  <c r="B441" i="9"/>
  <c r="B229" i="9"/>
  <c r="B34" i="9"/>
  <c r="B176" i="9"/>
  <c r="B494" i="9"/>
  <c r="B45" i="9"/>
  <c r="B442" i="9"/>
  <c r="B390" i="9"/>
  <c r="B443" i="9"/>
  <c r="B80" i="9"/>
  <c r="B81" i="9"/>
  <c r="B307" i="9"/>
  <c r="B82" i="9"/>
  <c r="B444" i="9"/>
  <c r="B369" i="9"/>
  <c r="B373" i="9"/>
  <c r="B445" i="9"/>
  <c r="B495" i="9"/>
  <c r="B353" i="9"/>
  <c r="B496" i="9"/>
  <c r="B35" i="9"/>
  <c r="B287" i="9"/>
  <c r="B296" i="9"/>
  <c r="B382" i="9"/>
  <c r="B36" i="9"/>
  <c r="B162" i="9"/>
  <c r="B341" i="9"/>
  <c r="B497" i="9"/>
  <c r="B498" i="9"/>
  <c r="B262" i="9"/>
  <c r="B274" i="9"/>
  <c r="B192" i="9"/>
  <c r="B126" i="9"/>
  <c r="B499" i="9"/>
  <c r="B238" i="9"/>
  <c r="B446" i="9"/>
  <c r="B235" i="9"/>
  <c r="B266" i="9"/>
  <c r="B83" i="9"/>
  <c r="B500" i="9"/>
  <c r="B5" i="9"/>
  <c r="B12" i="9"/>
  <c r="B210" i="9"/>
  <c r="B236" i="9"/>
  <c r="B142" i="9"/>
  <c r="B447" i="9"/>
  <c r="B256" i="9"/>
  <c r="B279" i="9"/>
  <c r="B213" i="9"/>
  <c r="B67" i="9"/>
  <c r="B448" i="9"/>
  <c r="B501" i="9"/>
  <c r="B449" i="9"/>
  <c r="B354" i="9"/>
  <c r="B37" i="9"/>
  <c r="B84" i="9"/>
  <c r="B502" i="9"/>
  <c r="B125" i="9"/>
  <c r="B253" i="9"/>
  <c r="B314" i="9"/>
  <c r="B120" i="9"/>
  <c r="B191" i="9"/>
  <c r="B85" i="9"/>
  <c r="B242" i="9"/>
  <c r="B320" i="9"/>
  <c r="B383" i="9"/>
  <c r="B226" i="9"/>
  <c r="B241" i="9"/>
  <c r="B228" i="9"/>
  <c r="B356" i="9"/>
  <c r="B343" i="9"/>
  <c r="B18" i="9"/>
  <c r="B38" i="9"/>
  <c r="B450" i="9"/>
  <c r="B86" i="9"/>
  <c r="B503" i="9"/>
  <c r="B350" i="9"/>
  <c r="B6" i="9"/>
  <c r="B87" i="9"/>
  <c r="B504" i="9"/>
  <c r="B286" i="9"/>
  <c r="B278" i="9"/>
  <c r="B46" i="9"/>
  <c r="B214" i="9"/>
  <c r="B24" i="9"/>
  <c r="B198" i="9"/>
  <c r="B348" i="9"/>
  <c r="B451" i="9"/>
  <c r="B355" i="9"/>
  <c r="B452" i="9"/>
  <c r="B313" i="9"/>
  <c r="B185" i="9"/>
  <c r="B317" i="9"/>
  <c r="B505" i="9"/>
  <c r="B25" i="9"/>
  <c r="I2" i="2" a="1"/>
  <c r="I2" i="2" s="1"/>
  <c r="C401" i="9" s="1"/>
  <c r="I3" i="2" a="1"/>
  <c r="I3" i="2" s="1"/>
  <c r="C384" i="9" s="1"/>
  <c r="I4" i="2" a="1"/>
  <c r="I4" i="2" s="1"/>
  <c r="C473" i="9" s="1"/>
  <c r="I5" i="2" a="1"/>
  <c r="I5" i="2" s="1"/>
  <c r="C402" i="9" s="1"/>
  <c r="I6" i="2" a="1"/>
  <c r="I6" i="2" s="1"/>
  <c r="C391" i="9" s="1"/>
  <c r="I7" i="2" a="1"/>
  <c r="I7" i="2" s="1"/>
  <c r="C392" i="9" s="1"/>
  <c r="I8" i="2" a="1"/>
  <c r="I8" i="2" s="1"/>
  <c r="C474" i="9" s="1"/>
  <c r="I10" i="2" a="1"/>
  <c r="I10" i="2" s="1"/>
  <c r="C61" i="9" s="1"/>
  <c r="I11" i="2" a="1"/>
  <c r="I11" i="2" s="1"/>
  <c r="C347" i="9" s="1"/>
  <c r="I9" i="2" a="1"/>
  <c r="I9" i="2" s="1"/>
  <c r="C25" i="9" s="1"/>
  <c r="I13" i="2" a="1"/>
  <c r="I13" i="2" s="1"/>
  <c r="C3" i="9" s="1"/>
  <c r="I12" i="2" a="1"/>
  <c r="I12" i="2" s="1"/>
  <c r="C153" i="9" s="1"/>
  <c r="I14" i="2" a="1"/>
  <c r="I14" i="2" s="1"/>
  <c r="C457" i="9" s="1"/>
  <c r="I15" i="2" a="1"/>
  <c r="I15" i="2" s="1"/>
  <c r="C403" i="9" s="1"/>
  <c r="I16" i="2" a="1"/>
  <c r="I16" i="2" s="1"/>
  <c r="C181" i="9" s="1"/>
  <c r="I17" i="2" a="1"/>
  <c r="I17" i="2" s="1"/>
  <c r="C183" i="9" s="1"/>
  <c r="I19" i="2" a="1"/>
  <c r="I19" i="2" s="1"/>
  <c r="C386" i="9" s="1"/>
  <c r="I18" i="2" a="1"/>
  <c r="I18" i="2" s="1"/>
  <c r="C201" i="9" s="1"/>
  <c r="I20" i="2" a="1"/>
  <c r="I20" i="2" s="1"/>
  <c r="C385" i="9" s="1"/>
  <c r="I22" i="2" a="1"/>
  <c r="I22" i="2" s="1"/>
  <c r="C458" i="9" s="1"/>
  <c r="I23" i="2" a="1"/>
  <c r="I23" i="2" s="1"/>
  <c r="C374" i="9" s="1"/>
  <c r="I21" i="2" a="1"/>
  <c r="I21" i="2" s="1"/>
  <c r="I24" i="2" a="1"/>
  <c r="I24" i="2" s="1"/>
  <c r="I25" i="2" a="1"/>
  <c r="I25" i="2" s="1"/>
  <c r="C187" i="9" s="1"/>
  <c r="I28" i="2" a="1"/>
  <c r="I28" i="2" s="1"/>
  <c r="C421" i="9" s="1"/>
  <c r="I26" i="2" a="1"/>
  <c r="I26" i="2" s="1"/>
  <c r="C247" i="9" s="1"/>
  <c r="I29" i="2" a="1"/>
  <c r="I29" i="2" s="1"/>
  <c r="C367" i="9" s="1"/>
  <c r="I27" i="2" a="1"/>
  <c r="I27" i="2" s="1"/>
  <c r="C265" i="9" s="1"/>
  <c r="I31" i="2" a="1"/>
  <c r="I31" i="2" s="1"/>
  <c r="C212" i="9" s="1"/>
  <c r="I32" i="2" a="1"/>
  <c r="I32" i="2" s="1"/>
  <c r="C399" i="9" s="1"/>
  <c r="I30" i="2" a="1"/>
  <c r="I30" i="2" s="1"/>
  <c r="C232" i="9" s="1"/>
  <c r="I34" i="2" a="1"/>
  <c r="I34" i="2" s="1"/>
  <c r="C76" i="9" s="1"/>
  <c r="I33" i="2" a="1"/>
  <c r="I33" i="2" s="1"/>
  <c r="C112" i="9" s="1"/>
  <c r="I35" i="2" a="1"/>
  <c r="I35" i="2" s="1"/>
  <c r="C393" i="9" s="1"/>
  <c r="I36" i="2" a="1"/>
  <c r="I36" i="2" s="1"/>
  <c r="C404" i="9" s="1"/>
  <c r="I40" i="2" a="1"/>
  <c r="I40" i="2" s="1"/>
  <c r="C405" i="9" s="1"/>
  <c r="I37" i="2" a="1"/>
  <c r="I37" i="2" s="1"/>
  <c r="C14" i="9" s="1"/>
  <c r="I41" i="2" a="1"/>
  <c r="I41" i="2" s="1"/>
  <c r="C375" i="9" s="1"/>
  <c r="I38" i="2" a="1"/>
  <c r="I38" i="2" s="1"/>
  <c r="C362" i="9" s="1"/>
  <c r="I39" i="2" a="1"/>
  <c r="I39" i="2" s="1"/>
  <c r="C115" i="9" s="1"/>
  <c r="I42" i="2" a="1"/>
  <c r="I42" i="2" s="1"/>
  <c r="C111" i="9" s="1"/>
  <c r="I44" i="2" a="1"/>
  <c r="I44" i="2" s="1"/>
  <c r="I45" i="2" a="1"/>
  <c r="I45" i="2" s="1"/>
  <c r="I43" i="2" a="1"/>
  <c r="I43" i="2" s="1"/>
  <c r="C155" i="9" s="1"/>
  <c r="I46" i="2" a="1"/>
  <c r="I46" i="2" s="1"/>
  <c r="C372" i="9" s="1"/>
  <c r="I47" i="2" a="1"/>
  <c r="I47" i="2" s="1"/>
  <c r="C376" i="9" s="1"/>
  <c r="I48" i="2" a="1"/>
  <c r="I48" i="2" s="1"/>
  <c r="C475" i="9" s="1"/>
  <c r="I49" i="2" a="1"/>
  <c r="I49" i="2" s="1"/>
  <c r="C407" i="9" s="1"/>
  <c r="I50" i="2" a="1"/>
  <c r="I50" i="2" s="1"/>
  <c r="I51" i="2" a="1"/>
  <c r="I51" i="2" s="1"/>
  <c r="I52" i="2" a="1"/>
  <c r="I52" i="2" s="1"/>
  <c r="C408" i="9" s="1"/>
  <c r="I56" i="2" a="1"/>
  <c r="I56" i="2" s="1"/>
  <c r="C453" i="9" s="1"/>
  <c r="I57" i="2" a="1"/>
  <c r="I57" i="2" s="1"/>
  <c r="C368" i="9" s="1"/>
  <c r="I54" i="2" a="1"/>
  <c r="I54" i="2" s="1"/>
  <c r="C39" i="9" s="1"/>
  <c r="I53" i="2" a="1"/>
  <c r="I53" i="2" s="1"/>
  <c r="C160" i="9" s="1"/>
  <c r="I55" i="2" a="1"/>
  <c r="I55" i="2" s="1"/>
  <c r="I58" i="2" a="1"/>
  <c r="I58" i="2" s="1"/>
  <c r="C454" i="9" s="1"/>
  <c r="I59" i="2" a="1"/>
  <c r="I59" i="2" s="1"/>
  <c r="I62" i="2" a="1"/>
  <c r="I62" i="2" s="1"/>
  <c r="C57" i="9" s="1"/>
  <c r="I64" i="2" a="1"/>
  <c r="I64" i="2" s="1"/>
  <c r="C459" i="9" s="1"/>
  <c r="I61" i="2" a="1"/>
  <c r="I61" i="2" s="1"/>
  <c r="C336" i="9" s="1"/>
  <c r="I65" i="2" a="1"/>
  <c r="I65" i="2" s="1"/>
  <c r="I66" i="2" a="1"/>
  <c r="I66" i="2" s="1"/>
  <c r="C377" i="9" s="1"/>
  <c r="I63" i="2" a="1"/>
  <c r="I63" i="2" s="1"/>
  <c r="C77" i="9" s="1"/>
  <c r="I60" i="2" a="1"/>
  <c r="I60" i="2" s="1"/>
  <c r="I67" i="2" a="1"/>
  <c r="I67" i="2" s="1"/>
  <c r="C476" i="9" s="1"/>
  <c r="I71" i="2" a="1"/>
  <c r="I71" i="2" s="1"/>
  <c r="C426" i="9" s="1"/>
  <c r="I68" i="2" a="1"/>
  <c r="I68" i="2" s="1"/>
  <c r="C28" i="9" s="1"/>
  <c r="I72" i="2" a="1"/>
  <c r="I72" i="2" s="1"/>
  <c r="I69" i="2" a="1"/>
  <c r="I69" i="2" s="1"/>
  <c r="C42" i="9" s="1"/>
  <c r="I70" i="2" a="1"/>
  <c r="I70" i="2" s="1"/>
  <c r="C2" i="9" s="1"/>
  <c r="I73" i="2" a="1"/>
  <c r="I73" i="2" s="1"/>
  <c r="I82" i="2" a="1"/>
  <c r="I82" i="2" s="1"/>
  <c r="C327" i="9" s="1"/>
  <c r="I77" i="2" a="1"/>
  <c r="I77" i="2" s="1"/>
  <c r="C59" i="9" s="1"/>
  <c r="I79" i="2" a="1"/>
  <c r="I79" i="2" s="1"/>
  <c r="C477" i="9" s="1"/>
  <c r="I75" i="2" a="1"/>
  <c r="I75" i="2" s="1"/>
  <c r="C277" i="9" s="1"/>
  <c r="I76" i="2" a="1"/>
  <c r="I76" i="2" s="1"/>
  <c r="C293" i="9" s="1"/>
  <c r="I78" i="2" a="1"/>
  <c r="I78" i="2" s="1"/>
  <c r="C227" i="9" s="1"/>
  <c r="I80" i="2" a="1"/>
  <c r="I80" i="2" s="1"/>
  <c r="C478" i="9" s="1"/>
  <c r="I74" i="2" a="1"/>
  <c r="I74" i="2" s="1"/>
  <c r="C349" i="9" s="1"/>
  <c r="I81" i="2" a="1"/>
  <c r="I81" i="2" s="1"/>
  <c r="C479" i="9" s="1"/>
  <c r="I84" i="2" a="1"/>
  <c r="I84" i="2" s="1"/>
  <c r="C480" i="9" s="1"/>
  <c r="I83" i="2" a="1"/>
  <c r="I83" i="2" s="1"/>
  <c r="C63" i="9" s="1"/>
  <c r="I85" i="2" a="1"/>
  <c r="I85" i="2" s="1"/>
  <c r="I86" i="2" a="1"/>
  <c r="I86" i="2" s="1"/>
  <c r="C428" i="9" s="1"/>
  <c r="I93" i="2" a="1"/>
  <c r="I93" i="2" s="1"/>
  <c r="C460" i="9" s="1"/>
  <c r="I91" i="2" a="1"/>
  <c r="I91" i="2" s="1"/>
  <c r="I92" i="2" a="1"/>
  <c r="I92" i="2" s="1"/>
  <c r="C282" i="9" s="1"/>
  <c r="I88" i="2" a="1"/>
  <c r="I88" i="2" s="1"/>
  <c r="C40" i="9" s="1"/>
  <c r="I94" i="2" a="1"/>
  <c r="I94" i="2" s="1"/>
  <c r="I87" i="2" a="1"/>
  <c r="I87" i="2" s="1"/>
  <c r="I89" i="2" a="1"/>
  <c r="I89" i="2" s="1"/>
  <c r="C172" i="9" s="1"/>
  <c r="I90" i="2" a="1"/>
  <c r="I90" i="2" s="1"/>
  <c r="C352" i="9" s="1"/>
  <c r="I99" i="2" a="1"/>
  <c r="I99" i="2" s="1"/>
  <c r="C461" i="9" s="1"/>
  <c r="I96" i="2" a="1"/>
  <c r="I96" i="2" s="1"/>
  <c r="I98" i="2" a="1"/>
  <c r="I98" i="2" s="1"/>
  <c r="C342" i="9" s="1"/>
  <c r="I95" i="2" a="1"/>
  <c r="I95" i="2" s="1"/>
  <c r="C19" i="9" s="1"/>
  <c r="I97" i="2" a="1"/>
  <c r="I97" i="2" s="1"/>
  <c r="C316" i="9" s="1"/>
  <c r="I100" i="2" a="1"/>
  <c r="I100" i="2" s="1"/>
  <c r="C481" i="9" s="1"/>
  <c r="I108" i="2" a="1"/>
  <c r="I108" i="2" s="1"/>
  <c r="C209" i="9" s="1"/>
  <c r="I101" i="2" a="1"/>
  <c r="I101" i="2" s="1"/>
  <c r="C149" i="9" s="1"/>
  <c r="I103" i="2" a="1"/>
  <c r="I103" i="2" s="1"/>
  <c r="C69" i="9" s="1"/>
  <c r="I104" i="2" a="1"/>
  <c r="I104" i="2" s="1"/>
  <c r="C66" i="9" s="1"/>
  <c r="I105" i="2" a="1"/>
  <c r="I105" i="2" s="1"/>
  <c r="C70" i="9" s="1"/>
  <c r="I102" i="2" a="1"/>
  <c r="I102" i="2" s="1"/>
  <c r="C121" i="9" s="1"/>
  <c r="I106" i="2" a="1"/>
  <c r="I106" i="2" s="1"/>
  <c r="I107" i="2" a="1"/>
  <c r="I107" i="2" s="1"/>
  <c r="I113" i="2" a="1"/>
  <c r="I113" i="2" s="1"/>
  <c r="C267" i="9" s="1"/>
  <c r="I111" i="2" a="1"/>
  <c r="I111" i="2" s="1"/>
  <c r="C298" i="9" s="1"/>
  <c r="I110" i="2" a="1"/>
  <c r="I110" i="2" s="1"/>
  <c r="C283" i="9" s="1"/>
  <c r="I114" i="2" a="1"/>
  <c r="I114" i="2" s="1"/>
  <c r="I109" i="2" a="1"/>
  <c r="I109" i="2" s="1"/>
  <c r="C4" i="9" s="1"/>
  <c r="I112" i="2" a="1"/>
  <c r="I112" i="2" s="1"/>
  <c r="C13" i="9" s="1"/>
  <c r="I115" i="2" a="1"/>
  <c r="I115" i="2" s="1"/>
  <c r="C411" i="9" s="1"/>
  <c r="I116" i="2" a="1"/>
  <c r="I116" i="2" s="1"/>
  <c r="C261" i="9" s="1"/>
  <c r="I117" i="2" a="1"/>
  <c r="I117" i="2" s="1"/>
  <c r="C315" i="9" s="1"/>
  <c r="I118" i="2" a="1"/>
  <c r="I118" i="2" s="1"/>
  <c r="I119" i="2" a="1"/>
  <c r="I119" i="2" s="1"/>
  <c r="C195" i="9" s="1"/>
  <c r="I122" i="2" a="1"/>
  <c r="I122" i="2" s="1"/>
  <c r="C71" i="9" s="1"/>
  <c r="I121" i="2" a="1"/>
  <c r="I121" i="2" s="1"/>
  <c r="C251" i="9" s="1"/>
  <c r="I120" i="2" a="1"/>
  <c r="I120" i="2" s="1"/>
  <c r="I126" i="2" a="1"/>
  <c r="I126" i="2" s="1"/>
  <c r="I123" i="2" a="1"/>
  <c r="I123" i="2" s="1"/>
  <c r="C255" i="9" s="1"/>
  <c r="I124" i="2" a="1"/>
  <c r="I124" i="2" s="1"/>
  <c r="C204" i="9" s="1"/>
  <c r="I125" i="2" a="1"/>
  <c r="I125" i="2" s="1"/>
  <c r="C208" i="9" s="1"/>
  <c r="I127" i="2" a="1"/>
  <c r="I127" i="2" s="1"/>
  <c r="C128" i="9" s="1"/>
  <c r="I128" i="2" a="1"/>
  <c r="I128" i="2" s="1"/>
  <c r="I130" i="2" a="1"/>
  <c r="I130" i="2" s="1"/>
  <c r="C264" i="9" s="1"/>
  <c r="I131" i="2" a="1"/>
  <c r="I131" i="2" s="1"/>
  <c r="C482" i="9" s="1"/>
  <c r="I132" i="2" a="1"/>
  <c r="I132" i="2" s="1"/>
  <c r="I129" i="2" a="1"/>
  <c r="I129" i="2" s="1"/>
  <c r="C17" i="9" s="1"/>
  <c r="I133" i="2" a="1"/>
  <c r="I133" i="2" s="1"/>
  <c r="C58" i="9" s="1"/>
  <c r="I135" i="2" a="1"/>
  <c r="I135" i="2" s="1"/>
  <c r="I136" i="2" a="1"/>
  <c r="I136" i="2" s="1"/>
  <c r="C396" i="9" s="1"/>
  <c r="I134" i="2" a="1"/>
  <c r="I134" i="2" s="1"/>
  <c r="C196" i="9" s="1"/>
  <c r="I137" i="2" a="1"/>
  <c r="I137" i="2" s="1"/>
  <c r="C280" i="9" s="1"/>
  <c r="I138" i="2" a="1"/>
  <c r="I138" i="2" s="1"/>
  <c r="I140" i="2" a="1"/>
  <c r="I140" i="2" s="1"/>
  <c r="C430" i="9" s="1"/>
  <c r="I139" i="2" a="1"/>
  <c r="I139" i="2" s="1"/>
  <c r="C169" i="9" s="1"/>
  <c r="I141" i="2" a="1"/>
  <c r="I141" i="2" s="1"/>
  <c r="C431" i="9" s="1"/>
  <c r="I144" i="2" a="1"/>
  <c r="I144" i="2" s="1"/>
  <c r="C170" i="9" s="1"/>
  <c r="I142" i="2" a="1"/>
  <c r="I142" i="2" s="1"/>
  <c r="C133" i="9" s="1"/>
  <c r="I145" i="2" a="1"/>
  <c r="I145" i="2" s="1"/>
  <c r="C378" i="9" s="1"/>
  <c r="I143" i="2" a="1"/>
  <c r="I143" i="2" s="1"/>
  <c r="C15" i="9" s="1"/>
  <c r="I146" i="2" a="1"/>
  <c r="I146" i="2" s="1"/>
  <c r="C483" i="9" s="1"/>
  <c r="I147" i="2" a="1"/>
  <c r="I147" i="2" s="1"/>
  <c r="C291" i="9" s="1"/>
  <c r="I148" i="2" a="1"/>
  <c r="I148" i="2" s="1"/>
  <c r="C26" i="9" s="1"/>
  <c r="I149" i="2" a="1"/>
  <c r="I149" i="2" s="1"/>
  <c r="I152" i="2" a="1"/>
  <c r="I152" i="2" s="1"/>
  <c r="C397" i="9" s="1"/>
  <c r="I151" i="2" a="1"/>
  <c r="I151" i="2" s="1"/>
  <c r="C281" i="9" s="1"/>
  <c r="I150" i="2" a="1"/>
  <c r="I150" i="2" s="1"/>
  <c r="I153" i="2" a="1"/>
  <c r="I153" i="2" s="1"/>
  <c r="C30" i="9" s="1"/>
  <c r="I154" i="2" a="1"/>
  <c r="I154" i="2" s="1"/>
  <c r="C110" i="9" s="1"/>
  <c r="I156" i="2" a="1"/>
  <c r="I156" i="2" s="1"/>
  <c r="C325" i="9" s="1"/>
  <c r="I155" i="2" a="1"/>
  <c r="I155" i="2" s="1"/>
  <c r="C163" i="9" s="1"/>
  <c r="I157" i="2" a="1"/>
  <c r="I157" i="2" s="1"/>
  <c r="C139" i="9" s="1"/>
  <c r="I158" i="2" a="1"/>
  <c r="I158" i="2" s="1"/>
  <c r="C240" i="9" s="1"/>
  <c r="I159" i="2" a="1"/>
  <c r="I159" i="2" s="1"/>
  <c r="C184" i="9" s="1"/>
  <c r="I160" i="2" a="1"/>
  <c r="I160" i="2" s="1"/>
  <c r="C455" i="9" s="1"/>
  <c r="I161" i="2" a="1"/>
  <c r="I161" i="2" s="1"/>
  <c r="C462" i="9" s="1"/>
  <c r="I162" i="2" a="1"/>
  <c r="I162" i="2" s="1"/>
  <c r="C484" i="9" s="1"/>
  <c r="I164" i="2" a="1"/>
  <c r="I164" i="2" s="1"/>
  <c r="I163" i="2" a="1"/>
  <c r="I163" i="2" s="1"/>
  <c r="C194" i="9" s="1"/>
  <c r="I165" i="2" a="1"/>
  <c r="I165" i="2" s="1"/>
  <c r="C379" i="9" s="1"/>
  <c r="I168" i="2" a="1"/>
  <c r="I168" i="2" s="1"/>
  <c r="C357" i="9" s="1"/>
  <c r="I167" i="2" a="1"/>
  <c r="I167" i="2" s="1"/>
  <c r="I170" i="2" a="1"/>
  <c r="I170" i="2" s="1"/>
  <c r="C269" i="9" s="1"/>
  <c r="I169" i="2" a="1"/>
  <c r="I169" i="2" s="1"/>
  <c r="I166" i="2" a="1"/>
  <c r="I166" i="2" s="1"/>
  <c r="C193" i="9" s="1"/>
  <c r="I171" i="2" a="1"/>
  <c r="I171" i="2" s="1"/>
  <c r="C72" i="9" s="1"/>
  <c r="I174" i="2" a="1"/>
  <c r="I174" i="2" s="1"/>
  <c r="C285" i="9" s="1"/>
  <c r="I172" i="2" a="1"/>
  <c r="I172" i="2" s="1"/>
  <c r="C292" i="9" s="1"/>
  <c r="I173" i="2" a="1"/>
  <c r="I173" i="2" s="1"/>
  <c r="C175" i="9" s="1"/>
  <c r="I176" i="2" a="1"/>
  <c r="I176" i="2" s="1"/>
  <c r="C304" i="9" s="1"/>
  <c r="I179" i="2" a="1"/>
  <c r="I179" i="2" s="1"/>
  <c r="C485" i="9" s="1"/>
  <c r="I178" i="2" a="1"/>
  <c r="I178" i="2" s="1"/>
  <c r="C306" i="9" s="1"/>
  <c r="I177" i="2" a="1"/>
  <c r="I177" i="2" s="1"/>
  <c r="C144" i="9" s="1"/>
  <c r="I175" i="2" a="1"/>
  <c r="I175" i="2" s="1"/>
  <c r="C223" i="9" s="1"/>
  <c r="I180" i="2" a="1"/>
  <c r="I180" i="2" s="1"/>
  <c r="C380" i="9" s="1"/>
  <c r="I181" i="2" a="1"/>
  <c r="I181" i="2" s="1"/>
  <c r="I182" i="2" a="1"/>
  <c r="I182" i="2" s="1"/>
  <c r="C199" i="9" s="1"/>
  <c r="I184" i="2" a="1"/>
  <c r="I184" i="2" s="1"/>
  <c r="C250" i="9" s="1"/>
  <c r="I183" i="2" a="1"/>
  <c r="I183" i="2" s="1"/>
  <c r="C276" i="9" s="1"/>
  <c r="I185" i="2" a="1"/>
  <c r="I185" i="2" s="1"/>
  <c r="C146" i="9" s="1"/>
  <c r="I186" i="2" a="1"/>
  <c r="I186" i="2" s="1"/>
  <c r="C463" i="9" s="1"/>
  <c r="I190" i="2" a="1"/>
  <c r="I190" i="2" s="1"/>
  <c r="I187" i="2" a="1"/>
  <c r="I187" i="2" s="1"/>
  <c r="C234" i="9" s="1"/>
  <c r="I189" i="2" a="1"/>
  <c r="I189" i="2" s="1"/>
  <c r="C219" i="9" s="1"/>
  <c r="I191" i="2" a="1"/>
  <c r="I191" i="2" s="1"/>
  <c r="I188" i="2" a="1"/>
  <c r="I188" i="2" s="1"/>
  <c r="I192" i="2" a="1"/>
  <c r="I192" i="2" s="1"/>
  <c r="C464" i="9" s="1"/>
  <c r="I193" i="2" a="1"/>
  <c r="I193" i="2" s="1"/>
  <c r="C486" i="9" s="1"/>
  <c r="I195" i="2" a="1"/>
  <c r="I195" i="2" s="1"/>
  <c r="I198" i="2" a="1"/>
  <c r="I198" i="2" s="1"/>
  <c r="I197" i="2" a="1"/>
  <c r="I197" i="2" s="1"/>
  <c r="C243" i="9" s="1"/>
  <c r="I194" i="2" a="1"/>
  <c r="I194" i="2" s="1"/>
  <c r="C216" i="9" s="1"/>
  <c r="I196" i="2" a="1"/>
  <c r="I196" i="2" s="1"/>
  <c r="I199" i="2" a="1"/>
  <c r="I199" i="2" s="1"/>
  <c r="C318" i="9" s="1"/>
  <c r="I200" i="2" a="1"/>
  <c r="I200" i="2" s="1"/>
  <c r="C131" i="9" s="1"/>
  <c r="I202" i="2" a="1"/>
  <c r="I202" i="2" s="1"/>
  <c r="C117" i="9" s="1"/>
  <c r="I203" i="2" a="1"/>
  <c r="I203" i="2" s="1"/>
  <c r="C487" i="9" s="1"/>
  <c r="I201" i="2" a="1"/>
  <c r="I201" i="2" s="1"/>
  <c r="I204" i="2" a="1"/>
  <c r="I204" i="2" s="1"/>
  <c r="I205" i="2" a="1"/>
  <c r="I205" i="2" s="1"/>
  <c r="C371" i="9" s="1"/>
  <c r="I206" i="2" a="1"/>
  <c r="I206" i="2" s="1"/>
  <c r="C64" i="9" s="1"/>
  <c r="I207" i="2" a="1"/>
  <c r="I207" i="2" s="1"/>
  <c r="C435" i="9" s="1"/>
  <c r="I208" i="2" a="1"/>
  <c r="I208" i="2" s="1"/>
  <c r="C333" i="9" s="1"/>
  <c r="I209" i="2" a="1"/>
  <c r="I209" i="2" s="1"/>
  <c r="C332" i="9" s="1"/>
  <c r="I210" i="2" a="1"/>
  <c r="I210" i="2" s="1"/>
  <c r="I211" i="2" a="1"/>
  <c r="I211" i="2" s="1"/>
  <c r="C389" i="9" s="1"/>
  <c r="I215" i="2" a="1"/>
  <c r="I215" i="2" s="1"/>
  <c r="C190" i="9" s="1"/>
  <c r="I212" i="2" a="1"/>
  <c r="I212" i="2" s="1"/>
  <c r="C303" i="9" s="1"/>
  <c r="I213" i="2" a="1"/>
  <c r="I213" i="2" s="1"/>
  <c r="C78" i="9" s="1"/>
  <c r="I214" i="2" a="1"/>
  <c r="I214" i="2" s="1"/>
  <c r="C65" i="9" s="1"/>
  <c r="I217" i="2" a="1"/>
  <c r="I217" i="2" s="1"/>
  <c r="C268" i="9" s="1"/>
  <c r="I216" i="2" a="1"/>
  <c r="I216" i="2" s="1"/>
  <c r="C299" i="9" s="1"/>
  <c r="I219" i="2" a="1"/>
  <c r="I219" i="2" s="1"/>
  <c r="C488" i="9" s="1"/>
  <c r="I220" i="2" a="1"/>
  <c r="I220" i="2" s="1"/>
  <c r="C244" i="9" s="1"/>
  <c r="I218" i="2" a="1"/>
  <c r="I218" i="2" s="1"/>
  <c r="C161" i="9" s="1"/>
  <c r="I221" i="2" a="1"/>
  <c r="I221" i="2" s="1"/>
  <c r="C56" i="9" s="1"/>
  <c r="I222" i="2" a="1"/>
  <c r="I222" i="2" s="1"/>
  <c r="C370" i="9" s="1"/>
  <c r="I223" i="2" a="1"/>
  <c r="I223" i="2" s="1"/>
  <c r="C489" i="9" s="1"/>
  <c r="I226" i="2" a="1"/>
  <c r="I226" i="2" s="1"/>
  <c r="I224" i="2" a="1"/>
  <c r="I224" i="2" s="1"/>
  <c r="C27" i="9" s="1"/>
  <c r="I225" i="2" a="1"/>
  <c r="I225" i="2" s="1"/>
  <c r="C79" i="9" s="1"/>
  <c r="I227" i="2" a="1"/>
  <c r="I227" i="2" s="1"/>
  <c r="C43" i="9" s="1"/>
  <c r="I228" i="2" a="1"/>
  <c r="I228" i="2" s="1"/>
  <c r="C295" i="9" s="1"/>
  <c r="I229" i="2" a="1"/>
  <c r="I229" i="2" s="1"/>
  <c r="C465" i="9" s="1"/>
  <c r="I230" i="2" a="1"/>
  <c r="I230" i="2" s="1"/>
  <c r="C197" i="9" s="1"/>
  <c r="I231" i="2" a="1"/>
  <c r="I231" i="2" s="1"/>
  <c r="C122" i="9" s="1"/>
  <c r="I232" i="2" a="1"/>
  <c r="I232" i="2" s="1"/>
  <c r="I233" i="2" a="1"/>
  <c r="I233" i="2" s="1"/>
  <c r="C466" i="9" s="1"/>
  <c r="I234" i="2" a="1"/>
  <c r="I234" i="2" s="1"/>
  <c r="C490" i="9" s="1"/>
  <c r="I235" i="2" a="1"/>
  <c r="I235" i="2" s="1"/>
  <c r="C321" i="9" s="1"/>
  <c r="I236" i="2" a="1"/>
  <c r="I236" i="2" s="1"/>
  <c r="C491" i="9" s="1"/>
  <c r="I237" i="2" a="1"/>
  <c r="I237" i="2" s="1"/>
  <c r="I238" i="2" a="1"/>
  <c r="I238" i="2" s="1"/>
  <c r="I239" i="2" a="1"/>
  <c r="I239" i="2" s="1"/>
  <c r="I240" i="2" a="1"/>
  <c r="I240" i="2" s="1"/>
  <c r="I242" i="2" a="1"/>
  <c r="I242" i="2" s="1"/>
  <c r="I241" i="2" a="1"/>
  <c r="I241" i="2" s="1"/>
  <c r="I243" i="2" a="1"/>
  <c r="I243" i="2" s="1"/>
  <c r="C205" i="9" s="1"/>
  <c r="I245" i="2" a="1"/>
  <c r="I245" i="2" s="1"/>
  <c r="C141" i="9" s="1"/>
  <c r="I244" i="2" a="1"/>
  <c r="I244" i="2" s="1"/>
  <c r="I247" i="2" a="1"/>
  <c r="I247" i="2" s="1"/>
  <c r="C492" i="9" s="1"/>
  <c r="I246" i="2" a="1"/>
  <c r="I246" i="2" s="1"/>
  <c r="C329" i="9" s="1"/>
  <c r="I248" i="2" a="1"/>
  <c r="I248" i="2" s="1"/>
  <c r="C324" i="9" s="1"/>
  <c r="I249" i="2" a="1"/>
  <c r="I249" i="2" s="1"/>
  <c r="I250" i="2" a="1"/>
  <c r="I250" i="2" s="1"/>
  <c r="C44" i="9" s="1"/>
  <c r="I251" i="2" a="1"/>
  <c r="I251" i="2" s="1"/>
  <c r="C60" i="9" s="1"/>
  <c r="I252" i="2" a="1"/>
  <c r="I252" i="2" s="1"/>
  <c r="I253" i="2" a="1"/>
  <c r="I253" i="2" s="1"/>
  <c r="C394" i="9" s="1"/>
  <c r="I254" i="2" a="1"/>
  <c r="I254" i="2" s="1"/>
  <c r="I256" i="2" a="1"/>
  <c r="I256" i="2" s="1"/>
  <c r="C493" i="9" s="1"/>
  <c r="I257" i="2" a="1"/>
  <c r="I257" i="2" s="1"/>
  <c r="C456" i="9" s="1"/>
  <c r="I258" i="2" a="1"/>
  <c r="I258" i="2" s="1"/>
  <c r="I255" i="2" a="1"/>
  <c r="I255" i="2" s="1"/>
  <c r="C233" i="9" s="1"/>
  <c r="I262" i="2" a="1"/>
  <c r="I262" i="2" s="1"/>
  <c r="C467" i="9" s="1"/>
  <c r="I260" i="2" a="1"/>
  <c r="I260" i="2" s="1"/>
  <c r="C134" i="9" s="1"/>
  <c r="I263" i="2" a="1"/>
  <c r="I263" i="2" s="1"/>
  <c r="I261" i="2" a="1"/>
  <c r="I261" i="2" s="1"/>
  <c r="C20" i="9" s="1"/>
  <c r="I259" i="2" a="1"/>
  <c r="I259" i="2" s="1"/>
  <c r="C167" i="9" s="1"/>
  <c r="I264" i="2" a="1"/>
  <c r="I264" i="2" s="1"/>
  <c r="C258" i="9" s="1"/>
  <c r="I266" i="2" a="1"/>
  <c r="I266" i="2" s="1"/>
  <c r="C221" i="9" s="1"/>
  <c r="I267" i="2" a="1"/>
  <c r="I267" i="2" s="1"/>
  <c r="C358" i="9" s="1"/>
  <c r="I265" i="2" a="1"/>
  <c r="I265" i="2" s="1"/>
  <c r="C21" i="9" s="1"/>
  <c r="I269" i="2" a="1"/>
  <c r="I269" i="2" s="1"/>
  <c r="C440" i="9" s="1"/>
  <c r="I268" i="2" a="1"/>
  <c r="I268" i="2" s="1"/>
  <c r="C152" i="9" s="1"/>
  <c r="I270" i="2" a="1"/>
  <c r="I270" i="2" s="1"/>
  <c r="I271" i="2" a="1"/>
  <c r="I271" i="2" s="1"/>
  <c r="C229" i="9" s="1"/>
  <c r="I272" i="2" a="1"/>
  <c r="I272" i="2" s="1"/>
  <c r="C468" i="9" s="1"/>
  <c r="I275" i="2" a="1"/>
  <c r="I275" i="2" s="1"/>
  <c r="I274" i="2" a="1"/>
  <c r="I274" i="2" s="1"/>
  <c r="I273" i="2" a="1"/>
  <c r="I273" i="2" s="1"/>
  <c r="C176" i="9" s="1"/>
  <c r="I277" i="2" a="1"/>
  <c r="I277" i="2" s="1"/>
  <c r="C73" i="9" s="1"/>
  <c r="I278" i="2" a="1"/>
  <c r="I278" i="2" s="1"/>
  <c r="C494" i="9" s="1"/>
  <c r="I276" i="2" a="1"/>
  <c r="I276" i="2" s="1"/>
  <c r="C45" i="9" s="1"/>
  <c r="I280" i="2" a="1"/>
  <c r="I280" i="2" s="1"/>
  <c r="C469" i="9" s="1"/>
  <c r="I281" i="2" a="1"/>
  <c r="I281" i="2" s="1"/>
  <c r="I279" i="2" a="1"/>
  <c r="I279" i="2" s="1"/>
  <c r="C171" i="9" s="1"/>
  <c r="I282" i="2" a="1"/>
  <c r="I282" i="2" s="1"/>
  <c r="C442" i="9" s="1"/>
  <c r="I283" i="2" a="1"/>
  <c r="I283" i="2" s="1"/>
  <c r="C390" i="9" s="1"/>
  <c r="I285" i="2" a="1"/>
  <c r="I285" i="2" s="1"/>
  <c r="C68" i="9" s="1"/>
  <c r="I284" i="2" a="1"/>
  <c r="I284" i="2" s="1"/>
  <c r="C330" i="9" s="1"/>
  <c r="I287" i="2" a="1"/>
  <c r="I287" i="2" s="1"/>
  <c r="I286" i="2" a="1"/>
  <c r="I286" i="2" s="1"/>
  <c r="I291" i="2" a="1"/>
  <c r="I291" i="2" s="1"/>
  <c r="I289" i="2" a="1"/>
  <c r="I289" i="2" s="1"/>
  <c r="C80" i="9" s="1"/>
  <c r="I290" i="2" a="1"/>
  <c r="I290" i="2" s="1"/>
  <c r="C74" i="9" s="1"/>
  <c r="I288" i="2" a="1"/>
  <c r="I288" i="2" s="1"/>
  <c r="I292" i="2" a="1"/>
  <c r="I292" i="2" s="1"/>
  <c r="C81" i="9" s="1"/>
  <c r="I293" i="2" a="1"/>
  <c r="I293" i="2" s="1"/>
  <c r="C417" i="9" s="1"/>
  <c r="I294" i="2" a="1"/>
  <c r="I294" i="2" s="1"/>
  <c r="C307" i="9" s="1"/>
  <c r="I296" i="2" a="1"/>
  <c r="I296" i="2" s="1"/>
  <c r="C82" i="9" s="1"/>
  <c r="I297" i="2" a="1"/>
  <c r="I297" i="2" s="1"/>
  <c r="C145" i="9" s="1"/>
  <c r="I298" i="2" a="1"/>
  <c r="I298" i="2" s="1"/>
  <c r="I299" i="2" a="1"/>
  <c r="I299" i="2" s="1"/>
  <c r="C369" i="9" s="1"/>
  <c r="I300" i="2" a="1"/>
  <c r="I300" i="2" s="1"/>
  <c r="C207" i="9" s="1"/>
  <c r="I295" i="2" a="1"/>
  <c r="I295" i="2" s="1"/>
  <c r="C173" i="9" s="1"/>
  <c r="I303" i="2" a="1"/>
  <c r="I303" i="2" s="1"/>
  <c r="C373" i="9" s="1"/>
  <c r="I304" i="2" a="1"/>
  <c r="I304" i="2" s="1"/>
  <c r="I305" i="2" a="1"/>
  <c r="I305" i="2" s="1"/>
  <c r="C495" i="9" s="1"/>
  <c r="I302" i="2" a="1"/>
  <c r="I302" i="2" s="1"/>
  <c r="C174" i="9" s="1"/>
  <c r="I301" i="2" a="1"/>
  <c r="I301" i="2" s="1"/>
  <c r="C353" i="9" s="1"/>
  <c r="I307" i="2" a="1"/>
  <c r="I307" i="2" s="1"/>
  <c r="I308" i="2" a="1"/>
  <c r="I308" i="2" s="1"/>
  <c r="C496" i="9" s="1"/>
  <c r="I306" i="2" a="1"/>
  <c r="I306" i="2" s="1"/>
  <c r="I309" i="2" a="1"/>
  <c r="I309" i="2" s="1"/>
  <c r="I311" i="2" a="1"/>
  <c r="I311" i="2" s="1"/>
  <c r="C381" i="9" s="1"/>
  <c r="I310" i="2" a="1"/>
  <c r="I310" i="2" s="1"/>
  <c r="C287" i="9" s="1"/>
  <c r="I313" i="2" a="1"/>
  <c r="I313" i="2" s="1"/>
  <c r="C186" i="9" s="1"/>
  <c r="I312" i="2" a="1"/>
  <c r="I312" i="2" s="1"/>
  <c r="C16" i="9" s="1"/>
  <c r="I314" i="2" a="1"/>
  <c r="I314" i="2" s="1"/>
  <c r="C296" i="9" s="1"/>
  <c r="I315" i="2" a="1"/>
  <c r="I315" i="2" s="1"/>
  <c r="C382" i="9" s="1"/>
  <c r="I316" i="2" a="1"/>
  <c r="I316" i="2" s="1"/>
  <c r="I319" i="2" a="1"/>
  <c r="I319" i="2" s="1"/>
  <c r="I320" i="2" a="1"/>
  <c r="I320" i="2" s="1"/>
  <c r="C162" i="9" s="1"/>
  <c r="I317" i="2" a="1"/>
  <c r="I317" i="2" s="1"/>
  <c r="C341" i="9" s="1"/>
  <c r="I318" i="2" a="1"/>
  <c r="I318" i="2" s="1"/>
  <c r="C41" i="9" s="1"/>
  <c r="I323" i="2" a="1"/>
  <c r="I323" i="2" s="1"/>
  <c r="C497" i="9" s="1"/>
  <c r="I324" i="2" a="1"/>
  <c r="I324" i="2" s="1"/>
  <c r="C498" i="9" s="1"/>
  <c r="I321" i="2" a="1"/>
  <c r="I321" i="2" s="1"/>
  <c r="C262" i="9" s="1"/>
  <c r="I322" i="2" a="1"/>
  <c r="I322" i="2" s="1"/>
  <c r="I325" i="2" a="1"/>
  <c r="I325" i="2" s="1"/>
  <c r="C192" i="9" s="1"/>
  <c r="I327" i="2" a="1"/>
  <c r="I327" i="2" s="1"/>
  <c r="C126" i="9" s="1"/>
  <c r="I331" i="2" a="1"/>
  <c r="I331" i="2" s="1"/>
  <c r="C499" i="9" s="1"/>
  <c r="I330" i="2" a="1"/>
  <c r="I330" i="2" s="1"/>
  <c r="C238" i="9" s="1"/>
  <c r="I328" i="2" a="1"/>
  <c r="I328" i="2" s="1"/>
  <c r="C75" i="9" s="1"/>
  <c r="I332" i="2" a="1"/>
  <c r="I332" i="2" s="1"/>
  <c r="C470" i="9" s="1"/>
  <c r="I329" i="2" a="1"/>
  <c r="I329" i="2" s="1"/>
  <c r="C62" i="9" s="1"/>
  <c r="I333" i="2" a="1"/>
  <c r="I333" i="2" s="1"/>
  <c r="C446" i="9" s="1"/>
  <c r="I334" i="2" a="1"/>
  <c r="I334" i="2" s="1"/>
  <c r="I326" i="2" a="1"/>
  <c r="I326" i="2" s="1"/>
  <c r="C235" i="9" s="1"/>
  <c r="I337" i="2" a="1"/>
  <c r="I337" i="2" s="1"/>
  <c r="C266" i="9" s="1"/>
  <c r="I341" i="2" a="1"/>
  <c r="I341" i="2" s="1"/>
  <c r="I338" i="2" a="1"/>
  <c r="I338" i="2" s="1"/>
  <c r="C83" i="9" s="1"/>
  <c r="I339" i="2" a="1"/>
  <c r="I339" i="2" s="1"/>
  <c r="I342" i="2" a="1"/>
  <c r="I342" i="2" s="1"/>
  <c r="C500" i="9" s="1"/>
  <c r="I336" i="2" a="1"/>
  <c r="I336" i="2" s="1"/>
  <c r="C135" i="9" s="1"/>
  <c r="I340" i="2" a="1"/>
  <c r="I340" i="2" s="1"/>
  <c r="C189" i="9" s="1"/>
  <c r="I335" i="2" a="1"/>
  <c r="I335" i="2" s="1"/>
  <c r="C5" i="9" s="1"/>
  <c r="I344" i="2" a="1"/>
  <c r="I344" i="2" s="1"/>
  <c r="C12" i="9" s="1"/>
  <c r="I345" i="2" a="1"/>
  <c r="I345" i="2" s="1"/>
  <c r="I346" i="2" a="1"/>
  <c r="I346" i="2" s="1"/>
  <c r="I348" i="2" a="1"/>
  <c r="I348" i="2" s="1"/>
  <c r="I347" i="2" a="1"/>
  <c r="I347" i="2" s="1"/>
  <c r="C447" i="9" s="1"/>
  <c r="I343" i="2" a="1"/>
  <c r="I343" i="2" s="1"/>
  <c r="C256" i="9" s="1"/>
  <c r="I351" i="2" a="1"/>
  <c r="I351" i="2" s="1"/>
  <c r="C471" i="9" s="1"/>
  <c r="I352" i="2" a="1"/>
  <c r="I352" i="2" s="1"/>
  <c r="I350" i="2" a="1"/>
  <c r="I350" i="2" s="1"/>
  <c r="C213" i="9" s="1"/>
  <c r="I349" i="2" a="1"/>
  <c r="I349" i="2" s="1"/>
  <c r="C231" i="9" s="1"/>
  <c r="I355" i="2" a="1"/>
  <c r="I355" i="2" s="1"/>
  <c r="C67" i="9" s="1"/>
  <c r="I356" i="2" a="1"/>
  <c r="I356" i="2" s="1"/>
  <c r="I357" i="2" a="1"/>
  <c r="I357" i="2" s="1"/>
  <c r="C501" i="9" s="1"/>
  <c r="I353" i="2" a="1"/>
  <c r="I353" i="2" s="1"/>
  <c r="C11" i="9" s="1"/>
  <c r="I358" i="2" a="1"/>
  <c r="I358" i="2" s="1"/>
  <c r="I359" i="2" a="1"/>
  <c r="I359" i="2" s="1"/>
  <c r="I354" i="2" a="1"/>
  <c r="I354" i="2" s="1"/>
  <c r="C218" i="9" s="1"/>
  <c r="I360" i="2" a="1"/>
  <c r="I360" i="2" s="1"/>
  <c r="C420" i="9" s="1"/>
  <c r="I361" i="2" a="1"/>
  <c r="I361" i="2" s="1"/>
  <c r="C331" i="9" s="1"/>
  <c r="I362" i="2" a="1"/>
  <c r="I362" i="2" s="1"/>
  <c r="C354" i="9" s="1"/>
  <c r="I366" i="2" a="1"/>
  <c r="I366" i="2" s="1"/>
  <c r="I367" i="2" a="1"/>
  <c r="I367" i="2" s="1"/>
  <c r="C84" i="9" s="1"/>
  <c r="I368" i="2" a="1"/>
  <c r="I368" i="2" s="1"/>
  <c r="C502" i="9" s="1"/>
  <c r="I364" i="2" a="1"/>
  <c r="I364" i="2" s="1"/>
  <c r="C125" i="9" s="1"/>
  <c r="I363" i="2" a="1"/>
  <c r="I363" i="2" s="1"/>
  <c r="I365" i="2" a="1"/>
  <c r="I365" i="2" s="1"/>
  <c r="I370" i="2" a="1"/>
  <c r="I370" i="2" s="1"/>
  <c r="C120" i="9" s="1"/>
  <c r="I373" i="2" a="1"/>
  <c r="I373" i="2" s="1"/>
  <c r="C191" i="9" s="1"/>
  <c r="I371" i="2" a="1"/>
  <c r="I371" i="2" s="1"/>
  <c r="C85" i="9" s="1"/>
  <c r="I372" i="2" a="1"/>
  <c r="I372" i="2" s="1"/>
  <c r="C242" i="9" s="1"/>
  <c r="I369" i="2" a="1"/>
  <c r="I369" i="2" s="1"/>
  <c r="C320" i="9" s="1"/>
  <c r="I375" i="2" a="1"/>
  <c r="I375" i="2" s="1"/>
  <c r="C383" i="9" s="1"/>
  <c r="I374" i="2" a="1"/>
  <c r="I374" i="2" s="1"/>
  <c r="I378" i="2" a="1"/>
  <c r="I378" i="2" s="1"/>
  <c r="C226" i="9" s="1"/>
  <c r="I376" i="2" a="1"/>
  <c r="I376" i="2" s="1"/>
  <c r="C472" i="9" s="1"/>
  <c r="I377" i="2" a="1"/>
  <c r="I377" i="2" s="1"/>
  <c r="C241" i="9" s="1"/>
  <c r="I379" i="2" a="1"/>
  <c r="I379" i="2" s="1"/>
  <c r="I385" i="2" a="1"/>
  <c r="I385" i="2" s="1"/>
  <c r="C228" i="9" s="1"/>
  <c r="I382" i="2" a="1"/>
  <c r="I382" i="2" s="1"/>
  <c r="I386" i="2" a="1"/>
  <c r="I386" i="2" s="1"/>
  <c r="C343" i="9" s="1"/>
  <c r="I380" i="2" a="1"/>
  <c r="I380" i="2" s="1"/>
  <c r="C18" i="9" s="1"/>
  <c r="I381" i="2" a="1"/>
  <c r="I381" i="2" s="1"/>
  <c r="I383" i="2" a="1"/>
  <c r="I383" i="2" s="1"/>
  <c r="I384" i="2" a="1"/>
  <c r="I384" i="2" s="1"/>
  <c r="C450" i="9" s="1"/>
  <c r="I392" i="2" a="1"/>
  <c r="I392" i="2" s="1"/>
  <c r="C86" i="9" s="1"/>
  <c r="I394" i="2" a="1"/>
  <c r="I394" i="2" s="1"/>
  <c r="C503" i="9" s="1"/>
  <c r="I389" i="2" a="1"/>
  <c r="I389" i="2" s="1"/>
  <c r="C350" i="9" s="1"/>
  <c r="I388" i="2" a="1"/>
  <c r="I388" i="2" s="1"/>
  <c r="C6" i="9" s="1"/>
  <c r="I393" i="2" a="1"/>
  <c r="I393" i="2" s="1"/>
  <c r="C87" i="9" s="1"/>
  <c r="I395" i="2" a="1"/>
  <c r="I395" i="2" s="1"/>
  <c r="C504" i="9" s="1"/>
  <c r="I387" i="2" a="1"/>
  <c r="I387" i="2" s="1"/>
  <c r="C286" i="9" s="1"/>
  <c r="I391" i="2" a="1"/>
  <c r="I391" i="2" s="1"/>
  <c r="C278" i="9" s="1"/>
  <c r="I390" i="2" a="1"/>
  <c r="I390" i="2" s="1"/>
  <c r="I398" i="2" a="1"/>
  <c r="I398" i="2" s="1"/>
  <c r="C46" i="9" s="1"/>
  <c r="I400" i="2" a="1"/>
  <c r="I400" i="2" s="1"/>
  <c r="I397" i="2" a="1"/>
  <c r="I397" i="2" s="1"/>
  <c r="C214" i="9" s="1"/>
  <c r="I399" i="2" a="1"/>
  <c r="I399" i="2" s="1"/>
  <c r="C24" i="9" s="1"/>
  <c r="I396" i="2" a="1"/>
  <c r="I396" i="2" s="1"/>
  <c r="C198" i="9" s="1"/>
  <c r="I401" i="2" a="1"/>
  <c r="I401" i="2" s="1"/>
  <c r="I402" i="2" a="1"/>
  <c r="I402" i="2" s="1"/>
  <c r="C348" i="9" s="1"/>
  <c r="I403" i="2" a="1"/>
  <c r="I403" i="2" s="1"/>
  <c r="I404" i="2" a="1"/>
  <c r="I404" i="2" s="1"/>
  <c r="C451" i="9" s="1"/>
  <c r="I405" i="2" a="1"/>
  <c r="I405" i="2" s="1"/>
  <c r="C355" i="9" s="1"/>
  <c r="I406" i="2" a="1"/>
  <c r="I406" i="2" s="1"/>
  <c r="C452" i="9" s="1"/>
  <c r="I408" i="2" a="1"/>
  <c r="I408" i="2" s="1"/>
  <c r="I407" i="2" a="1"/>
  <c r="I407" i="2" s="1"/>
  <c r="C313" i="9" s="1"/>
  <c r="I411" i="2" a="1"/>
  <c r="I411" i="2" s="1"/>
  <c r="I409" i="2" a="1"/>
  <c r="I409" i="2" s="1"/>
  <c r="C185" i="9" s="1"/>
  <c r="I410" i="2" a="1"/>
  <c r="I410" i="2" s="1"/>
  <c r="C317" i="9" s="1"/>
  <c r="I412" i="2" a="1"/>
  <c r="I412" i="2" s="1"/>
  <c r="C505" i="9" s="1"/>
  <c r="I413" i="2" a="1"/>
  <c r="I413" i="2" s="1"/>
  <c r="C88" i="9" s="1"/>
  <c r="I414" i="2" a="1"/>
  <c r="I414" i="2" s="1"/>
  <c r="C363" i="9" s="1"/>
  <c r="I415" i="2" a="1"/>
  <c r="I415" i="2" s="1"/>
  <c r="I416" i="2" a="1"/>
  <c r="I416" i="2" s="1"/>
  <c r="C237" i="9" s="1"/>
  <c r="I417" i="2" a="1"/>
  <c r="I417" i="2" s="1"/>
  <c r="C150" i="9" s="1"/>
  <c r="I418" i="2" a="1"/>
  <c r="I418" i="2" s="1"/>
  <c r="C127" i="9" s="1"/>
  <c r="I419" i="2" a="1"/>
  <c r="I419" i="2" s="1"/>
  <c r="C123" i="9" s="1"/>
  <c r="I420" i="2" a="1"/>
  <c r="I420" i="2" s="1"/>
  <c r="C47" i="9" s="1"/>
  <c r="I421" i="2" a="1"/>
  <c r="I421" i="2" s="1"/>
  <c r="C506" i="9" s="1"/>
  <c r="I423" i="2" a="1"/>
  <c r="I423" i="2" s="1"/>
  <c r="C116" i="9" s="1"/>
  <c r="I422" i="2" a="1"/>
  <c r="I422" i="2" s="1"/>
  <c r="C507" i="9" s="1"/>
  <c r="I424" i="2" a="1"/>
  <c r="I424" i="2" s="1"/>
  <c r="I425" i="2" a="1"/>
  <c r="I425" i="2" s="1"/>
  <c r="C89" i="9" s="1"/>
  <c r="I426" i="2" a="1"/>
  <c r="I426" i="2" s="1"/>
  <c r="I427" i="2" a="1"/>
  <c r="I427" i="2" s="1"/>
  <c r="I429" i="2" a="1"/>
  <c r="I429" i="2" s="1"/>
  <c r="C177" i="9" s="1"/>
  <c r="I430" i="2" a="1"/>
  <c r="I430" i="2" s="1"/>
  <c r="C360" i="9" s="1"/>
  <c r="I428" i="2" a="1"/>
  <c r="I428" i="2" s="1"/>
  <c r="C154" i="9" s="1"/>
  <c r="I432" i="2" a="1"/>
  <c r="I432" i="2" s="1"/>
  <c r="I431" i="2" a="1"/>
  <c r="I431" i="2" s="1"/>
  <c r="I434" i="2" a="1"/>
  <c r="I434" i="2" s="1"/>
  <c r="I433" i="2" a="1"/>
  <c r="I433" i="2" s="1"/>
  <c r="I435" i="2" a="1"/>
  <c r="I435" i="2" s="1"/>
  <c r="C288" i="9" s="1"/>
  <c r="I436" i="2" a="1"/>
  <c r="I436" i="2" s="1"/>
  <c r="C509" i="9" s="1"/>
  <c r="I438" i="2" a="1"/>
  <c r="I438" i="2" s="1"/>
  <c r="C510" i="9" s="1"/>
  <c r="I437" i="2" a="1"/>
  <c r="I437" i="2" s="1"/>
  <c r="C90" i="9" s="1"/>
  <c r="I439" i="2" a="1"/>
  <c r="I439" i="2" s="1"/>
  <c r="I440" i="2" a="1"/>
  <c r="I440" i="2" s="1"/>
  <c r="C164" i="9" s="1"/>
  <c r="I441" i="2" a="1"/>
  <c r="I441" i="2" s="1"/>
  <c r="I443" i="2" a="1"/>
  <c r="I443" i="2" s="1"/>
  <c r="I444" i="2" a="1"/>
  <c r="I444" i="2" s="1"/>
  <c r="I442" i="2" a="1"/>
  <c r="I442" i="2" s="1"/>
  <c r="I446" i="2" a="1"/>
  <c r="I446" i="2" s="1"/>
  <c r="I448" i="2" a="1"/>
  <c r="I448" i="2" s="1"/>
  <c r="C220" i="9" s="1"/>
  <c r="I445" i="2" a="1"/>
  <c r="I445" i="2" s="1"/>
  <c r="I447" i="2" a="1"/>
  <c r="I447" i="2" s="1"/>
  <c r="I449" i="2" a="1"/>
  <c r="I449" i="2" s="1"/>
  <c r="C511" i="9" s="1"/>
  <c r="I450" i="2" a="1"/>
  <c r="I450" i="2" s="1"/>
  <c r="C337" i="9" s="1"/>
  <c r="I451" i="2" a="1"/>
  <c r="I451" i="2" s="1"/>
  <c r="C91" i="9" s="1"/>
  <c r="I452" i="2" a="1"/>
  <c r="I452" i="2" s="1"/>
  <c r="C92" i="9" s="1"/>
  <c r="I454" i="2" a="1"/>
  <c r="I454" i="2" s="1"/>
  <c r="C245" i="9" s="1"/>
  <c r="I453" i="2" a="1"/>
  <c r="I453" i="2" s="1"/>
  <c r="I456" i="2" a="1"/>
  <c r="I456" i="2" s="1"/>
  <c r="I455" i="2" a="1"/>
  <c r="I455" i="2" s="1"/>
  <c r="C217" i="9" s="1"/>
  <c r="I457" i="2" a="1"/>
  <c r="I457" i="2" s="1"/>
  <c r="I460" i="2" a="1"/>
  <c r="I460" i="2" s="1"/>
  <c r="C200" i="9" s="1"/>
  <c r="I458" i="2" a="1"/>
  <c r="I458" i="2" s="1"/>
  <c r="C93" i="9" s="1"/>
  <c r="I459" i="2" a="1"/>
  <c r="I459" i="2" s="1"/>
  <c r="I461" i="2" a="1"/>
  <c r="I461" i="2" s="1"/>
  <c r="C338" i="9" s="1"/>
  <c r="I463" i="2" a="1"/>
  <c r="I463" i="2" s="1"/>
  <c r="C512" i="9" s="1"/>
  <c r="I462" i="2" a="1"/>
  <c r="I462" i="2" s="1"/>
  <c r="C109" i="9" s="1"/>
  <c r="I464" i="2" a="1"/>
  <c r="I464" i="2" s="1"/>
  <c r="I465" i="2" a="1"/>
  <c r="I465" i="2" s="1"/>
  <c r="C513" i="9" s="1"/>
  <c r="I466" i="2" a="1"/>
  <c r="I466" i="2" s="1"/>
  <c r="I467" i="2" a="1"/>
  <c r="I467" i="2" s="1"/>
  <c r="C514" i="9" s="1"/>
  <c r="I469" i="2" a="1"/>
  <c r="I469" i="2" s="1"/>
  <c r="I468" i="2" a="1"/>
  <c r="I468" i="2" s="1"/>
  <c r="C254" i="9" s="1"/>
  <c r="I470" i="2" a="1"/>
  <c r="I470" i="2" s="1"/>
  <c r="C7" i="9" s="1"/>
  <c r="I472" i="2" a="1"/>
  <c r="I472" i="2" s="1"/>
  <c r="C359" i="9" s="1"/>
  <c r="I471" i="2" a="1"/>
  <c r="I471" i="2" s="1"/>
  <c r="C222" i="9" s="1"/>
  <c r="I473" i="2" a="1"/>
  <c r="I473" i="2" s="1"/>
  <c r="C270" i="9" s="1"/>
  <c r="I474" i="2" a="1"/>
  <c r="I474" i="2" s="1"/>
  <c r="I475" i="2" a="1"/>
  <c r="I475" i="2" s="1"/>
  <c r="C94" i="9" s="1"/>
  <c r="I476" i="2" a="1"/>
  <c r="I476" i="2" s="1"/>
  <c r="I478" i="2" a="1"/>
  <c r="I478" i="2" s="1"/>
  <c r="C515" i="9" s="1"/>
  <c r="I479" i="2" a="1"/>
  <c r="I479" i="2" s="1"/>
  <c r="C516" i="9" s="1"/>
  <c r="I480" i="2" a="1"/>
  <c r="I480" i="2" s="1"/>
  <c r="C517" i="9" s="1"/>
  <c r="I477" i="2" a="1"/>
  <c r="I477" i="2" s="1"/>
  <c r="C168" i="9" s="1"/>
  <c r="I482" i="2" a="1"/>
  <c r="I482" i="2" s="1"/>
  <c r="C518" i="9" s="1"/>
  <c r="I481" i="2" a="1"/>
  <c r="I481" i="2" s="1"/>
  <c r="C339" i="9" s="1"/>
  <c r="I483" i="2" a="1"/>
  <c r="I483" i="2" s="1"/>
  <c r="C165" i="9" s="1"/>
  <c r="I484" i="2" a="1"/>
  <c r="I484" i="2" s="1"/>
  <c r="C158" i="9" s="1"/>
  <c r="I485" i="2" a="1"/>
  <c r="I485" i="2" s="1"/>
  <c r="I486" i="2" a="1"/>
  <c r="I486" i="2" s="1"/>
  <c r="C143" i="9" s="1"/>
  <c r="I487" i="2" a="1"/>
  <c r="I487" i="2" s="1"/>
  <c r="C275" i="9" s="1"/>
  <c r="I488" i="2" a="1"/>
  <c r="I488" i="2" s="1"/>
  <c r="C519" i="9" s="1"/>
  <c r="I489" i="2" a="1"/>
  <c r="I489" i="2" s="1"/>
  <c r="I490" i="2" a="1"/>
  <c r="I490" i="2" s="1"/>
  <c r="C22" i="9" s="1"/>
  <c r="I492" i="2" a="1"/>
  <c r="I492" i="2" s="1"/>
  <c r="I491" i="2" a="1"/>
  <c r="I491" i="2" s="1"/>
  <c r="I493" i="2" a="1"/>
  <c r="I493" i="2" s="1"/>
  <c r="I494" i="2" a="1"/>
  <c r="I494" i="2" s="1"/>
  <c r="I495" i="2" a="1"/>
  <c r="I495" i="2" s="1"/>
  <c r="C206" i="9" s="1"/>
  <c r="I498" i="2" a="1"/>
  <c r="I498" i="2" s="1"/>
  <c r="C50" i="9" s="1"/>
  <c r="I496" i="2" a="1"/>
  <c r="I496" i="2" s="1"/>
  <c r="I497" i="2" a="1"/>
  <c r="I497" i="2" s="1"/>
  <c r="C136" i="9" s="1"/>
  <c r="I499" i="2" a="1"/>
  <c r="I499" i="2" s="1"/>
  <c r="C305" i="9" s="1"/>
  <c r="I500" i="2" a="1"/>
  <c r="I500" i="2" s="1"/>
  <c r="C224" i="9" s="1"/>
  <c r="I502" i="2" a="1"/>
  <c r="I502" i="2" s="1"/>
  <c r="I503" i="2" a="1"/>
  <c r="I503" i="2" s="1"/>
  <c r="C522" i="9" s="1"/>
  <c r="I504" i="2" a="1"/>
  <c r="I504" i="2" s="1"/>
  <c r="C523" i="9" s="1"/>
  <c r="I501" i="2" a="1"/>
  <c r="I501" i="2" s="1"/>
  <c r="C95" i="9" s="1"/>
  <c r="I505" i="2" a="1"/>
  <c r="I505" i="2" s="1"/>
  <c r="C137" i="9" s="1"/>
  <c r="I507" i="2" a="1"/>
  <c r="I507" i="2" s="1"/>
  <c r="C96" i="9" s="1"/>
  <c r="I508" i="2" a="1"/>
  <c r="I508" i="2" s="1"/>
  <c r="C524" i="9" s="1"/>
  <c r="I506" i="2" a="1"/>
  <c r="I506" i="2" s="1"/>
  <c r="C178" i="9" s="1"/>
  <c r="I511" i="2" a="1"/>
  <c r="I511" i="2" s="1"/>
  <c r="I509" i="2" a="1"/>
  <c r="I509" i="2" s="1"/>
  <c r="C328" i="9" s="1"/>
  <c r="I512" i="2" a="1"/>
  <c r="I512" i="2" s="1"/>
  <c r="C525" i="9" s="1"/>
  <c r="I510" i="2" a="1"/>
  <c r="I510" i="2" s="1"/>
  <c r="C97" i="9" s="1"/>
  <c r="I514" i="2" a="1"/>
  <c r="I514" i="2" s="1"/>
  <c r="C159" i="9" s="1"/>
  <c r="I515" i="2" a="1"/>
  <c r="I515" i="2" s="1"/>
  <c r="C51" i="9" s="1"/>
  <c r="I513" i="2" a="1"/>
  <c r="I513" i="2" s="1"/>
  <c r="C124" i="9" s="1"/>
  <c r="I516" i="2" a="1"/>
  <c r="I516" i="2" s="1"/>
  <c r="C98" i="9" s="1"/>
  <c r="I519" i="2" a="1"/>
  <c r="I519" i="2" s="1"/>
  <c r="I517" i="2" a="1"/>
  <c r="I517" i="2" s="1"/>
  <c r="C157" i="9" s="1"/>
  <c r="I518" i="2" a="1"/>
  <c r="I518" i="2" s="1"/>
  <c r="C52" i="9" s="1"/>
  <c r="I520" i="2" a="1"/>
  <c r="I520" i="2" s="1"/>
  <c r="I522" i="2" a="1"/>
  <c r="I522" i="2" s="1"/>
  <c r="I521" i="2" a="1"/>
  <c r="I521" i="2" s="1"/>
  <c r="I523" i="2" a="1"/>
  <c r="I523" i="2" s="1"/>
  <c r="I524" i="2" a="1"/>
  <c r="I524" i="2" s="1"/>
  <c r="C526" i="9" s="1"/>
  <c r="I525" i="2" a="1"/>
  <c r="I525" i="2" s="1"/>
  <c r="C527" i="9" s="1"/>
  <c r="I527" i="2" a="1"/>
  <c r="I527" i="2" s="1"/>
  <c r="I526" i="2" a="1"/>
  <c r="I526" i="2" s="1"/>
  <c r="C99" i="9" s="1"/>
  <c r="I528" i="2" a="1"/>
  <c r="I528" i="2" s="1"/>
  <c r="C53" i="9" s="1"/>
  <c r="I529" i="2" a="1"/>
  <c r="I529" i="2" s="1"/>
  <c r="C528" i="9" s="1"/>
  <c r="I530" i="2" a="1"/>
  <c r="I530" i="2" s="1"/>
  <c r="C529" i="9" s="1"/>
  <c r="I531" i="2" a="1"/>
  <c r="I531" i="2" s="1"/>
  <c r="C530" i="9" s="1"/>
  <c r="I533" i="2" a="1"/>
  <c r="I533" i="2" s="1"/>
  <c r="I534" i="2" a="1"/>
  <c r="I534" i="2" s="1"/>
  <c r="I532" i="2" a="1"/>
  <c r="I532" i="2" s="1"/>
  <c r="I536" i="2" a="1"/>
  <c r="I536" i="2" s="1"/>
  <c r="I535" i="2" a="1"/>
  <c r="I535" i="2" s="1"/>
  <c r="C364" i="9" s="1"/>
  <c r="I537" i="2" a="1"/>
  <c r="I537" i="2" s="1"/>
  <c r="I538" i="2" a="1"/>
  <c r="I538" i="2" s="1"/>
  <c r="C531" i="9" s="1"/>
  <c r="I539" i="2" a="1"/>
  <c r="I539" i="2" s="1"/>
  <c r="I541" i="2" a="1"/>
  <c r="I541" i="2" s="1"/>
  <c r="I540" i="2" a="1"/>
  <c r="I540" i="2" s="1"/>
  <c r="I542" i="2" a="1"/>
  <c r="I542" i="2" s="1"/>
  <c r="C54" i="9" s="1"/>
  <c r="I544" i="2" a="1"/>
  <c r="I544" i="2" s="1"/>
  <c r="C532" i="9" s="1"/>
  <c r="I546" i="2" a="1"/>
  <c r="I546" i="2" s="1"/>
  <c r="C147" i="9" s="1"/>
  <c r="I543" i="2" a="1"/>
  <c r="I543" i="2" s="1"/>
  <c r="C179" i="9" s="1"/>
  <c r="I545" i="2" a="1"/>
  <c r="I545" i="2" s="1"/>
  <c r="C533" i="9" s="1"/>
  <c r="I547" i="2" a="1"/>
  <c r="I547" i="2" s="1"/>
  <c r="I548" i="2" a="1"/>
  <c r="I548" i="2" s="1"/>
  <c r="I549" i="2" a="1"/>
  <c r="I549" i="2" s="1"/>
  <c r="I551" i="2" a="1"/>
  <c r="I551" i="2" s="1"/>
  <c r="C310" i="9" s="1"/>
  <c r="I552" i="2" a="1"/>
  <c r="I552" i="2" s="1"/>
  <c r="C323" i="9" s="1"/>
  <c r="I550" i="2" a="1"/>
  <c r="I550" i="2" s="1"/>
  <c r="C100" i="9" s="1"/>
  <c r="I554" i="2" a="1"/>
  <c r="I554" i="2" s="1"/>
  <c r="C101" i="9" s="1"/>
  <c r="I556" i="2" a="1"/>
  <c r="I556" i="2" s="1"/>
  <c r="I553" i="2" a="1"/>
  <c r="I553" i="2" s="1"/>
  <c r="C308" i="9" s="1"/>
  <c r="I555" i="2" a="1"/>
  <c r="I555" i="2" s="1"/>
  <c r="C102" i="9" s="1"/>
  <c r="I557" i="2" a="1"/>
  <c r="I557" i="2" s="1"/>
  <c r="I558" i="2" a="1"/>
  <c r="I558" i="2" s="1"/>
  <c r="I560" i="2" a="1"/>
  <c r="I560" i="2" s="1"/>
  <c r="C311" i="9" s="1"/>
  <c r="I559" i="2" a="1"/>
  <c r="I559" i="2" s="1"/>
  <c r="C203" i="9" s="1"/>
  <c r="I562" i="2" a="1"/>
  <c r="I562" i="2" s="1"/>
  <c r="C263" i="9" s="1"/>
  <c r="I561" i="2" a="1"/>
  <c r="I561" i="2" s="1"/>
  <c r="C230" i="9" s="1"/>
  <c r="I563" i="2" a="1"/>
  <c r="I563" i="2" s="1"/>
  <c r="I564" i="2" a="1"/>
  <c r="I564" i="2" s="1"/>
  <c r="C271" i="9" s="1"/>
  <c r="I566" i="2" a="1"/>
  <c r="I566" i="2" s="1"/>
  <c r="C534" i="9" s="1"/>
  <c r="I565" i="2" a="1"/>
  <c r="I565" i="2" s="1"/>
  <c r="C103" i="9" s="1"/>
  <c r="I570" i="2" a="1"/>
  <c r="I570" i="2" s="1"/>
  <c r="C535" i="9" s="1"/>
  <c r="I569" i="2" a="1"/>
  <c r="I569" i="2" s="1"/>
  <c r="C239" i="9" s="1"/>
  <c r="I571" i="2" a="1"/>
  <c r="I571" i="2" s="1"/>
  <c r="C536" i="9" s="1"/>
  <c r="I567" i="2" a="1"/>
  <c r="I567" i="2" s="1"/>
  <c r="I568" i="2" a="1"/>
  <c r="I568" i="2" s="1"/>
  <c r="I574" i="2" a="1"/>
  <c r="I574" i="2" s="1"/>
  <c r="C537" i="9" s="1"/>
  <c r="I575" i="2" a="1"/>
  <c r="I575" i="2" s="1"/>
  <c r="C538" i="9" s="1"/>
  <c r="I572" i="2" a="1"/>
  <c r="I572" i="2" s="1"/>
  <c r="C300" i="9" s="1"/>
  <c r="I576" i="2" a="1"/>
  <c r="I576" i="2" s="1"/>
  <c r="I573" i="2" a="1"/>
  <c r="I573" i="2" s="1"/>
  <c r="C104" i="9" s="1"/>
  <c r="I578" i="2" a="1"/>
  <c r="I578" i="2" s="1"/>
  <c r="C539" i="9" s="1"/>
  <c r="I577" i="2" a="1"/>
  <c r="I577" i="2" s="1"/>
  <c r="C211" i="9" s="1"/>
  <c r="I579" i="2" a="1"/>
  <c r="I579" i="2" s="1"/>
  <c r="C540" i="9" s="1"/>
  <c r="I580" i="2" a="1"/>
  <c r="I580" i="2" s="1"/>
  <c r="C272" i="9" s="1"/>
  <c r="I581" i="2" a="1"/>
  <c r="I581" i="2" s="1"/>
  <c r="C541" i="9" s="1"/>
  <c r="I582" i="2" a="1"/>
  <c r="I582" i="2" s="1"/>
  <c r="C542" i="9" s="1"/>
  <c r="I584" i="2" a="1"/>
  <c r="I584" i="2" s="1"/>
  <c r="C543" i="9" s="1"/>
  <c r="I583" i="2" a="1"/>
  <c r="I583" i="2" s="1"/>
  <c r="C55" i="9" s="1"/>
  <c r="I585" i="2" a="1"/>
  <c r="I585" i="2" s="1"/>
  <c r="C257" i="9" s="1"/>
  <c r="I586" i="2" a="1"/>
  <c r="I586" i="2" s="1"/>
  <c r="C544" i="9" s="1"/>
  <c r="I590" i="2" a="1"/>
  <c r="I590" i="2" s="1"/>
  <c r="C114" i="9" s="1"/>
  <c r="I591" i="2" a="1"/>
  <c r="I591" i="2" s="1"/>
  <c r="C545" i="9" s="1"/>
  <c r="I588" i="2" a="1"/>
  <c r="I588" i="2" s="1"/>
  <c r="C248" i="9" s="1"/>
  <c r="I587" i="2" a="1"/>
  <c r="I587" i="2" s="1"/>
  <c r="C309" i="9" s="1"/>
  <c r="I589" i="2" a="1"/>
  <c r="I589" i="2" s="1"/>
  <c r="I592" i="2" a="1"/>
  <c r="I592" i="2" s="1"/>
  <c r="C246" i="9" s="1"/>
  <c r="I593" i="2" a="1"/>
  <c r="I593" i="2" s="1"/>
  <c r="C346" i="9" s="1"/>
  <c r="I595" i="2" a="1"/>
  <c r="I595" i="2" s="1"/>
  <c r="C297" i="9" s="1"/>
  <c r="I594" i="2" a="1"/>
  <c r="I594" i="2" s="1"/>
  <c r="C344" i="9" s="1"/>
  <c r="I596" i="2" a="1"/>
  <c r="I596" i="2" s="1"/>
  <c r="C301" i="9" s="1"/>
  <c r="I598" i="2" a="1"/>
  <c r="I598" i="2" s="1"/>
  <c r="I597" i="2" a="1"/>
  <c r="I597" i="2" s="1"/>
  <c r="C180" i="9" s="1"/>
  <c r="I599" i="2" a="1"/>
  <c r="I599" i="2" s="1"/>
  <c r="C273" i="9" s="1"/>
  <c r="I600" i="2" a="1"/>
  <c r="I600" i="2" s="1"/>
  <c r="I601" i="2" a="1"/>
  <c r="I601" i="2" s="1"/>
  <c r="C289" i="9" s="1"/>
  <c r="I602" i="2" a="1"/>
  <c r="I602" i="2" s="1"/>
  <c r="C546" i="9" s="1"/>
  <c r="I603" i="2" a="1"/>
  <c r="I603" i="2" s="1"/>
  <c r="C252" i="9" s="1"/>
  <c r="I604" i="2" a="1"/>
  <c r="I604" i="2" s="1"/>
  <c r="I605" i="2" a="1"/>
  <c r="I605" i="2" s="1"/>
  <c r="I606" i="2" a="1"/>
  <c r="I606" i="2" s="1"/>
  <c r="C215" i="9" s="1"/>
  <c r="I607" i="2" a="1"/>
  <c r="I607" i="2" s="1"/>
  <c r="I608" i="2" a="1"/>
  <c r="I608" i="2" s="1"/>
  <c r="C108" i="9" s="1"/>
  <c r="I611" i="2" a="1"/>
  <c r="I611" i="2" s="1"/>
  <c r="I609" i="2" a="1"/>
  <c r="I609" i="2" s="1"/>
  <c r="I610" i="2" a="1"/>
  <c r="I610" i="2" s="1"/>
  <c r="I612" i="2" a="1"/>
  <c r="I612" i="2" s="1"/>
  <c r="C334" i="9" s="1"/>
  <c r="I613" i="2" a="1"/>
  <c r="I613" i="2" s="1"/>
  <c r="C547" i="9" s="1"/>
  <c r="I616" i="2" a="1"/>
  <c r="I616" i="2" s="1"/>
  <c r="C130" i="9" s="1"/>
  <c r="I617" i="2" a="1"/>
  <c r="I617" i="2" s="1"/>
  <c r="I614" i="2" a="1"/>
  <c r="I614" i="2" s="1"/>
  <c r="I615" i="2" a="1"/>
  <c r="I615" i="2" s="1"/>
  <c r="I619" i="2" a="1"/>
  <c r="I619" i="2" s="1"/>
  <c r="C548" i="9" s="1"/>
  <c r="I620" i="2" a="1"/>
  <c r="I620" i="2" s="1"/>
  <c r="C549" i="9" s="1"/>
  <c r="I618" i="2" a="1"/>
  <c r="I618" i="2" s="1"/>
  <c r="C302" i="9" s="1"/>
  <c r="I621" i="2" a="1"/>
  <c r="I621" i="2" s="1"/>
  <c r="C23" i="9" s="1"/>
  <c r="I623" i="2" a="1"/>
  <c r="I623" i="2" s="1"/>
  <c r="I622" i="2" a="1"/>
  <c r="I622" i="2" s="1"/>
  <c r="I624" i="2" a="1"/>
  <c r="I624" i="2" s="1"/>
  <c r="C105" i="9" s="1"/>
  <c r="I625" i="2" a="1"/>
  <c r="I625" i="2" s="1"/>
  <c r="C365" i="9" s="1"/>
  <c r="I626" i="2" a="1"/>
  <c r="I626" i="2" s="1"/>
  <c r="I627" i="2" a="1"/>
  <c r="I627" i="2" s="1"/>
  <c r="C550" i="9" s="1"/>
  <c r="I628" i="2" a="1"/>
  <c r="I628" i="2" s="1"/>
  <c r="I629" i="2" a="1"/>
  <c r="I629" i="2" s="1"/>
  <c r="I630" i="2" a="1"/>
  <c r="I630" i="2" s="1"/>
  <c r="C551" i="9" s="1"/>
  <c r="I631" i="2" a="1"/>
  <c r="I631" i="2" s="1"/>
  <c r="C552" i="9" s="1"/>
  <c r="I632" i="2" a="1"/>
  <c r="I632" i="2" s="1"/>
  <c r="C106" i="9" s="1"/>
  <c r="I633" i="2" a="1"/>
  <c r="I633" i="2" s="1"/>
  <c r="I634" i="2" a="1"/>
  <c r="I634" i="2" s="1"/>
  <c r="C322" i="9" s="1"/>
  <c r="I635" i="2" a="1"/>
  <c r="I635" i="2" s="1"/>
  <c r="I636" i="2" a="1"/>
  <c r="I636" i="2" s="1"/>
  <c r="I637" i="2" a="1"/>
  <c r="I637" i="2" s="1"/>
  <c r="C553" i="9" s="1"/>
  <c r="I638" i="2" a="1"/>
  <c r="I638" i="2" s="1"/>
  <c r="I639" i="2" a="1"/>
  <c r="I639" i="2" s="1"/>
  <c r="C340" i="9" s="1"/>
  <c r="I640" i="2" a="1"/>
  <c r="I640" i="2" s="1"/>
  <c r="C107" i="9" s="1"/>
  <c r="I641" i="2" a="1"/>
  <c r="I641" i="2" s="1"/>
  <c r="I642" i="2" a="1"/>
  <c r="I642" i="2" s="1"/>
  <c r="I643" i="2" a="1"/>
  <c r="I643" i="2" s="1"/>
  <c r="C260" i="9" s="1"/>
  <c r="I644" i="2" a="1"/>
  <c r="I644" i="2" s="1"/>
  <c r="C554" i="9" s="1"/>
  <c r="G75" i="31"/>
  <c r="H77" i="31"/>
  <c r="E77" i="31"/>
  <c r="G76" i="31"/>
  <c r="H75" i="31"/>
  <c r="G77" i="31"/>
  <c r="H76" i="31"/>
  <c r="F75" i="31"/>
  <c r="F77" i="31"/>
  <c r="E75" i="31"/>
  <c r="F76" i="31"/>
  <c r="E76" i="31"/>
  <c r="L14" i="31"/>
  <c r="K16" i="8" l="1"/>
  <c r="O26" i="29"/>
  <c r="P24" i="29" s="1"/>
  <c r="H31" i="8"/>
  <c r="K28" i="8"/>
  <c r="O17" i="29"/>
  <c r="H24" i="8"/>
  <c r="K30" i="8"/>
  <c r="O20" i="29"/>
  <c r="J27" i="31"/>
  <c r="K27" i="8"/>
  <c r="E23" i="31"/>
  <c r="N5" i="31"/>
  <c r="E6" i="31"/>
  <c r="F6" i="31" s="1"/>
  <c r="O21" i="29"/>
  <c r="J9" i="31"/>
  <c r="K18" i="30" s="1"/>
  <c r="H15" i="8"/>
  <c r="L5" i="31"/>
  <c r="E7" i="31"/>
  <c r="F7" i="31" s="1"/>
  <c r="G15" i="8"/>
  <c r="G14" i="8"/>
  <c r="G13" i="8"/>
  <c r="F30" i="31"/>
  <c r="F28" i="31" s="1"/>
  <c r="E28" i="31" s="1"/>
  <c r="L9" i="31"/>
  <c r="H14" i="31"/>
  <c r="E12" i="24" s="1"/>
  <c r="H9" i="31"/>
  <c r="E18" i="31" s="1"/>
  <c r="F17" i="31" s="1"/>
  <c r="J14" i="31"/>
  <c r="E5" i="31"/>
  <c r="F5" i="31" s="1"/>
  <c r="J5" i="31"/>
  <c r="H27" i="31"/>
  <c r="J13" i="30" s="1"/>
  <c r="E11" i="31"/>
  <c r="E8" i="31"/>
  <c r="E24" i="31"/>
  <c r="F23" i="31"/>
  <c r="E12" i="31"/>
  <c r="E34" i="31"/>
  <c r="J18" i="30" s="1"/>
  <c r="F36" i="31"/>
  <c r="E35" i="31" s="1"/>
  <c r="L18" i="30" s="1"/>
  <c r="D19" i="8"/>
  <c r="J17" i="8"/>
  <c r="M19" i="8"/>
  <c r="G31" i="8"/>
  <c r="D33" i="8"/>
  <c r="M33" i="8"/>
  <c r="J31" i="8"/>
  <c r="O11" i="9"/>
  <c r="H19" i="8"/>
  <c r="H34" i="8" s="1"/>
  <c r="C520" i="9"/>
  <c r="C366" i="9"/>
  <c r="C249" i="9"/>
  <c r="C448" i="9"/>
  <c r="C437" i="9"/>
  <c r="G19" i="8"/>
  <c r="G34" i="8" s="1"/>
  <c r="C284" i="9"/>
  <c r="C48" i="9"/>
  <c r="C49" i="9"/>
  <c r="C521" i="9"/>
  <c r="C259" i="9"/>
  <c r="C202" i="9"/>
  <c r="C319" i="9"/>
  <c r="C166" i="9"/>
  <c r="C314" i="9"/>
  <c r="C210" i="9"/>
  <c r="C274" i="9"/>
  <c r="C35" i="9"/>
  <c r="C443" i="9"/>
  <c r="C395" i="9"/>
  <c r="C33" i="9"/>
  <c r="C148" i="9"/>
  <c r="C415" i="9"/>
  <c r="C434" i="9"/>
  <c r="C335" i="9"/>
  <c r="C156" i="9"/>
  <c r="C410" i="9"/>
  <c r="C409" i="9"/>
  <c r="C10" i="9"/>
  <c r="C345" i="9"/>
  <c r="C351" i="9"/>
  <c r="C406" i="9"/>
  <c r="C9" i="9"/>
  <c r="C119" i="9"/>
  <c r="C508" i="9"/>
  <c r="C253" i="9"/>
  <c r="C37" i="9"/>
  <c r="C129" i="9"/>
  <c r="C29" i="9"/>
  <c r="C361" i="9"/>
  <c r="C433" i="9"/>
  <c r="C138" i="9"/>
  <c r="C31" i="9"/>
  <c r="C118" i="9"/>
  <c r="C290" i="9"/>
  <c r="C429" i="9"/>
  <c r="C412" i="9"/>
  <c r="C182" i="9"/>
  <c r="C388" i="9"/>
  <c r="C425" i="9"/>
  <c r="C424" i="9"/>
  <c r="C423" i="9"/>
  <c r="C132" i="9"/>
  <c r="C225" i="9"/>
  <c r="C419" i="9"/>
  <c r="C279" i="9"/>
  <c r="C142" i="9"/>
  <c r="C418" i="9"/>
  <c r="C445" i="9"/>
  <c r="C188" i="9"/>
  <c r="C34" i="9"/>
  <c r="C441" i="9"/>
  <c r="C438" i="9"/>
  <c r="C436" i="9"/>
  <c r="C140" i="9"/>
  <c r="C312" i="9"/>
  <c r="C32" i="9"/>
  <c r="C414" i="9"/>
  <c r="C413" i="9"/>
  <c r="C326" i="9"/>
  <c r="C398" i="9"/>
  <c r="C387" i="9"/>
  <c r="C151" i="9"/>
  <c r="C422" i="9"/>
  <c r="C38" i="9"/>
  <c r="C356" i="9"/>
  <c r="C449" i="9"/>
  <c r="C236" i="9"/>
  <c r="C36" i="9"/>
  <c r="C444" i="9"/>
  <c r="C416" i="9"/>
  <c r="C439" i="9"/>
  <c r="C294" i="9"/>
  <c r="C432" i="9"/>
  <c r="C113" i="9"/>
  <c r="C427" i="9"/>
  <c r="C400" i="9"/>
  <c r="C8" i="9"/>
  <c r="H16" i="8"/>
  <c r="K17" i="8"/>
  <c r="H17" i="8"/>
  <c r="G16" i="8"/>
  <c r="P25" i="29" l="1"/>
  <c r="K31" i="8"/>
  <c r="C89" i="31"/>
  <c r="D89" i="31"/>
  <c r="F16" i="31"/>
  <c r="E29" i="31"/>
  <c r="AB102" i="8"/>
  <c r="AA94" i="8"/>
  <c r="AH94" i="8"/>
  <c r="AD94" i="8"/>
  <c r="G17" i="8"/>
  <c r="I16" i="8"/>
  <c r="I17"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<sst xmlns="http://schemas.openxmlformats.org/spreadsheetml/2006/main" count="10555" uniqueCount="1908">
  <si>
    <t>Product Name</t>
  </si>
  <si>
    <t>Sale Price</t>
  </si>
  <si>
    <t>Discount</t>
  </si>
  <si>
    <t>Brand</t>
  </si>
  <si>
    <t>Description</t>
  </si>
  <si>
    <t>Rating</t>
  </si>
  <si>
    <t>Reviews</t>
  </si>
  <si>
    <t>Nike Air Force 1 '07 Essential</t>
  </si>
  <si>
    <t>CJ1646-600</t>
  </si>
  <si>
    <t>Nike</t>
  </si>
  <si>
    <t>Let your shoe game shimmer in the Nike Air Force 1 '07 Essential. It takes the classic AF-1 design to the next level with its premium leather upper and iridescent Swoosh.</t>
  </si>
  <si>
    <t>Nike Air Force 1 '07</t>
  </si>
  <si>
    <t>CT4328-101</t>
  </si>
  <si>
    <t>The legend lives on in the Nike Air Force 1 '07, a modern take on the iconic AF1 that blends classic style with fresh colours and details.</t>
  </si>
  <si>
    <t>Nike Air Force 1 Sage Low LX</t>
  </si>
  <si>
    <t>CI3482-200</t>
  </si>
  <si>
    <t>Taking both height and craft to new levels, the Nike Air Force 1 Sage Low LX features a platform midsole and pared-down upper. Rolled edges and clean lines replace traditional overlays for a bold look.</t>
  </si>
  <si>
    <t>Nike Air Max Dia SE</t>
  </si>
  <si>
    <t>CD0479-200</t>
  </si>
  <si>
    <t>Designed for a woman's foot, the Nike Air Max Dia delivers a lifted look and airy aesthetic in a sleek shape. The minimal upper modernises the look while the exaggerated midsole amplifies the Max Air unit surrounded by clear TPU for a boost of style.</t>
  </si>
  <si>
    <t>Nike Air Max Verona</t>
  </si>
  <si>
    <t>CZ6156-101</t>
  </si>
  <si>
    <t>Pass on the good vibes in the Nike Air Max Verona. Elegant and versatile, its mixed-material upper features a plush collar, flashy colours and unique stitching patterns. The Nike Air cushioning adds a modern twist, comfort and style to your journey.</t>
  </si>
  <si>
    <t>Nike Free Metcon 3</t>
  </si>
  <si>
    <t>CJ6314-146</t>
  </si>
  <si>
    <t>The Nike Free Metcon 3 combines the flexibility of a Nike Free sole with the flat, wide heel of the Metcon to keep you fast but stable on your feet from weightlifting to speed drills.</t>
  </si>
  <si>
    <t>NikeCourt Blanc</t>
  </si>
  <si>
    <t>CI0808-100</t>
  </si>
  <si>
    <t>Inspired by heritage models, the NikeCourt Blanc goes with anything and everything. Leather in the upper gives you a clean look with pops of colour for a simple, versatile style that nods to the past.</t>
  </si>
  <si>
    <t>CJ0861-017</t>
  </si>
  <si>
    <t>The Nike Free Metcon 3 combines Nike Free flexibility around the forefoot with Metcon stability in the heel to help you get the most out of your training session.</t>
  </si>
  <si>
    <t>Nike Zoom Pegasus Turbo 2</t>
  </si>
  <si>
    <t>AT8242-009</t>
  </si>
  <si>
    <t>The Nike Zoom Pegasus Turbo 2 is updated with a feather-light upper, while innovative foam brings revolutionary responsiveness to your long-distance training.</t>
  </si>
  <si>
    <t>Nike Air Max 270 React ENG</t>
  </si>
  <si>
    <t>CK2595-500</t>
  </si>
  <si>
    <t>The Nike Air Max 270 React ENG combines a full-length React foam midsole with a 270 Max Air unit for unrivalled comfort and a striking visual experience.</t>
  </si>
  <si>
    <t>Nike Air Max 90</t>
  </si>
  <si>
    <t>CD0490-104</t>
  </si>
  <si>
    <t>Clean lines, versatile and timeless‚Äîthe people's shoe returns with the Nike Air Max 90. Featuring the same iconic Waffle sole, stitched overlays and classic TPU accents you've come to love, it lets you walk among the pantheon of Air.</t>
  </si>
  <si>
    <t>315115-112</t>
  </si>
  <si>
    <t>The radiance lives on in the Nike Air Force 1 '07, the b-ball OG that puts a fresh spin on what you know best: crisp leather in an all-white colourway for a statement look on and off the court.</t>
  </si>
  <si>
    <t>Jordan Air Max 200 XX</t>
  </si>
  <si>
    <t>AV5186-101</t>
  </si>
  <si>
    <t>With design inspiration taken from the iconic AJ8, the Jordan Air Max 200 XX features enhanced cushioning for all-day, street-ready comfort.</t>
  </si>
  <si>
    <t>Nike SuperRep Go</t>
  </si>
  <si>
    <t>CJ0860-668</t>
  </si>
  <si>
    <t>The Nike SuperRep Go combines comfortable foam cushioning, flexibility and support to get you moving in circuit-based fitness classes or while streaming workouts at home.</t>
  </si>
  <si>
    <t>Nike Air VaporMax Flyknit 3</t>
  </si>
  <si>
    <t>AJ6910-009</t>
  </si>
  <si>
    <t>Be bouncy and buoyant in the Nike Air VaporMax Flyknit 3. Inspired by high fashion, the upper features flowing lines of breathable, stretchable Flyknit construction. Revolutionary VaporMax Air technology keeps a spring in your step with toe-to-heel cushioning.</t>
  </si>
  <si>
    <t>Nike Air Zoom SuperRep</t>
  </si>
  <si>
    <t>BQ7043-668</t>
  </si>
  <si>
    <t>The Nike Air Zoom SuperRep is designed for circuit training, HIIT, short runs and other fast-paced exercise. Zoom Air cushioning in the forefoot combines with a wide, stable heel to keep you moving and lifting comfortably.</t>
  </si>
  <si>
    <t>CK2608-100</t>
  </si>
  <si>
    <t>Refresh your step in the Nike Air Max 270 React ENG. Featuring all the forward-looking design and innovation of the OG Air Max 270, it offers sleek lines and radiating TPU fingers that dole out the fresh style. Lightweight, no-sew materials create a time-travelling vibe that looks as good as it feels.</t>
  </si>
  <si>
    <t>Nike Air Max 97</t>
  </si>
  <si>
    <t>921733-104</t>
  </si>
  <si>
    <t>The Nike Air Max 97 keeps a sneaker icon going strong with the same design details that made it famous: water-ripple lines, reflective piping and full-length Max Air cushioning.</t>
  </si>
  <si>
    <t>CJ1379-001</t>
  </si>
  <si>
    <t>The legend lives on in the Nike Air Force 1 '07‚Äîa modern take on the iconic AF1 that blends classic style with sweet details. A stitched tag logo runs down the tongue while over-branding throughout reinforces Nike heritage.</t>
  </si>
  <si>
    <t>Nike Court Vintage Premium</t>
  </si>
  <si>
    <t>CT1726-100</t>
  </si>
  <si>
    <t>The Nike Court Vintage Premium embodies '80s tennis at its best‚Äîlaid-back and stylish. The smooth leather upper is combined with micro-branding for a relaxed look and feel, while the cushioned sockliner provides smooth comfort with every step.</t>
  </si>
  <si>
    <t>CT4525-001</t>
  </si>
  <si>
    <t>Remastered from the OG that shook up the running world, the Nike Air Max 97 elevates the classic design. Bold new colours draw inspiration from the Hanshin Tigers, one of Japan's oldest baseball teams.</t>
  </si>
  <si>
    <t>Nike SB Bruin High</t>
  </si>
  <si>
    <t>923112-001</t>
  </si>
  <si>
    <t>The first Nike SB shoe designed specifically for women, the Nike SB Bruin High is built for exceptional comfort and board control. With classic Bruin design lines and details, this is a fresh take on a time-honoured shoe.</t>
  </si>
  <si>
    <t>Air Jordan XXXIV PF</t>
  </si>
  <si>
    <t>BQ3381-600</t>
  </si>
  <si>
    <t>The Air Jordan XXXIV PF continues the legacy of a cultural icon. Light, responsive and sculpted with aerodynamic precision, it combines a boldly unconventional midsole with herringbone traction to merge innovative and iconic design elements.</t>
  </si>
  <si>
    <t>Nike Metcon 5</t>
  </si>
  <si>
    <t>AO2982-076</t>
  </si>
  <si>
    <t>The Nike Metcon 5 is the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</si>
  <si>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Nike React Phantom Run Flyknit 2</t>
  </si>
  <si>
    <t>CJ0277-002</t>
  </si>
  <si>
    <t>The Nike React Phantom Run Flyknit 2 offers versatility for the everyday runner. Building on the foundation of its predecessor, the shoe expands on its laceless design by adding secure support that feels like it "disappears" on your foot. More foam means better cushioning, keeping you comfortable as you run.</t>
  </si>
  <si>
    <t>Nike Joyride Run Flyknit</t>
  </si>
  <si>
    <t>AQ2730-009</t>
  </si>
  <si>
    <t>The Nike Joyride Run Flyknit is designed to help make running feel easier and give your legs a day off. Tiny foam beads underfoot contour to your foot for cushioning that stands up to your mileage.</t>
  </si>
  <si>
    <t>CT1030-100</t>
  </si>
  <si>
    <t>With colours fresher than summer flowers, this take on the '90s champion brings you the comfort and look you trust‚Äîvisible Max Air cushioning, bold TPU accents and plush padding around the ankle.</t>
  </si>
  <si>
    <t>Nike Air VaporMax 360</t>
  </si>
  <si>
    <t>CK9671-001</t>
  </si>
  <si>
    <t>Inspired by heritage running shoes like the 2006 Air Max 360, the Nike Air VaporMax 360 re-imagines full-length Air with its lighter, more flexible design. The full-length foam midsole adds to the comfort while bold colours create a fresh, modern look.</t>
  </si>
  <si>
    <t>Nike Offcourt</t>
  </si>
  <si>
    <t>BQ4632-602</t>
  </si>
  <si>
    <t>Featuring Revive Foam, a super-soft foam designed to help you relax and recharge, the unrelenting comfort of the Nike Offcourt Slide is sensational. The innovative dual-layered foam and soft jersey lining on the strap ensure a gratifying full-foot experience. The iconic Air Force 1 pivot circle outsole and block lettering on the strap casually nod to heritage hoops.</t>
  </si>
  <si>
    <t>CJ0280-001</t>
  </si>
  <si>
    <t>The Nike React Phantom Run Flyknit 2 is all about versatility for the everyday runner. The shoe expands on its laceless design by adding secure comfort, making it feel like the shoe disappears on your foot. More foam means better cushioning, keeping you comfortable as you run.</t>
  </si>
  <si>
    <t>Jordan Break</t>
  </si>
  <si>
    <t>AR6374-402</t>
  </si>
  <si>
    <t>Featuring a fixed strap over the top of the foot, the Jordan Break Slide features durable synthetic leather and lightweight foam cushioning for underfoot comfort.</t>
  </si>
  <si>
    <t>LeBron 7 QS</t>
  </si>
  <si>
    <t>CU5646-001</t>
  </si>
  <si>
    <t>Make your head-turning journey to the top comfortable. Built strong and sleek, the LeBron 7 QS features a mix of materials on the upper for a look that lasts. Metal accents and multiple LeBron crests celebrate a king, while full-length cushioning graces your every step.</t>
  </si>
  <si>
    <t>Nike In-Season TR 9</t>
  </si>
  <si>
    <t>AR4543-013</t>
  </si>
  <si>
    <t>The Nike In-Season TR 9 is light, stable and features deep, comfortable footbed for superior impact absorption and energy return throughout your entire workout.</t>
  </si>
  <si>
    <t>Nike Joyride Run FlyKnit</t>
  </si>
  <si>
    <t>CI3707-100</t>
  </si>
  <si>
    <t>Nike ZoomX Vista Grind</t>
  </si>
  <si>
    <t>CQ9500-100</t>
  </si>
  <si>
    <t>Edgy and fun‚Äîthe Nike ZoomX Vista Grind is proof of the improbable, bringing you to a bold new place that's rebellious and forward thinking. Using recycled foam from the Nike ZoomX family, it takes Nike DNA and combines it with lightweight mesh, exaggerated stitching and a transparent window on the upper for a boldly modern look that's forward thinking.</t>
  </si>
  <si>
    <t>Nike Air Force 1 Sage Low</t>
  </si>
  <si>
    <t>CJ1642-002</t>
  </si>
  <si>
    <t>Taking old-school b-ball style to new levels, the Nike Air Force 1 Sage Low features a platform midsole and a pared-down upper for a boldly feminine look. Colour accents around the Swoosh and on the heel and tongue add a fresh take to any summertime outfit.</t>
  </si>
  <si>
    <t>Nike Air Force 1 '07 LV8</t>
  </si>
  <si>
    <t>CD0888-002</t>
  </si>
  <si>
    <t>The Nike Air Force 1 '07 LV8 incorporates the same hoops-inspired performance features of the 1982 original while adding fresh design details for an updated look.</t>
  </si>
  <si>
    <t>Nike Air Max 720</t>
  </si>
  <si>
    <t>CI3868-001</t>
  </si>
  <si>
    <t>The Nike Air Max 720 goes bigger than ever before with Nike's tallest Air unit yet, which offers more air underfoot for unprecedented, all-day comfort. Has Air Max gone too far? We hope so.</t>
  </si>
  <si>
    <t>Nike Air Max Dia</t>
  </si>
  <si>
    <t>CJ0636-100</t>
  </si>
  <si>
    <t>Designed specifically for a woman's foot, the Nike Air Max Dia delivers a lifted look and airy aesthetic. The minimal upper modernises the silhouette, while the Max Air unit is amplified even further by an exaggerated midsole for a boost of style.</t>
  </si>
  <si>
    <t>Air Jordan 1 Mid SE</t>
  </si>
  <si>
    <t>852542-087</t>
  </si>
  <si>
    <t>The Air Jordan 1 Mid SE maintains the timeless appeal of the OG AJ1, revamped with fresh colours and premium materials. Built with a lightweight Air-Sole unit and classic design lines, it captures the essence of the original through a modern lens.</t>
  </si>
  <si>
    <t>Nike Daybreak</t>
  </si>
  <si>
    <t>CK2351-601</t>
  </si>
  <si>
    <t>Originally released in 1979, the Nike Daybreak is a blast from the past. Featuring the same rubber Waffle outsole and nylon upper, it gives you true vintage style.</t>
  </si>
  <si>
    <t>Nike SB Shane</t>
  </si>
  <si>
    <t>BV0657-400</t>
  </si>
  <si>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</si>
  <si>
    <t>Nike Mercurial Vapor 13 Club Neymar Jr. TF</t>
  </si>
  <si>
    <t>AT8000-104</t>
  </si>
  <si>
    <t>The Nike Mercurial Vapor 13 Club Neymar Jr. TF is built for fast-paced play. A synthetic upper wraps your foot for streamlined speed, while rubber studs give you the traction you need on artificial surfaces.</t>
  </si>
  <si>
    <t>Air Jordan 1 Mid</t>
  </si>
  <si>
    <t>554724-066</t>
  </si>
  <si>
    <t>The Air Jordan 1 Mid Shoe is inspired by the first AJ1, offering OG fans a look at how far the Jordan brand has come since 1985.</t>
  </si>
  <si>
    <t>Nike Air Max 270 React</t>
  </si>
  <si>
    <t>CJ0619-100</t>
  </si>
  <si>
    <t>Refresh your step in the Nike Air Max 270 React. It uses lightweight, no-sew materials to create a modern aesthetic that looks as good as it feels.</t>
  </si>
  <si>
    <t>Nike Air Max 98</t>
  </si>
  <si>
    <t>CJ0592-001</t>
  </si>
  <si>
    <t>Always one step ahead, the Nike Air Max 98 features the OG design lines that were inspired by the walls of the Grand Canyon, while adding bursts of fresh colour to the upper. The fluid, textured look and full-length Nike Air cushioning set you apart from the pack.</t>
  </si>
  <si>
    <t>Nike Joyride Dual Run Premium</t>
  </si>
  <si>
    <t>CT3867-001</t>
  </si>
  <si>
    <t>The Nike Joyride Dual Run Premium blazes its own route. Tiny foam beads underfoot are combined with cushioning in the forefoot for an incredibly smooth feel that contours to your foot. Colourful skins throughout the upper give it a deluxe look.</t>
  </si>
  <si>
    <t>Nike Free RN Flyknit 3.0 2020</t>
  </si>
  <si>
    <t>CJ0267-001</t>
  </si>
  <si>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</si>
  <si>
    <t>Nike Mercurial Vapor 13 Club Neymar Jr IC</t>
  </si>
  <si>
    <t>AT7998-104</t>
  </si>
  <si>
    <t>The Nike Mercurial Vapor 13 Club Neymar Jr IC Shoe has a low-profile Dynamic Fit collar and synthetic material that wraps your foot for streamlined speed.</t>
  </si>
  <si>
    <t>Nike Mercurial Vapor 13 Elite Neymar Jr. FG</t>
  </si>
  <si>
    <t>AT7898-104</t>
  </si>
  <si>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</si>
  <si>
    <t>PG 4 EP</t>
  </si>
  <si>
    <t>CD5086-500</t>
  </si>
  <si>
    <t>Paul George is the rare high-percentage shooter who's also a coach's dream on D. Designed for his unrivalled 2-way game, the PG 4 EP unveils a new cushioning system that's lightweight, articulated and responsive: ideal for players like Paul who go hard every play.</t>
  </si>
  <si>
    <t>Air Max 97 LX</t>
  </si>
  <si>
    <t>CJ0625-700</t>
  </si>
  <si>
    <t>Inspired by a high-speed bullet train, the Nike Air Max 97 LX brings back a running icon with a plush, lightweight upgrade. It modernises a retro design with a moulded upper, welded overlays and a Max Air unit for all-day comfort.</t>
  </si>
  <si>
    <t>CT4352-104</t>
  </si>
  <si>
    <t>Redesigned for casual wear, the Nike Air Max 90 stays true to its '90s running roots. Bold colours add a fresh look while Max Air cushioning adds all-day comfort. Iconic details like the rubber Waffle sole, stitched overlays and TPU plates nod to your heritage style.</t>
  </si>
  <si>
    <t>Jordan 'Why Not?' Zer0.3 PF</t>
  </si>
  <si>
    <t>CD3002-103</t>
  </si>
  <si>
    <t>One of the game's fiercest competitors, triple-double dynamo Russell Westbrook has the motor, muscle and mentality to match his fearlessness‚Äîwith the stats to back it up. Built to hold up on outdoor courts, the Jordan "Why Not?" Zer0.3 PF is fine-tuned for players like Russ, who beat opponents with linear speed and aggressiveness.</t>
  </si>
  <si>
    <t>CD3460-010</t>
  </si>
  <si>
    <t>Nike Metcon 5 AMP</t>
  </si>
  <si>
    <t>CD3395-006</t>
  </si>
  <si>
    <t>The Nike Metcon 5 AMP arms you with stability for heavy lifting and traction for sprints during high-impact training. It combines breathability and durability to be your secret weapon in the gym.</t>
  </si>
  <si>
    <t>Nike Air Max Tailwind 99</t>
  </si>
  <si>
    <t>CQ6569-001</t>
  </si>
  <si>
    <t>The Nike Air Max Tailwind 99 has a storied history, beginning in 1979 with the original Nike Air project. To celebrate 20 years of the Tailwind, this model blends elements from several decades past. An OG colourway nods to the shoe's initial debut back in '99.</t>
  </si>
  <si>
    <t>Nike Mercurial Vapor 13 Club IC</t>
  </si>
  <si>
    <t>AT7997-606</t>
  </si>
  <si>
    <t>The Nike Mercurial Vapor 13 Club IC is made for high-speed play. A synthetic upper wraps your foot for streamlined speed, while a rubber outsole gives you the traction you need to strike fast.</t>
  </si>
  <si>
    <t>CI3708-700</t>
  </si>
  <si>
    <t>The Air Max 97 shook up the running world with its revolutionary full-length Nike Air unit. The Nike Air Max 97 remasters the original design with bold new colours and flashes of gold.</t>
  </si>
  <si>
    <t>Nike Air Max Triax</t>
  </si>
  <si>
    <t>CT1104-700</t>
  </si>
  <si>
    <t>Keep your fire burning in the Nike Air Max Triax. It features the same iconic shape and large-volume Air unit as the OG, bringing back the classic comfort and style that's known and loved.</t>
  </si>
  <si>
    <t>LeBron 17 Low</t>
  </si>
  <si>
    <t>CD5007-102</t>
  </si>
  <si>
    <t>Fine-tuned with LeBron's ferocious game in mind, the LeBron 17 Low has a sleek, low-top design that features a powerful combination of impact-ready cushioning and responsiveness.</t>
  </si>
  <si>
    <t>Nike Mercurial Vapor 13 Academy Neymar Jr. TF</t>
  </si>
  <si>
    <t>AT7995-104</t>
  </si>
  <si>
    <t>The soft upper of the Nike Mercurial Vapor 13 Academy Neymar Jr. TF wraps your foot for a second-skin fit, while the rubber outsole helps super-charge traction on artificial turf.</t>
  </si>
  <si>
    <t>Nike Air Max 2090</t>
  </si>
  <si>
    <t>BV9977-101</t>
  </si>
  <si>
    <t>Bring the past into the future with the Nike Air Max 2090. Inspired by the iconic Air Max 90, the 2090 features Nike Air cushioning underfoot that provides unparalleled comfort, while transparent mesh on the upper is blended with timeless OG features for an edgy, modernised look.</t>
  </si>
  <si>
    <t>Nike Renew Fusion</t>
  </si>
  <si>
    <t>CD0200-003</t>
  </si>
  <si>
    <t>The Nike Renew Fusion blends stability, cushioning and durability for high-impact training sessions. A foam sole cushions heavy-weight, high-paced activities, while a midfoot cage locks your foot down to a flat, wide base for stability.</t>
  </si>
  <si>
    <t>LeBron 17</t>
  </si>
  <si>
    <t>BQ3177-100</t>
  </si>
  <si>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</si>
  <si>
    <t>Nike Air Max 720 OBJ Slip</t>
  </si>
  <si>
    <t>DA4155-400</t>
  </si>
  <si>
    <t>Taking its design inspiration from top wide receiver and fashion icon Odell Beckham Jr., the Nike Air Max 720 OBJ Slip brings some serious heat to your feet. Layered materials like suede, mesh and webbing combine for an eye-catching, tech-driven look.</t>
  </si>
  <si>
    <t>CJ0773-010</t>
  </si>
  <si>
    <t>Nike Air Max 90 Premium</t>
  </si>
  <si>
    <t>CQ0912-100</t>
  </si>
  <si>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</si>
  <si>
    <t>Nike Mercurial Superfly 7 Elite SE FG</t>
  </si>
  <si>
    <t>CT1099-093</t>
  </si>
  <si>
    <t>Everyone starts somewhere and Kylian Mbapp√© started on the pitches in Bondy. With green and gold details celebrating his home district, the Nike Mercurial Superfly 7 Elite SE FG pays tribute to greatness. A streamlined upper and Nike Aerotrak zone combine for fast-paced play to blow past the competition.</t>
  </si>
  <si>
    <t>Nike Epic Phantom React A.I.R. Cody Hudson</t>
  </si>
  <si>
    <t>CI1718-001</t>
  </si>
  <si>
    <t>Soft to the touch, the Nike Epic Phantom React A.I.R. lets go of laces for slip-on style that has you up and running in no time. A sock-like fit within breathable Flyknit feels as though the Phantom "disappears" as you run, while a polka-dotted upper gets you noticed.</t>
  </si>
  <si>
    <t>CD0490-101</t>
  </si>
  <si>
    <t>Nike Mercurial Superfly 7 Club TF</t>
  </si>
  <si>
    <t>AT7980-606</t>
  </si>
  <si>
    <t>The Nike Mercurial Superfly 7 Club TF features a low-profile Dynamic Fit collar and synthetic material in the upper that wraps your foot for streamlined speed.</t>
  </si>
  <si>
    <t>Nike Zoom Gravity</t>
  </si>
  <si>
    <t>BQ3202-011</t>
  </si>
  <si>
    <t>Designed to make fast go faster, the Nike Zoom Gravity is built to take you from quick tempo runs to winning races. Snappy forefoot propulsion and grippy, multi-surface traction combine to maximize your stride.</t>
  </si>
  <si>
    <t>CD0113-400</t>
  </si>
  <si>
    <t>Nike Air Force 1 Type</t>
  </si>
  <si>
    <t>CQ2344-100</t>
  </si>
  <si>
    <t>The Nike Air Force 1 Type brings a handmade aesthetic to a classic look. Using transparent materials to show off a closure system and adjustable technology, it offers a unique look, custom fit and versatile styling options.</t>
  </si>
  <si>
    <t>AO4971-700</t>
  </si>
  <si>
    <t>The bold silhouette of Nike Air lifts the Nike Air Max 270 React to new heights, while the Nike React foam midsole delivers exceptional cushioning. Imagine all-day comfort with unstoppable style.</t>
  </si>
  <si>
    <t>Nike React Presto</t>
  </si>
  <si>
    <t>AV2605-101</t>
  </si>
  <si>
    <t>Inspired by the early 2000s original, the Nike React Presto puts an exaggerated spin on an unconventional icon. Nike React foam delivers an expressive look with a lightweight, bouncy feel and a whole lot of personality.</t>
  </si>
  <si>
    <t>Nike Legend React</t>
  </si>
  <si>
    <t>AA1625-009</t>
  </si>
  <si>
    <t>The Nike Legend React Men's Running Shoe features a breathable upper with synthetic overlays that enhance durability while smooth, responsive foam cushions every step as you run.</t>
  </si>
  <si>
    <t>Air Jordan 1 Low SE</t>
  </si>
  <si>
    <t>CK3022-005</t>
  </si>
  <si>
    <t>Always fresh and never out of style, the Air Jordan 1 Low is one of the most iconic sneakers of all time. This SE version shakes up the classic design with flavourful new colour schemes and trim details.</t>
  </si>
  <si>
    <t>NikeCourt Air Max Wildcard</t>
  </si>
  <si>
    <t>AO7351-104</t>
  </si>
  <si>
    <t>The NikeCourt Air Max Wildcard delivers the comfort you need to hit hard and move fast on the court. A Max Air unit under your heel cushions every step, while an innovative Lunarlon midsole provides a springy underfoot sensation and extra stability.</t>
  </si>
  <si>
    <t>Nike Blazer Low</t>
  </si>
  <si>
    <t>AJ9515-001</t>
  </si>
  <si>
    <t>The Nike Blazer Low Men's Shoe refines the old-school basketball icon with smooth, genuine leather.</t>
  </si>
  <si>
    <t>Zoom LeBron 3 QS</t>
  </si>
  <si>
    <t>AO2434-101</t>
  </si>
  <si>
    <t>Originally released in 2006, the Zoom LeBron 3 QS brings royalty to the street in the third iteration of the King's signature line. Nike Zoom Air cushioning, premium leather details and a throwback lion logo make this shoe a first draft pick.</t>
  </si>
  <si>
    <t>CJ0861-010</t>
  </si>
  <si>
    <t>KD Trey 5 VII EP</t>
  </si>
  <si>
    <t>AT1198-401</t>
  </si>
  <si>
    <t>Kevin Durant likes a shoe that feels broken-in straight away but still provides containment and support. The KD Trey 5 VII EP hits the ground running with a combination of bouncy cushioning with a precise, supportive fit that's ready to go right out of the box.</t>
  </si>
  <si>
    <t>Nike Mercurial Vapor 13 Academy TF</t>
  </si>
  <si>
    <t>AT7996-606</t>
  </si>
  <si>
    <t>The soft upper of the Nike Mercurial Vapor 13 Academy TF Shoe wraps your foot for a second-skin fit, while the rubber outsole helps super-charge traction on turf.</t>
  </si>
  <si>
    <t>Jordan React Havoc SE</t>
  </si>
  <si>
    <t>CK2772-101</t>
  </si>
  <si>
    <t>An update to the ultra-fast Jordan React Havoc, the SE maintains its responsive cushioning combination while revamping elements of the upper. The transparent heel clip offers the same great heel lockdown but with a new aesthetic. A synthetic suede and striped-line mudguard provides lightweight lateral support. The updated tongue reduces lace pressure and provides easy on and off.</t>
  </si>
  <si>
    <t>Nike SB Air Max Stefan Janoski 2</t>
  </si>
  <si>
    <t>AQ7477-009</t>
  </si>
  <si>
    <t>The Nike SB Air Max Stefan Janoski 2 hugs your foot with a breathable textile upper. A Max Air unit in the heel cushions every step, while a flat rubber outsole optimises grip when you're on your board.</t>
  </si>
  <si>
    <t>Nike Free RN Flyknit 3.0</t>
  </si>
  <si>
    <t>AQ5707-001</t>
  </si>
  <si>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</si>
  <si>
    <t>Nike ISPA Joyride Envelope</t>
  </si>
  <si>
    <t>BV4584-001</t>
  </si>
  <si>
    <t>Utilising the latest innovations and Nike's ISPA project‚Äîwhich touts a philosophy of improvise, scavenge, protect and adapt‚Äîthe Nike ISPA Joyride Envelope delivers a futuristic shoe built for taking on the elements. Innovative details provide easy on and off and help support you in wet or warm conditions.</t>
  </si>
  <si>
    <t>CD6721-808</t>
  </si>
  <si>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</si>
  <si>
    <t>Nike Phantom Venom Academy FG</t>
  </si>
  <si>
    <t>AO0566-606</t>
  </si>
  <si>
    <t>The Nike Phantom Venom Academy FG is engineered for powerful, precise strikes that win games. Ridges on the instep create spin to control the flight of the ball, while the firm-ground plate provides the traction needed to unleash at any moment.</t>
  </si>
  <si>
    <t>Nike Air Ghost Racer</t>
  </si>
  <si>
    <t>AT5410-003</t>
  </si>
  <si>
    <t>Designed for speed, stability and comfort, the Nike Air Ghost Racer was a hit 20 years ago‚Äîand now it's back in a stitch-for-stitch remake. And though it has all the same features as the original, it might be even better than you remember.</t>
  </si>
  <si>
    <t>Nike ACG Air Terra Antarktik</t>
  </si>
  <si>
    <t>BV6348-300</t>
  </si>
  <si>
    <t>Designed and tested in Oregon, the Nike ACG Antarktik is a "jacket" for your foot. Its tough ripstop upper combines with a GORE-TEX lining to help keep your foot dry. All-new lug details use hard rubber for traction in all conditions.</t>
  </si>
  <si>
    <t>Nike Air Max 2 Light</t>
  </si>
  <si>
    <t>CI3703-401</t>
  </si>
  <si>
    <t>Originally released in 1994, the Nike Air Max 2 Light returns as a near-exact replica of the iconic runner. A mesh and synthetic leather upper, moulded heel and vibrant Air Max unit honour the OG. The soft foam midsole optimises all-day comfort.</t>
  </si>
  <si>
    <t>Nike Mercurial Superfly 7 Academy MG</t>
  </si>
  <si>
    <t>AT7946-414</t>
  </si>
  <si>
    <t>Building on the forefoot plate innovation of the 6, the Nike Mercurial Superfly 7 Academy MG Boot adds a versatile multi-ground plate that provides traction on natural- and artificial-grass surfaces.</t>
  </si>
  <si>
    <t>Nike AlphaDunk</t>
  </si>
  <si>
    <t>BQ5401-001</t>
  </si>
  <si>
    <t>Join the hoops uprising in the AlphaDunk, one of Nike Basketball's bounciest game shoes to date. The revamped upper construction is light and supportive and a large cushioning unit spans nearly the entire forefoot, giving you all the responsiveness you can handle on the court.</t>
  </si>
  <si>
    <t>Nike Daybreak SP</t>
  </si>
  <si>
    <t>BV7725-500</t>
  </si>
  <si>
    <t>The Nike Daybreak SP marks the return of the 1979 original, featuring suede and nylon on the upper and old-school graphics on the tongue for a '70s runner-inspired look and feel.</t>
  </si>
  <si>
    <t>Nike x MMW Joyride CC3 Setter</t>
  </si>
  <si>
    <t>CU7623-002</t>
  </si>
  <si>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</si>
  <si>
    <t>Nike Air Max 95 SP</t>
  </si>
  <si>
    <t>CK5669-400</t>
  </si>
  <si>
    <t>Taking inspiration from the human body, the Nike Air Max 95 SP mixes unbelievable comfort with running DNA. The iconic side panels represent muscles, while Nike Air in the heel and forefoot cushions your every step.</t>
  </si>
  <si>
    <t>Nike SB Blazer Low GT</t>
  </si>
  <si>
    <t>704939-103</t>
  </si>
  <si>
    <t>The Nike SB Blazer Low GT pairs a supportive feel with lightweight, responsive cushioning for everyday use. Just like Grant Taylor, it blends contemporary style with old-school traditions.</t>
  </si>
  <si>
    <t>LeBron 17 Monstars</t>
  </si>
  <si>
    <t>CD5050-400</t>
  </si>
  <si>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</si>
  <si>
    <t>Kyrie 5 x Bandulu</t>
  </si>
  <si>
    <t>CK5836-100</t>
  </si>
  <si>
    <t>Designed in collaboration with Pat Peltier, the mind behind up-cycled vintage label Bandulu, the Kyrie 5 x Bandulu explores process, approach and technique. The brand's signature paint splatters give the shoe an expression that speaks to Kyrie's creativity and dedication to his craft‚Äîon and off the court.</t>
  </si>
  <si>
    <t>Nike Air Max Impact</t>
  </si>
  <si>
    <t>CI1396-600</t>
  </si>
  <si>
    <t>The Nike Air Max Impact infuses bold, expressive details into a design that's a beast on the court. Responsive cushioning helps soften hard landings, while the moulded heel clip and dual-strap system combine for a lightweight, locked-in feel.</t>
  </si>
  <si>
    <t>Nike Air Max 90 QS</t>
  </si>
  <si>
    <t>CD0916-001</t>
  </si>
  <si>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</si>
  <si>
    <t>Nike React Element 55 SE</t>
  </si>
  <si>
    <t>BV1507-001</t>
  </si>
  <si>
    <t>The Nike React Element 55 SE borrows design lines from heritage runners like the Nike Internationalist, then places it all on Nike React technology.</t>
  </si>
  <si>
    <t>Jordan Proto-Max 720</t>
  </si>
  <si>
    <t>BQ6623-070</t>
  </si>
  <si>
    <t>Inspired by outer space flight, the Jordan Proto-Max 720 provides all-day comfort with a future-forward look. An outer shroud covers the sock-like bootie construction, while Nike Air cushions every step.</t>
  </si>
  <si>
    <t>Nike Phantom Vision 2 Academy Dynamic Fit MG</t>
  </si>
  <si>
    <t>CD4156-606</t>
  </si>
  <si>
    <t>The Nike Phantom Vision 2 Academy Dynamic Fit MG brings a new level of fierce precision to the pitch. A foot-hugging inner sleeve is concealed in a NIKESKIN upper to create a boot for the finishers, the providers and the battlers of today's game.</t>
  </si>
  <si>
    <t>CI3831-200</t>
  </si>
  <si>
    <t>The Nike React Element 55 SE borrows design lines from heritage runners like the Nike Internationalist, adds reflective graphics, then places it all on Nike React technology.</t>
  </si>
  <si>
    <t>Nike Air Max2 Light</t>
  </si>
  <si>
    <t>AO1741-003</t>
  </si>
  <si>
    <t>Originally released in 1994, the Nike Air Max2 Light returns as a near-exact replica of the iconic runner with style for the street. Its mesh and synthetic upper, moulded heel and Max Air unit honour the OG, while the soft foam midsole optimises all-day comfort.</t>
  </si>
  <si>
    <t>Nike Air Max 270</t>
  </si>
  <si>
    <t>AH8050-100</t>
  </si>
  <si>
    <t>Nike's first lifestyle Air Max lets you greet the streets with the soft, smooth and resilient ride of the Nike Air Max 270. The design draws inspiration from the Air Max pantheon, showcasing Nike's greatest innovation with its large window and fresh array of colours.</t>
  </si>
  <si>
    <t>Nike Phantom Vision 2 Club Dynamic Fit MG</t>
  </si>
  <si>
    <t>CD4159-606</t>
  </si>
  <si>
    <t>The Nike Phantom Vision 2 Club Dynamic Fit MG brings fierce precision to the pitch. A foot-hugging inner sleeve is concealed in textured leather for comfortable, precise touch.</t>
  </si>
  <si>
    <t>CK4363-100</t>
  </si>
  <si>
    <t>The Nike Air Force 1 '07 LV8 has the same hoops-inspired performance of the '82 OG plus fresh new patterns for a sleek look that turns heads.</t>
  </si>
  <si>
    <t>CN8490-100</t>
  </si>
  <si>
    <t>Nothing as fly, nothing as comfortable, nothing as proven. The Nike Air Max 90 stays true to its OG running roots with the iconic Waffle sole, stitched overlays and classic TPU details. Classic colours celebrate your fresh look while Max Air cushioning adds comfort to the journey.</t>
  </si>
  <si>
    <t>Nike Free RN 5.0 2020</t>
  </si>
  <si>
    <t>CI9921-001</t>
  </si>
  <si>
    <t>The Nike Free RN 5.0 2020 is the latest leap forwards in the evolution of the Free. Secure lacing mixes with a seamless design for a snug, flexible fit. Lighter and closer to the ground than previous versions, it gives you a "barefoot" feel for your shorter runs.</t>
  </si>
  <si>
    <t>Nike Phantom Vision Academy Dynamic Fit TF</t>
  </si>
  <si>
    <t>AO3269-717</t>
  </si>
  <si>
    <t>The Nike Phantom Vision Academy Dynamic Fit TF Artificial Turf Football Boot provides the precise touch to win small-sided glory, wherever the game finds you. Webbing on the laces provides lockdown while a textured instep is always ready to receive, turn and score.</t>
  </si>
  <si>
    <t>Nike ACG MOC 3.0</t>
  </si>
  <si>
    <t>CI9367-301</t>
  </si>
  <si>
    <t>Trail-ready traction makes the Nike ACG Moc 3.0 a go-to for your next outdoor adventure. Designed and tested in Oregon, it features a sticky rubber heel and toe tip.</t>
  </si>
  <si>
    <t>Nike Mercurial Vapor 13 Academy Neymar Jr. MG</t>
  </si>
  <si>
    <t>AT7960-104</t>
  </si>
  <si>
    <t>The Nike Mercurial Vapor 13 Academy Neymar Jr. MG is built for fast play and adds a versatile multi-ground plate that provides traction on natural- and artificial-grass surfaces.</t>
  </si>
  <si>
    <t>Nike Air DSVM</t>
  </si>
  <si>
    <t>AT8179-100</t>
  </si>
  <si>
    <t>The lightweight Nike Air DSVM gives you all-day comfort and street-ready style in a modern take on a classic silhouette. An adjustable strap lets you change up the fit for a look that's sure to turn heads.</t>
  </si>
  <si>
    <t>Nike x Carhartt WIP Air Max 95</t>
  </si>
  <si>
    <t>AV3866-001</t>
  </si>
  <si>
    <t>The Nike x Carhartt WIP Air Max 95 features reflective details and neon pops of colour. Carhartt WIP materials help construct the durable upper of a new take on the first sneaker with visible forefoot Nike Air.</t>
  </si>
  <si>
    <t>Nike Odyssey React Flyknit 2</t>
  </si>
  <si>
    <t>AH1015-010</t>
  </si>
  <si>
    <t>The Nike Odyssey React Flyknit 2 provides a strategic combination of lightweight Flyknit construction and synthetic material for support. Underfoot, Nike React cushioning delivers a soft, springy ride for a route that begs to be crushed.</t>
  </si>
  <si>
    <t>Nike Tiempo Legend 8 Elite FG</t>
  </si>
  <si>
    <t>AT5293-004</t>
  </si>
  <si>
    <t>The Nike Tiempo Legend 8 Elite FG takes the legendary touch of premium kangaroo leather and adds foot-hugging Quad-Fit mesh in the lining and a wrap-around Flyknit tongue that feels supportive under your arch.</t>
  </si>
  <si>
    <t>Nike Mercurial Superfly 7 Club MG</t>
  </si>
  <si>
    <t>AT7949-606</t>
  </si>
  <si>
    <t>The Nike Mercurial Superfly 7 Club MG wraps your foot for streamlined speed. A versatile multi-ground plate provides traction on natural- and artificial-grass surfaces.</t>
  </si>
  <si>
    <t>Nike Joyride CC3 Setter</t>
  </si>
  <si>
    <t>AT6395-002</t>
  </si>
  <si>
    <t>Lounge wherever you go and let the Nike Joyride CC3 Setter take you into a new world of comfort. It places your feet directly on soft foam and innovative bead-pods for extra comfort, while exaggerated textures add unrivalled depth to your edgy attitude.</t>
  </si>
  <si>
    <t>Nike Renew Run</t>
  </si>
  <si>
    <t>CK6357-005</t>
  </si>
  <si>
    <t>The Nike Renew Run keeps you moving with softer foam for a cushioned feel. Designed with the everyday runner in mind, this shoe delivers secure support and durable traction for comfort on the go.</t>
  </si>
  <si>
    <t>Nike React Ianga</t>
  </si>
  <si>
    <t>AV5555-001</t>
  </si>
  <si>
    <t>The Nike React Ianga takes elements from a jungle boot and mixes them with modern, technical details. Part of the 10th Collection, this shoe is a unique, military-inspired expression of the React family.</t>
  </si>
  <si>
    <t>Air Jordan 10 Retro</t>
  </si>
  <si>
    <t>310805-137</t>
  </si>
  <si>
    <t>Featuring soft, lightweight cushioning, the Air Jordan 10 Retro offers performance-inspired comfort with iconic Air Jordan detailing.</t>
  </si>
  <si>
    <t>Air Jordan 12 Retro</t>
  </si>
  <si>
    <t>130690-017</t>
  </si>
  <si>
    <t>An all-time favourite among players and sneakerheads, the Air Jordan 12 Retro features full-length Zoom Air cushioning and full-grain leather styled with distinct radial stitch lines.</t>
  </si>
  <si>
    <t>CT1264-101</t>
  </si>
  <si>
    <t>Nike's first lifestyle Air Max meets the softest, smoothest, most resilient foam yet in the Nike Air Max 270 React. The design draws inspiration from the Air Max pantheon, showcasing Nike's greatest innovation with its large window and fresh array of colours.</t>
  </si>
  <si>
    <t>Nike Air Max 200 SP</t>
  </si>
  <si>
    <t>CK5668-600</t>
  </si>
  <si>
    <t>Inspired by patterns of energy radiating from Earth, the Nike Air Max 200 SP boasts the largest Max Air unit to date. With exceptional cushioning and modern detailing that includes denim and canvas on the upper, this shoe radiates cool while providing extreme comfort.</t>
  </si>
  <si>
    <t>Nike Mercurial Superfly 7 Academy MDS MG</t>
  </si>
  <si>
    <t>BQ5427-401</t>
  </si>
  <si>
    <t>Dream of speed and play fast in the Nike Mercurial Superfly 7 Academy MDS MG. A sleek upper is streamlined for pace, while the versatile plate supercharges traction.</t>
  </si>
  <si>
    <t>Nike Air Zoom Winflo 6</t>
  </si>
  <si>
    <t>AQ7497-300</t>
  </si>
  <si>
    <t>In a fluid design that speaks the language of fast, the Nike Air Zoom Winflo 6 has less bulk and a more sculpted profile than previous versions. It has 2 cushioning units for targeted responsiveness in the forefoot and heel. Up top, mesh in the upper provides breathability.</t>
  </si>
  <si>
    <t>CT4526-100</t>
  </si>
  <si>
    <t>Remastered from the OG that shook up the running world, the Nike Air Max 97 elevates the classic design. Memorial Day Parade White and fresh Sky Blue tint the sole. Flex your summertime vibes and float the streets in style.</t>
  </si>
  <si>
    <t>Nike Mercurial Vapor XII Club MG</t>
  </si>
  <si>
    <t>AH7378-801</t>
  </si>
  <si>
    <t>The Nike Mercurial Vapor XII Club Multi-Ground Football Boot provides exceptional ball touch and a specialised outsole that promotes acceleration and quick directional changes on multiple kinds of surfaces, like natural and artificial grass.</t>
  </si>
  <si>
    <t>Nike Zoom Fly 3 Premium</t>
  </si>
  <si>
    <t>CJ0404-001</t>
  </si>
  <si>
    <t>Inspired by the Vaporfly, the Nike Zoom Fly 3 Premium gives distance runners race-day comfort and durability. The power of a carbon-fibre plate and responsive cushioning keeps you in the running mile after mile. Colourful skins throughout the upper give it a deluxe look.</t>
  </si>
  <si>
    <t>Nike MX-720-818</t>
  </si>
  <si>
    <t>CI3871-300</t>
  </si>
  <si>
    <t>The Nike MX-720-818 uses materials inspired by space suits for a futuristic take on classic Air Max DNA.</t>
  </si>
  <si>
    <t>Nike React Element 55</t>
  </si>
  <si>
    <t>BQ2728-012</t>
  </si>
  <si>
    <t>The Nike React Element 55 Women's Shoe borrows design lines from heritage Nike runners like the Internationalist, adds reflective graphics and then places it all on Nike React technology.</t>
  </si>
  <si>
    <t>Nike SB Charge Slip Premium</t>
  </si>
  <si>
    <t>CT3110-400</t>
  </si>
  <si>
    <t>The Nike SB Charge Slip Premium offers a slip-on design that pops with an eye-catching print.</t>
  </si>
  <si>
    <t>CJ0270-601</t>
  </si>
  <si>
    <t>CT8919-700</t>
  </si>
  <si>
    <t>The Nike ZoomX Vista Grind brings you to a bold new place both rebellious and refined. It's comfort you can see and feel in a brand new silhouette.</t>
  </si>
  <si>
    <t>Nike Air Force 1 React</t>
  </si>
  <si>
    <t>CT1020-001</t>
  </si>
  <si>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</si>
  <si>
    <t>CD5082-001</t>
  </si>
  <si>
    <t>Paul George is the rare high-percentage shooter who's also a coach's dream on D. Designed for his unrivalled 2-way game, the PG 4 EP unveils a new cushioning system that's lightweight, articulated and responsive, ideal for players like PG who go hard every play.</t>
  </si>
  <si>
    <t>Nike Air Zoom Pegasus 36</t>
  </si>
  <si>
    <t>BV5739-500</t>
  </si>
  <si>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</si>
  <si>
    <t>CW4286-100</t>
  </si>
  <si>
    <t>Bring the past into the future with the Nike Air Max 2090, a bold look inspired by the DNA of the iconic Air Max 90. Brand-new Nike Air cushioning underfoot adds unparalleled comfort while transparent mesh and vibrantly coloured textile on the upper blend with timeless OG features for an edgy, modernised look.</t>
  </si>
  <si>
    <t>CD0887-201</t>
  </si>
  <si>
    <t>The radiance lives on in the Nike Air Force 1 '07, the b-ball OG that puts a fresh, outdoorsy spin on what you know best: soft suedes, bold colours and the perfect amount of flash to make you shine.</t>
  </si>
  <si>
    <t>Kyrie 6 AS EP</t>
  </si>
  <si>
    <t>CD5028-900</t>
  </si>
  <si>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</si>
  <si>
    <t>AJ6900-102</t>
  </si>
  <si>
    <t>Be bouncy and buoyant in the Nike Air VaporMax Flyknit 3. The upper features flowing 2-tone lines of breathable, stretchable Flyknit construction for unique, street-ready style. Revolutionary VaporMax technology keeps a spring in your step with toe-to-heel cushioning.</t>
  </si>
  <si>
    <t>CI9842-500</t>
  </si>
  <si>
    <t>Designed with every woman in mind, the mixed-material upper features a plush collar, flashy colours and unique stitching patterns. Nike Air cushioning combines with the lifted foam heel for a modern touch, adding comfort and style to your journey.</t>
  </si>
  <si>
    <t>Nike Air Force 1 Shadow</t>
  </si>
  <si>
    <t>CI0919-100</t>
  </si>
  <si>
    <t>The Nike Air Force 1 Shadow pays homage to the women who are setting an example for the next generation by being forces of change in their community. This sneaker reflects this ethos in its design with double the Swoosh, double the height and double the force.</t>
  </si>
  <si>
    <t>CK7200-800</t>
  </si>
  <si>
    <t>Add comfort and style to your journey. Designed with women in mind, the Nike Air Max Verona has a mixed material upper, plush collar, flashy colours and an intricately stitched Swoosh logo. Nike Air cushioning combines with a lifted foam heel for a modern touch.</t>
  </si>
  <si>
    <t>Nike Air Tailwind 79</t>
  </si>
  <si>
    <t>487754-303</t>
  </si>
  <si>
    <t>Making its debut in 1978 for the Honolulu Marathon, the Nike Air Tailwind was a revolution in cushioning. Now, a racing icon returns with the Nike Air Tailwind 79, featuring nearly original materials and colours, plus the Nike Air unit that made it a winner.</t>
  </si>
  <si>
    <t>Nike TiempoX Lunar Legend VII Pro TF</t>
  </si>
  <si>
    <t>AH7249-118</t>
  </si>
  <si>
    <t>The Nike TiempoX Lunar Legend VII Pro Turf Football Boot features lightweight foam cushioning and a premium leather construction for a flexible fit and dominating touch when playing on turf pitches.</t>
  </si>
  <si>
    <t>Nike Air Max Plus III</t>
  </si>
  <si>
    <t>CJ9684-001</t>
  </si>
  <si>
    <t>The Nike Air Max Plus III combines ultra-comfortable Tuned Air Technology with an energetic silhouette made famous by its predecessors. The III updates the look with TPU details fused to the upper while paying homage to the iconic colour fade.</t>
  </si>
  <si>
    <t>Nike Zoom 2K</t>
  </si>
  <si>
    <t>AO0354-108</t>
  </si>
  <si>
    <t>Inspired by running silhouettes from the early 2000s, the Nike Zoom 2K is reimagining the golden age of running sneakers. A classic Zoom bag takes it back to where it began, while the rubber wings that wrap the outsole push the design into the future.</t>
  </si>
  <si>
    <t>AT2863-100</t>
  </si>
  <si>
    <t>Nike Kawa Shower</t>
  </si>
  <si>
    <t>832528-001</t>
  </si>
  <si>
    <t>The Nike Kawa Shower Men's Slide is designed to help feet recover after competition. A textured Solarsoft footbed and flexible foam outsole offer lightweight comfort.</t>
  </si>
  <si>
    <t>Nike React Infinity Run Flyknit</t>
  </si>
  <si>
    <t>CD4371-001</t>
  </si>
  <si>
    <t>Air Jordan XXXIII</t>
  </si>
  <si>
    <t>AQ8830-016</t>
  </si>
  <si>
    <t>The Air Jordan XXXIII rewrites the story of an iconic basketball shoe. Its revolutionary closure system secures you for flight, while new FlightSpeed technology is tuned for optimal energy return.</t>
  </si>
  <si>
    <t>Nike Odyssey React</t>
  </si>
  <si>
    <t>AO9819-001</t>
  </si>
  <si>
    <t>The Nike Odyssey React 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too.¬†The upper of the Nike Odyssey React is built with a lightweight, breathable fabric instead of the premium Flyknit featured on the Nike Epic React.</t>
  </si>
  <si>
    <t>Nike Air Max 1 DNA Ch. 1</t>
  </si>
  <si>
    <t>AR3863-101</t>
  </si>
  <si>
    <t>The Nike Air Max 1 DNA Ch. 1 converges with fellow renegade, the Air Huarache Run. Iconic Huarache details and materials like a soft neoprene tongue combine with a TPU heel counter that nods to the original Huarache heel cage for added support.</t>
  </si>
  <si>
    <t>Nike Joyride Flyknit AW</t>
  </si>
  <si>
    <t>CI3706-100</t>
  </si>
  <si>
    <t>The Nike Joyride Run Flyknit AW is designed to help make running feel easier and give your legs a day off. Tiny foam beads underfoot contour to your foot for cushioning that stands up to your mileage.</t>
  </si>
  <si>
    <t>Nike Legend React 2</t>
  </si>
  <si>
    <t>AT1369-103</t>
  </si>
  <si>
    <t>The Nike Legend React 2 features breathable mesh in the upper and a full-length foam midsole. It's made for runners who are ready to go the distance in comfort.</t>
  </si>
  <si>
    <t>AQ1189-009</t>
  </si>
  <si>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</si>
  <si>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LeBron 7</t>
  </si>
  <si>
    <t>CU5133-600</t>
  </si>
  <si>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</si>
  <si>
    <t>CK9670-100</t>
  </si>
  <si>
    <t>The Nike Air VaporMax 360 combines 2 legends of Air: the Nike Air Max 360 and the Nike VaporMax. Featuring a full-length foam midsole and VaporMax Air unit, you'll roll through the streets in comfort with bold, early-aughts style.</t>
  </si>
  <si>
    <t>Nike Blazer Low QS Flyleather with at least 50% leather fibre</t>
  </si>
  <si>
    <t>CI5546-100</t>
  </si>
  <si>
    <t>Inspired by basketball, the Nike Blazer Low QS Flyleather features an innovative Flyleather upper for a premium look and bold graphics by artist Steven Harrington.</t>
  </si>
  <si>
    <t>Nike SB Dunk High Pro</t>
  </si>
  <si>
    <t>BQ6826-003</t>
  </si>
  <si>
    <t>The Nike SB Dunk High Pro pairs iconic Dunk style with a high-top design for a fresh look. A Zoom Air unit in the heel and a padded tongue create a comfortable fit that's made to skate.</t>
  </si>
  <si>
    <t>Nike Air Max 90 FlyEase</t>
  </si>
  <si>
    <t>CU0814-102</t>
  </si>
  <si>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</si>
  <si>
    <t>Nike M2K Tekno</t>
  </si>
  <si>
    <t>AV4789-104</t>
  </si>
  <si>
    <t>Drawing inspiration from the Monarch franchise, the Nike M2K Tekno combines real and synthetic leathers with textile for a layered look.</t>
  </si>
  <si>
    <t>Nike React Kenny 55</t>
  </si>
  <si>
    <t>CJ3312-001</t>
  </si>
  <si>
    <t>The Nike React Kenny 55 lets you rep the classic and the cutting edge at once. The lines are borrowed from OG Nike running shoes like the Internationalist, rooting you to sneaker heritage, while responsive React cushioning adds modern comfort that feels unbelievably soft. Its 2-tone marble print speaks to the duality of the real world. 1 part yin, 1 part yang. Everything in perfect balance.</t>
  </si>
  <si>
    <t>Nike Air VaporMax 2019</t>
  </si>
  <si>
    <t>AR6631-004</t>
  </si>
  <si>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</si>
  <si>
    <t>BQ6166-003</t>
  </si>
  <si>
    <t>The Nike React Element 55 Shoe borrows design lines from heritage runners like the Nike Internationalist and then places it all on Nike React technology.</t>
  </si>
  <si>
    <t>Nike Air Force 1 Low Retro</t>
  </si>
  <si>
    <t>CQ0492-001</t>
  </si>
  <si>
    <t>The legend lives on in the Nike Air Force 1 '07 Men's Shoe, a modern take on the iconic AF-1 that blends classic style and fresh details.</t>
  </si>
  <si>
    <t>NikeCourt Zoom Cage 3</t>
  </si>
  <si>
    <t>918193-700</t>
  </si>
  <si>
    <t>The NikeCourt Zoom Cage 3 offers zoned durability with a lightweight, pliable overlay that moves with you. A Zoom Air unit in the heel delivers a low-profile ride with responsive cushioning.</t>
  </si>
  <si>
    <t>Nike Air Max 90 Print</t>
  </si>
  <si>
    <t>AQ0926-001</t>
  </si>
  <si>
    <t>The Nike Air Max 90 Print Men's Shoe keeps the classic design lines of the 1990 original. It features a combination construction and rich mixture of materials and colours.</t>
  </si>
  <si>
    <t>Nike Metcon Sport</t>
  </si>
  <si>
    <t>AQ7489-008</t>
  </si>
  <si>
    <t>The Nike Metcon Sport is designed for heavy weightlifting like all Metcons, but is updated for increased agility during explosive movements and speed drills.</t>
  </si>
  <si>
    <t>Jordan Mars 270</t>
  </si>
  <si>
    <t>CD7070-009</t>
  </si>
  <si>
    <t>Drawing inspiration from four classic Air Jordans, the Jordan Mars 270 is a modern-day remix that offers a heavy dose of heritage, plus an enormous Max Air unit and springy foam for non-stop comfort.</t>
  </si>
  <si>
    <t>Nike Air Zoom Vomero 14</t>
  </si>
  <si>
    <t>AH7857-009</t>
  </si>
  <si>
    <t>The Nike Air Zoom Vomero 14 takes responsive cushioning to the next level. A full-length cushioning unit works with Nike React technology to deliver a super-snappy, smooth ride. Up top, the sleek design feels durable and supports your stride through every mile.</t>
  </si>
  <si>
    <t>CT5229-001</t>
  </si>
  <si>
    <t>The Nike Air Max 720 updates a modern marvel with iridescent materials. Nike's tallest Air bag provides the most underfoot cushioning for ultimate comfort while iridescent details give your game a lift. Has Air Max gone too far? We hope so.</t>
  </si>
  <si>
    <t>Nike Mercurial Vapor 13 Academy MDS IC</t>
  </si>
  <si>
    <t>CJ1300-401</t>
  </si>
  <si>
    <t>Dream of speed and play fast in the Nike Mercurial Vapor 13 Academy MDS IC. The soft upper wraps your foot for a second-skin fit, while the rubber outsole helps supercharge traction on the court or the street.</t>
  </si>
  <si>
    <t>Nike Zoom Fly</t>
  </si>
  <si>
    <t>880848-005</t>
  </si>
  <si>
    <t>Built with a carbon-infused nylon plate inspired by the VaporFly 4%‚Äîour most efficient marathon shoe ever‚Äîthe Nike Zoom Fly Men's Running Shoe is the perfect response to the demands of your toughest tempo runs, long runs and race days.</t>
  </si>
  <si>
    <t>Nike Zoom Fly 3</t>
  </si>
  <si>
    <t>AT8240-003</t>
  </si>
  <si>
    <t>Inspired by the Vaporfly, the Nike Zoom Fly 3 gives distance runners race-day comfort and durability. The power of a carbon-fibre plate keeps you in the running mile after mile.</t>
  </si>
  <si>
    <t>Nike Air Zoom Pegasus 35</t>
  </si>
  <si>
    <t>942851-002</t>
  </si>
  <si>
    <t>The Nike Air Zoom Pegasus 35 is built for runners at every level, whether you're a seasoned veteran or just starting out.¬†It features a breathable mesh upper with an out-turned collar for Achilles comfort. Down below, the cushioning has been updated with full-length Zoom Air for the first time ever, to deliver a smoother, more natural stride.</t>
  </si>
  <si>
    <t>Nike Air Zoom Pegasus 36 Trail</t>
  </si>
  <si>
    <t>AR5677-200</t>
  </si>
  <si>
    <t>An icon trades pavement for path with the Nike Air Zoom Pegasus 36 Trail. A perforated mesh upper adds breathability, as double Zoom Air units underfoot cushion your stride. Opposing lugs on the outsole optimise traction on your uphill climbs.</t>
  </si>
  <si>
    <t>KD13 EP</t>
  </si>
  <si>
    <t>CI9949-001</t>
  </si>
  <si>
    <t>In the game's crucial moments, KD thrives. He takes over on both ends of the court, making defenders fear his unstoppable moves and shutting down opponents with his defensive prowess. The KD13 EP helps him play at an elite level with full-length cushioning and an extra forefoot unit. This EP version is designed with an extra-durable outsole for use on outdoor courts.</t>
  </si>
  <si>
    <t>Nike Phantom Vision Club Dynamic Fit FG</t>
  </si>
  <si>
    <t>AJ6959-717</t>
  </si>
  <si>
    <t>The Nike Phantom Vision Club Dynamic Fit FG brings the fierce precision of street play to the pitch. A foot-hugging Dynamic Fit collar combines with targeted texture for precision to create a boot for the finishers, the providers and the battlers of tomorrow's game.</t>
  </si>
  <si>
    <t>Nike Air Monarch IV</t>
  </si>
  <si>
    <t>415445-102</t>
  </si>
  <si>
    <t>The Nike Air Monarch IV Lifestyle/Gym Shoe delivers lightweight cushioning and durable support with a Phylon midsole and a leather upper. Flex grooves provide natural flexibility with every step.</t>
  </si>
  <si>
    <t>Zoom Freak 1</t>
  </si>
  <si>
    <t>BQ5422-200</t>
  </si>
  <si>
    <t>Get your freak on in Giannis Antetokounmpo's debut signature shoe, Nike's first-ever for the international basketball sensation. The Zoom Freak 1 has the extra-responsive cushioning, forefoot stability and multi-directional traction needed to complement his freakishly athletic game.</t>
  </si>
  <si>
    <t>Nike Mercurial Superfly 7 Academy IC</t>
  </si>
  <si>
    <t>AT7975-606</t>
  </si>
  <si>
    <t>The soft upper of the Nike Mercurial Superfly 7 Academy IC wraps your foot for a second-skin fit, while the rubber outsole helps supercharge traction on the court or street.</t>
  </si>
  <si>
    <t>Air Jordan 1 Low</t>
  </si>
  <si>
    <t>553558-125</t>
  </si>
  <si>
    <t>Inspired by the original that debuted in 1985, the Air Jordan 1 Low offers a clean, classic look that's familiar yet always fresh. It's made for casual mode, with an iconic design that goes with everything and never goes out of style.</t>
  </si>
  <si>
    <t>Nike Air Max 95 Print</t>
  </si>
  <si>
    <t>AQ0925-002</t>
  </si>
  <si>
    <t>The Nike Air Max 95 made its mark as the first shoe to include visible Nike Air cushioning in the forefoot. The Nike Air Max 95 Print Men's Shoe energises the iconic design with updated materials in a variety of colours and textures.</t>
  </si>
  <si>
    <t>Nike P-6000</t>
  </si>
  <si>
    <t>CD6404-800</t>
  </si>
  <si>
    <t>The Nike P-6000 draws on the 2006 Nike Air Pegasus, bringing you a mash-up of iconic style that's breathable, comfortable and evocative of that early-2000s vibe.</t>
  </si>
  <si>
    <t>Nike Mercurial Vapor 13 Elite FG</t>
  </si>
  <si>
    <t>AQ4176-049</t>
  </si>
  <si>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</si>
  <si>
    <t>Nike SB Adversary Premium</t>
  </si>
  <si>
    <t>CT3632-001</t>
  </si>
  <si>
    <t>The basics get a lift in the Nike SB Adversary Premium. Soft suede and grippy rubber deliver a durable design built to skate. A vibrant print inspired by UV posters creates a look that pops.</t>
  </si>
  <si>
    <t>CK2718-003</t>
  </si>
  <si>
    <t>Featuring a full-length foam midsole and VaporMax Air unit, the Nike Air VaporMax 360 gives you remarkable underfoot comfort with bold 2000s style inspired by the Air Max 360.</t>
  </si>
  <si>
    <t>AO2924-401</t>
  </si>
  <si>
    <t>The Nike Air Max 720 goes bigger than ever before with Nike's tallest Air unit yet, offering more air underfoot for unprecedented, all-day comfort. Has Air Max gone too far? We hope so.</t>
  </si>
  <si>
    <t>Nike Zoom KD12</t>
  </si>
  <si>
    <t>AR4229-003</t>
  </si>
  <si>
    <t>Kevin Durant always looks relaxed‚Äîuntil he attacks. His game is reserved yet explosive, difficult to guard and impossible to stop. The KD12 was built for his dominance and endless energy all game long, with the latest innovation in Nike Zoom Air technology.</t>
  </si>
  <si>
    <t>Nike Free X Metcon 2</t>
  </si>
  <si>
    <t>AQ8306-407</t>
  </si>
  <si>
    <t>The Nike Free X Metcon will take you from a short run to your gym workout. Superior breathability and comfort combined with durability and response make this stable trainer perfect for even the most ambitious of fitness goals.</t>
  </si>
  <si>
    <t>CD0881-104</t>
  </si>
  <si>
    <t>Air Jordan 4 Retro SE</t>
  </si>
  <si>
    <t>CT5342-007</t>
  </si>
  <si>
    <t>As fresh as its first release, the Air Jordan 4 Retro remakes Michael Jordan's 4th signature shoe for today's streetwear savants. Suede and textile materials provide lightweight durability and support, while Nike Air cushioning offers comfort with every step.</t>
  </si>
  <si>
    <t>Nike Air Max 95 Essential</t>
  </si>
  <si>
    <t>CI3705-600</t>
  </si>
  <si>
    <t>The Nike Air Max 95 Essential takes design cues from the human body. The midsole represents the spine, graduated panels are the muscles, the lace loops are the shoe's ribs and the mesh upper is the skin.</t>
  </si>
  <si>
    <t>Nike SB Zoom Stefan Janoski Canvas RM Premium</t>
  </si>
  <si>
    <t>AQ7878-003</t>
  </si>
  <si>
    <t>The Nike SB Zoom Stefan Janoski Canvas RM Premium pairs a minimal look with a modern fit. It has been updated with a new, plush sockliner and a flexible outsole for better boardfeel right out of the box.</t>
  </si>
  <si>
    <t>Nike Phantom Venom Academy IC</t>
  </si>
  <si>
    <t>AO0570-810</t>
  </si>
  <si>
    <t>The Nike Phantom Venom Academy IC is engineered for powerful, precise strikes that win games. Ridges on the instep create spin to control the flight of the ball, while the herringbone outsole provides the traction needed to unleash at any moment.</t>
  </si>
  <si>
    <t>CT5528-001</t>
  </si>
  <si>
    <t>The Nike Air Max 270 React takes comfort to the next level by adding Nike React foam to the eye-catching Max Air unit in the heel. A camo print adds a fresh look to this streetwear staple.</t>
  </si>
  <si>
    <t>Nike Zoom Rival Fly</t>
  </si>
  <si>
    <t>CD7288-001</t>
  </si>
  <si>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</si>
  <si>
    <t>Nike Mercurial Superfly 7 Academy MDS TF</t>
  </si>
  <si>
    <t>BQ5435-703</t>
  </si>
  <si>
    <t>Dream of speed and play fast in the Nike Mercurial Superfly 7 Academy MDS TF. The soft upper wraps your foot for a second-skin fit, while the rubber sole helps supercharge traction on turf.</t>
  </si>
  <si>
    <t>Nike Pegasus 36 FlyEase (Extra Wide)</t>
  </si>
  <si>
    <t>BV0612-001</t>
  </si>
  <si>
    <t>The Nike Air Zoom Pegasus 36 FlyEase (Extra-Wide) maintains everything you love about the Pegasus and adds a zip for effortless on and off. The no-tie lacing system adjusts easily for a secure feel as you tackle your miles.</t>
  </si>
  <si>
    <t>Nike ISPA Air Max 720</t>
  </si>
  <si>
    <t>CD2182-001</t>
  </si>
  <si>
    <t>Utilising the latest innovations and Nike's ISPA project‚Äîwhich touts a philosophy of improvise, scavenge, protect and adapt‚Äîthe Nike ISPA Air Max 720 delivers smooth cushioning. It features an extra-large air unit, providing support along with innovative details inspired by modern life in the city.</t>
  </si>
  <si>
    <t>Air Jordan OG</t>
  </si>
  <si>
    <t>133000-106</t>
  </si>
  <si>
    <t>First released in '98, the Air Jordan OG was designed for the women's basketball community who wanted an AJ all of their own. The original Air Jordan for women has dimpled leather and midsole sculpting inspired by the AJ13.</t>
  </si>
  <si>
    <t>CJ0579-400</t>
  </si>
  <si>
    <t>Refresh your step in the Nike Air Max 270 React ENG. Featuring the same details as the OG, it offers sleeker lines and radiating TPU fingers that illuminate your fresh style. Lightweight, no-sew materials create a modern aesthetic that looks as good as it feels.</t>
  </si>
  <si>
    <t>Nike Epic Phantom React Flyknit</t>
  </si>
  <si>
    <t>BV0417-401</t>
  </si>
  <si>
    <t>Soft to the touch, the Nike Epic Phantom React Flyknit is lace-free for a slip-on style that gets you up and running in no time. A snug, secure, sock-like fit within a breathable Flyknit upper feels as though the Phantom "disappears" as you run.</t>
  </si>
  <si>
    <t>AQ2203-003</t>
  </si>
  <si>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</si>
  <si>
    <t>Jordan Aerospace 720</t>
  </si>
  <si>
    <t>BV5502-600</t>
  </si>
  <si>
    <t>With more Air underfoot, the Jordan Aerospace 720 delivers next-generation comfort with signature Jordan heritage.</t>
  </si>
  <si>
    <t>CD7005-001</t>
  </si>
  <si>
    <t>Featuring the same Tuned Air technology that originally put it in the sneaker history books, the Nike Air Max Plus III updates the look with TPU fused to the upper while paying homage to the iconic colour fade.</t>
  </si>
  <si>
    <t>Jordan Hydro 8</t>
  </si>
  <si>
    <t>CD2803-001</t>
  </si>
  <si>
    <t>Made for athletes to relax in pre- and post-matches, the Jordan Hydro 8 works as an everyday, anytime slide. It offers the plush cushioning of a Solarsoft foam footbed and an adjustable strap.</t>
  </si>
  <si>
    <t>Nike x Undercover React</t>
  </si>
  <si>
    <t>CJ6971-001</t>
  </si>
  <si>
    <t>Jun Takahashi's vision of chaos and balance comes to life in the modern age. The Nike x Undercover React pairs a classic welly with several technologies to create a shoe unlike any other.</t>
  </si>
  <si>
    <t>Nike Air Max 90/1</t>
  </si>
  <si>
    <t>AJ7695-100</t>
  </si>
  <si>
    <t>Featuring lightweight cushioning, the Nike Air Max 90/1 Men's Shoe updates the classic design lines of the 1990 original with modern details while maintaining the signature look.</t>
  </si>
  <si>
    <t>640744-016</t>
  </si>
  <si>
    <t>The Air Max 98 rode the wave of its legendary predecessor, debuting with full-length visible Air and fluid design lines. Now it returns, sporting the same signature look and a new run of colours.</t>
  </si>
  <si>
    <t>Nike Air Max 200</t>
  </si>
  <si>
    <t>AQ2568-100</t>
  </si>
  <si>
    <t>With exceptional cushioning and modern detailing, the Nike Air Max 200 radiates cool while providing extreme comfort. Its design is inspired by patterns of energy radiating from the earth‚Äîlike the flow of lava and the ocean's rhythmic waves.</t>
  </si>
  <si>
    <t>CT2007-100</t>
  </si>
  <si>
    <t>The Nike Air Max 90 honours the OG with a revamped design that replicates the initial 1990 release. A "clean slate" colourway celebrates the shoe's 30th anniversary with the iconic Waffle sole.</t>
  </si>
  <si>
    <t>CI3866-100</t>
  </si>
  <si>
    <t>The eye-catching Max Air unit and full Nike React foam midsole deliver unrivalled, all-day comfort. It's soft, minimal collar contours to the heel for an amazing fit.</t>
  </si>
  <si>
    <t>Nike Air Max 1 Premium</t>
  </si>
  <si>
    <t>CU8861-460</t>
  </si>
  <si>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</si>
  <si>
    <t>Nike Tiempo Legend 8 Club MG</t>
  </si>
  <si>
    <t>AT6107-606</t>
  </si>
  <si>
    <t>The Nike Tiempo Legend 8 Club MG takes the touch of textured synthetic leather and adds a versatile multi-ground plate for traction on natural- and artificial-grass surfaces.</t>
  </si>
  <si>
    <t>Nike Air Zoom Terra Kiger 6</t>
  </si>
  <si>
    <t>CJ0219-400</t>
  </si>
  <si>
    <t>The Nike Air Zoom Terra Kiger 6 is built to take on wet and rocky trails. Lightweight in design, it features a sleeker look with a woven heel for a secure fit and feel.</t>
  </si>
  <si>
    <t>Nike Air Max 97 Utility</t>
  </si>
  <si>
    <t>BQ5615-002</t>
  </si>
  <si>
    <t>The Nike Air Max 97 Utility puts a cold-weather spin on a classic style. Synthetic panels, engineered rubber and reflective design touches let you feel secure when hitting the streets.</t>
  </si>
  <si>
    <t>Jordan Jumpman 2020 PF</t>
  </si>
  <si>
    <t>BQ3448-400</t>
  </si>
  <si>
    <t>The Jordan Jumpman 2020 PF delivers lightweight support for dynamic play on the court. A textile upper and secure midfoot webbing keep you moving freely during possessions.</t>
  </si>
  <si>
    <t>Nike ACG React Terra Gobe</t>
  </si>
  <si>
    <t>BV6344-001</t>
  </si>
  <si>
    <t>The Nike ACG React Terra Gobe combines rugged durability with ACG style to get you where you need to go in comfort. The textile and synthetic upper is breathable and durable, and Nike React technology in the midsole provides an extremely smooth and comfortable ride.</t>
  </si>
  <si>
    <t>Nike Air Max 90 SP</t>
  </si>
  <si>
    <t>CQ6639-001</t>
  </si>
  <si>
    <t>The Nike Air Max 90 stays true to its OG roots with the iconic Waffle outsole, stitched overlays and classic TPU accents. Fresh colours give a modern look while Max Air cushioning adds comfort to your journey.</t>
  </si>
  <si>
    <t>AO2132-401</t>
  </si>
  <si>
    <t>Hoops in the park, Sunday BBQs and sunshine. The radiance lives on in the Nike Air Force 1 '07 Essential, the b-ball OG that puts a fresh spin on what you know best: crisp leather, bold colours and the perfect amount of flash to make you shine.</t>
  </si>
  <si>
    <t>Nike Joyride Dual Run</t>
  </si>
  <si>
    <t>CD4363-103</t>
  </si>
  <si>
    <t>The Nike Joyride Dual Run is designed to help make running feel easier and give your legs a day off. Tiny foam beads underfoot contour to your foot for cushioning that stands up to your mileage.</t>
  </si>
  <si>
    <t>Jordan Proto-React Z</t>
  </si>
  <si>
    <t>CI3794-600</t>
  </si>
  <si>
    <t>Inspired by spacesuits, the Jordan Proto-React Z has a futuristic look with a fit and feel made for all-day wear. Responsive cushioning gives you more bounce with less weight, while an aeronautics-inspired shroud and snug bootie help keep you strapped in.</t>
  </si>
  <si>
    <t>Nike Air Max 270 React LX</t>
  </si>
  <si>
    <t>CK4126-001</t>
  </si>
  <si>
    <t>The Nike Air Max 270 React LX dresses up a forever-fresh sneaker. The elevated upper rests on Nike's first lifestyle Air unit and the softest, smoothest and most resilient foam yet for an incomparable ride.</t>
  </si>
  <si>
    <t>Nike AF-1 Shadow SE</t>
  </si>
  <si>
    <t>CQ3317-001</t>
  </si>
  <si>
    <t>A fun, playful twist on a classic design, the Nike Air Force 1 Shadow has a layered upper, repeated graphics and an exaggerated midsole that will make them think they're seeing double.</t>
  </si>
  <si>
    <t>NikeCourt Air Zoom Vapor X</t>
  </si>
  <si>
    <t>AA8030-108</t>
  </si>
  <si>
    <t>The NikeCourt Air Zoom Vapor X has an updated Dynamic Fit system with a full-length foot frame to provide ultimate lateral control. Its new generative outsole combined with a Zoom Air unit provides a lightweight, responsive feel on the court.</t>
  </si>
  <si>
    <t>Nike Bella Kai</t>
  </si>
  <si>
    <t>AO3622-006</t>
  </si>
  <si>
    <t>The Nike Bella Kai Flip Flop delivers the underfoot comfort of dual-density foam in a casual flip flop, ideal for all-day wear in warm weather. Soft, lined straps provide a secure fit, while the herringbone texture on the footbed and outsole add grip instead of slip.</t>
  </si>
  <si>
    <t>Nike Mercurial Vapor 13 Club Neymar Jr. MG</t>
  </si>
  <si>
    <t>AT7967-104</t>
  </si>
  <si>
    <t>The Nike Mercurial Vapor 13 Club Neymar Jr. MG wraps your foot for streamlined speed. A versatile multi-ground plate provides traction on natural- and artificial-grass surfaces.</t>
  </si>
  <si>
    <t>Nike Benassi</t>
  </si>
  <si>
    <t>343881-412</t>
  </si>
  <si>
    <t>The Nike Benassi Women's Slide features a lined upper with a bold logo for plush comfort and an athletic look. A foam midsole and outsole provide lightweight impact protection.</t>
  </si>
  <si>
    <t>Nike Air Max Dia Icon Clash</t>
  </si>
  <si>
    <t>AQ4312-107</t>
  </si>
  <si>
    <t>The Nike Air Max Dia Icon Clash delivers a lifted look and airy aesthetic in a sleek shape. The minimal upper modernises the look, while a Max Air unit, surrounded by clear TPU, is amplified even further by an exaggerated midsole for a boost of style.</t>
  </si>
  <si>
    <t>LeBron Witness 4 EP</t>
  </si>
  <si>
    <t>CD0188-101</t>
  </si>
  <si>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</si>
  <si>
    <t>Nike Air Zoom Winflo 5</t>
  </si>
  <si>
    <t>AA7406-006</t>
  </si>
  <si>
    <t>The Nike Air Zoom Winflo 5 Men's Running Shoe provides a responsive ride and durable, multi-surface traction underfoot. Up top, engineered mesh delivers support and breathability where you need them, while an inner sleeve gives you a comfortable, sock-like fit as you hit your stride.</t>
  </si>
  <si>
    <t>CD0917-300</t>
  </si>
  <si>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</si>
  <si>
    <t>PG 3 NASA</t>
  </si>
  <si>
    <t>CI2666-400</t>
  </si>
  <si>
    <t>Paul George's moon shot took him from Palmdale to basketball stardom, and now he's heading to new heights. This space-themed version of the PG 3 offers sensational traction, springy responsiveness and lightweight containment for seamless moves between offence and defence.</t>
  </si>
  <si>
    <t>Nike React Sertu</t>
  </si>
  <si>
    <t>AT5301-003</t>
  </si>
  <si>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</si>
  <si>
    <t>CD2153-001</t>
  </si>
  <si>
    <t>The Nike React Element 55 SE borrows design lines from heritage runners like the Nike Internationalist, adds premium details and places it all on Nike React technology.</t>
  </si>
  <si>
    <t>Nike SB Zoom Stefan Janoski Mid RM</t>
  </si>
  <si>
    <t>AT7324-001</t>
  </si>
  <si>
    <t>The Nike SB Zoom Stefan Janoski Mid RM pairs a minimal look with a modern fit. It has been updated with a new, plush sockliner and a flexible midsole for better boardfeel right out of the box.</t>
  </si>
  <si>
    <t>Nike Zoom Rival Fly 2</t>
  </si>
  <si>
    <t>CJ0710-004</t>
  </si>
  <si>
    <t>The Nike Zoom Rival Fly features a futuristic look with cushioning in the forefoot that gives you a responsive feel. Flex grooves underneath optimise toe-off and soft foam cushions your stride.</t>
  </si>
  <si>
    <t>Nike Precision 4</t>
  </si>
  <si>
    <t>CK1069-001</t>
  </si>
  <si>
    <t>The quicker players are in and out of cuts, the easier it is to keep the defence off balance. The Nike Precision 4 combines a racer look with a low-profile design, so you can make the most of your speed and agility during games.</t>
  </si>
  <si>
    <t>Nike Renew Run Special Edition</t>
  </si>
  <si>
    <t>CT3509-001</t>
  </si>
  <si>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</si>
  <si>
    <t>Kyrie Flytrap 3 EP</t>
  </si>
  <si>
    <t>CD0191-009</t>
  </si>
  <si>
    <t>Built for Kyrie Irving's incomparably quick game, the Kyrie Flytrap 3 EP combines full-foot support and containment, responsive cushioning and an aggressive outsole that's contoured for seamless movement through impossibly tight lanes.</t>
  </si>
  <si>
    <t>Nike Air Max Alpha Savage</t>
  </si>
  <si>
    <t>AT3378-471</t>
  </si>
  <si>
    <t>The Nike Air Max Alpha Savage invokes Air Max style, stability and comfort in a modern design. Webbing integrates with the laces for midfoot containment, while Max Air cushioning delivers responsive comfort during your most intense workouts.</t>
  </si>
  <si>
    <t>Jordan Max 200</t>
  </si>
  <si>
    <t>CD6105-007</t>
  </si>
  <si>
    <t>With design elements inspired by the Air Jordan 4, the Jordan Max 200 brings a new level of Air to Jordan, for details anchored in legacy and comfort made for the future.</t>
  </si>
  <si>
    <t>Nike React Vision</t>
  </si>
  <si>
    <t>CD4373-001</t>
  </si>
  <si>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</si>
  <si>
    <t>Nike Phantom Vision 2 Club Dynamic Fit TF</t>
  </si>
  <si>
    <t>CD4173-606</t>
  </si>
  <si>
    <t>The Nike Phantom Vision 2 Club Dynamic Fit TF provides precise touch to win. A foot-hugging inner sleeve combines with a textured synthetic leather outer layer to create a boot for the finishers, the providers and the battlers of tomorrow's game.</t>
  </si>
  <si>
    <t>Jordan Trunner NXT React</t>
  </si>
  <si>
    <t>AV1201-600</t>
  </si>
  <si>
    <t>Ready for the toughest workouts, the Jordan Trunner NXT features incredibly responsive cushioning and a breathable, lightweight upper.</t>
  </si>
  <si>
    <t>Kyrie Low 2</t>
  </si>
  <si>
    <t>AV6337-003</t>
  </si>
  <si>
    <t>Kyrie's ability to make quick, sharp cuts while handling the ball gives his game an unrivalled edge. Loaded with responsive cushioning, the Kyrie Low 2 features a curved outsole and traction that wraps up the sides, ideal for quick players who continually work the angles to break down the defence.</t>
  </si>
  <si>
    <t>CN6928-300</t>
  </si>
  <si>
    <t>The Nike Zoom Pegasus Turbo 2 Hakone is updated with a feather-light upper, while energy-returning foam brings revolutionary responsiveness to your long distance training.</t>
  </si>
  <si>
    <t>CD4372-004</t>
  </si>
  <si>
    <t>Nike Tiempo Legend 8 Academy MG</t>
  </si>
  <si>
    <t>AT5292-606</t>
  </si>
  <si>
    <t>The Nike Tiempo Legend 8 Academy MG takes the legendary touch of calfskin leather and adds a versatile multi-ground plate for traction on natural- and artificial-grass surfaces.</t>
  </si>
  <si>
    <t>Kyrie 5</t>
  </si>
  <si>
    <t>AQ2456-007</t>
  </si>
  <si>
    <t>Responsive and supportive, the Kyrie 5 is made with a soft midsole for responsive cushioning and a curved outsole for multi-directional traction.</t>
  </si>
  <si>
    <t>Nike Flex 2020 RN</t>
  </si>
  <si>
    <t>CJ0217-001</t>
  </si>
  <si>
    <t>The Nike Flex 2020 RN features a mesh upper for an adaptive fit that helps lock you in for your route. Ideal for short runs, it keeps your foot cushioned and comfortable.</t>
  </si>
  <si>
    <t>315122-001</t>
  </si>
  <si>
    <t>Hoops in the park, Sunday BBQs and sunshine. The radiance lives on in the Nike Air Force 1 '07, the b-ball OG that puts a fresh spin on what you know best: crisp leather in an all-black colourway for a statement look on and off the court.</t>
  </si>
  <si>
    <t>Nike SB Chron Solarsoft Premium</t>
  </si>
  <si>
    <t>CK0980-002</t>
  </si>
  <si>
    <t>The Nike SB Chron Solarsoft Premium makes a statement with a fresh print. You'll get the same flexible comfort you love with a touch of something extra.</t>
  </si>
  <si>
    <t>LeBron Soldier 13 SFG</t>
  </si>
  <si>
    <t>AR4225-003</t>
  </si>
  <si>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</si>
  <si>
    <t>NikeCourt Air Max Vapor Wing Premium</t>
  </si>
  <si>
    <t>CT3890-101</t>
  </si>
  <si>
    <t>The NikeCourt Air Max Vapor Wing Premium is the perfect pairing of style and comfort. Soft leather elevates your look, while a visible Max Air unit cushions every step.</t>
  </si>
  <si>
    <t>Nike Mercurial Vapor 13 Club TF</t>
  </si>
  <si>
    <t>AT7999-414</t>
  </si>
  <si>
    <t>The Nike Mercurial Vapor 13 Club TF is built for high-speed play. A synthetic upper wraps your foot for streamlined speed, while rubber studs give you the traction you need on artificial-turf surfaces.</t>
  </si>
  <si>
    <t>Nike Phantom Vision 2 Elite Dynamic Fit FG</t>
  </si>
  <si>
    <t>CD4161-606</t>
  </si>
  <si>
    <t>The Nike Phantom Vision 2 Elite Dynamic Fit FG brings a new level of fierce precision to the field. A foot-hugging inner sleeve is concealed in a textured Flyknit outer layer to create a boot for the finishers, the providers and the battlers of tomorrow's game.</t>
  </si>
  <si>
    <t>Nike Air Skarn</t>
  </si>
  <si>
    <t>CD2189-002</t>
  </si>
  <si>
    <t>Hiking shoes don't need to be big and bulky, and the Nike Air Skarn proves it. Originally launched in 1997, this reintroduction of a classic is lightweight, comfortable and tougher than it looks.</t>
  </si>
  <si>
    <t>Nike Air Max 270 SE</t>
  </si>
  <si>
    <t>CD6615-100</t>
  </si>
  <si>
    <t>The Nike Air Max 270 SE is inspired by 2 icons of Air: the Air Max 180 and the Air Max 93. It features Nike's biggest heel Air unit yet for a super-soft ride that feels as comfortable as it looks.</t>
  </si>
  <si>
    <t>Nike Zoom KD11 EP</t>
  </si>
  <si>
    <t>AO2605-600</t>
  </si>
  <si>
    <t>Kevin Durant is one of the most versatile and unpredictable players in the NBA. There's almost nothing he can't do‚Äîand his Nike Zoom KD11 EP Basketball Shoe is designed to keep up. It has an all-new cushioning combination and a light yet strong Flyknit upper to help keep him going, day in and day out.</t>
  </si>
  <si>
    <t>Nike SB Blazer Low XT</t>
  </si>
  <si>
    <t>864348-019</t>
  </si>
  <si>
    <t>The Nike SB Blazer Low XT Men's Skateboarding Shoe retools the classic profile for extra-tough sessions, adding lightweight impact protection.</t>
  </si>
  <si>
    <t>Nike Air Max 720 Horizon</t>
  </si>
  <si>
    <t>BQ5808-100</t>
  </si>
  <si>
    <t>The aggressive traction pattern on the Nike Air Max 720 Horizon helps provide grip in wet conditions, while lightweight cushioning and an inner sleeve help keep you comfortable.</t>
  </si>
  <si>
    <t>Nike React Metcon AMP</t>
  </si>
  <si>
    <t>CN5501-046</t>
  </si>
  <si>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</si>
  <si>
    <t>Nike Huarache Type</t>
  </si>
  <si>
    <t>BQ5102-400</t>
  </si>
  <si>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</si>
  <si>
    <t>Nike Air Max 95 Premium</t>
  </si>
  <si>
    <t>CJ0588-001</t>
  </si>
  <si>
    <t>Taking inspiration from the human body and running DNA, the Nike Air Max 95 Premium mixes unbelievable comfort with head-turning style. The iconic side panels represent muscles and feature bold, contrasting colours. Visible Nike Air in the heel and forefoot cushions your every step.</t>
  </si>
  <si>
    <t>Nike Free RN 5.0</t>
  </si>
  <si>
    <t>BV7774-100</t>
  </si>
  <si>
    <t>An ideal performer for runs up to 3 miles, the Nike Free RN 5.0 returns to its roots as a motion shoe. A stripped-down upper with single-layer mesh provides stretch, while the lightweight midsole with less foam makes it easy to hit the ground running.</t>
  </si>
  <si>
    <t>Nike Zoom Vomero 5 SE SP</t>
  </si>
  <si>
    <t>CI1694-300</t>
  </si>
  <si>
    <t>The Nike Zoom Vomero 5 SE SP wraps your foot in breathable support. A combination of durable synthetic leather and breathable mesh stands ready for the rigours of your day. Soft foam and Zoom Air cushioning deliver lightweight comfort for a smooth ride.</t>
  </si>
  <si>
    <t>Nike Benassi JDI</t>
  </si>
  <si>
    <t>631261-035</t>
  </si>
  <si>
    <t>The Nike Benassi JDI Slide features a soft foam midsole and plush, jersey fabric lining the strap. Its heritage logo adds the perfect amount of flash.</t>
  </si>
  <si>
    <t>Kyrie 6 'Enlightenment'</t>
  </si>
  <si>
    <t>BQ4630-500</t>
  </si>
  <si>
    <t>In spiritual circles, the colour purple represents enlightenment. It speaks to being fully connected to your spiritual mind by tapping into an inner source of potential that was otherwise undiscovered. The Kyrie 6 'Enlightenment' plays up the unseen spirituality theme with an all-seeing eye graphic on the side of the upper and a purple colour scheme.</t>
  </si>
  <si>
    <t>Nike Tiempo Legend 8 Academy IC</t>
  </si>
  <si>
    <t>AT6099-606</t>
  </si>
  <si>
    <t>The Nike Tiempo Legend 8 Academy IC takes the legendary touch of calfskin leather and adds cushioning that equips you for the court or the streets. A mesh tongue and collar lining add breathability and street style.</t>
  </si>
  <si>
    <t>Nike Mercurial Vapor 13 Academy MG</t>
  </si>
  <si>
    <t>AT5269-606</t>
  </si>
  <si>
    <t>Building on the forefoot plate innovation of the 12, the Nike Mercurial Vapor 13 Academy Boot adds a versatile multi-ground plate that provides traction on natural- and artificial-grass surfaces.</t>
  </si>
  <si>
    <t>Nike React Presto Premium</t>
  </si>
  <si>
    <t>CN7664-800</t>
  </si>
  <si>
    <t>The Nike React Presto Premium features an innovative React foam midsole that delivers a futuristic look and bouncy, lightweight feel for all-day comfort with a whole lot of personality.</t>
  </si>
  <si>
    <t>Zoom Freak 1 'Employee of the Month'</t>
  </si>
  <si>
    <t>CD4962-001</t>
  </si>
  <si>
    <t>Get your freak on in Giannis Antetokounmpo's debut signature shoe, Nike's first ever for the international basketball sensation. The Zoom Freak 1 has the extra-responsive cushioning, forefoot lockdown and multi-directional traction needed to complement his freakishly athletic game.</t>
  </si>
  <si>
    <t>Nike ZoomX Vaporfly NEXT%</t>
  </si>
  <si>
    <t>AO4568-600</t>
  </si>
  <si>
    <t>The Nike ZoomX Vaporfly NEXT% clears your path to record-breaking speed with a lighter design and faster feel than before. With more cushioning underfoot and reduced weight up top, the result is unprecedented energy return and comfort.</t>
  </si>
  <si>
    <t>Nike SB Check</t>
  </si>
  <si>
    <t>705265-006</t>
  </si>
  <si>
    <t>Crafted from soft suede, the Nike SB Check is reinforced in key areas for the durability you need to skate all day long.</t>
  </si>
  <si>
    <t>CJ0266-001</t>
  </si>
  <si>
    <t>Nike Air Zoom Structure 22</t>
  </si>
  <si>
    <t>AA1636-406</t>
  </si>
  <si>
    <t>The Nike Air Zoom Structure 22 Men's Running Shoe looks fast and feels secure. Engineered mesh, a heel overlay and dynamic support throughout the midfoot all work together to provide a smooth, stable ride.</t>
  </si>
  <si>
    <t>Nike Drop-Type Mid</t>
  </si>
  <si>
    <t>BQ5190-101</t>
  </si>
  <si>
    <t>Part of the N354 family that nods to Steve Prefontaine's fastest mile, the Nike Drop-Type Mid is inspired by classic tennis shoes in the NikeCourt family. With distinct design lines that borrow from the All Court 2, it puts a raw, experimental edge on an iconic look.</t>
  </si>
  <si>
    <t>Nike iSPA React</t>
  </si>
  <si>
    <t>CT2692-002</t>
  </si>
  <si>
    <t>Utilising the latest innovations and Nike's new iSPA project‚Äîwhich touts a philosophy of improvise, scavenge, protect and adapt‚Äîthe Nike iSPA React takes experimental expression and runs with it. Its low-top design features a tape-like upper nodding to the power of improvisation in the face of adversity.</t>
  </si>
  <si>
    <t>Nike PhantomVNM Club FG</t>
  </si>
  <si>
    <t>AO0577-717</t>
  </si>
  <si>
    <t>The Nike PhantomVNM Club FG is engineered for powerful, precise strikes that win games. A microtexture on the soft synthetic upper provides ball control, while the firm-ground plate provides the traction needed to unleash at any moment.</t>
  </si>
  <si>
    <t>CU3005-171</t>
  </si>
  <si>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</si>
  <si>
    <t>NikeCourt Air Zoom Zero</t>
  </si>
  <si>
    <t>AA8018-101</t>
  </si>
  <si>
    <t>Featuring the first full-length Zoom Air unit in NikeCourt history, the NikeCourt Air Zoom Zero delivers exceptional responsiveness and great court feel. Its snug-fitting upper and webbed lacing system offer second-skin-like comfort and lockdown.</t>
  </si>
  <si>
    <t>Nike Air Force Max II</t>
  </si>
  <si>
    <t>AV6243-400</t>
  </si>
  <si>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</si>
  <si>
    <t>CT2535-001</t>
  </si>
  <si>
    <t>The Nike Air Max 270 React takes comfort to the next level by adding Nike React foam to the eye-catching Max Air unit in the heel. Transparent overlays in the upper create a futuristic look that's both durable and supportive.</t>
  </si>
  <si>
    <t>Nike Mercurial Superfly 7 Academy MDS IC</t>
  </si>
  <si>
    <t>BQ5430-401</t>
  </si>
  <si>
    <t>Dream of speed and play fast in the Nike Mercurial Superfly 7 Academy MDS IC. The soft upper wraps your foot for a second-skin fit, while the rubber sole helps supercharge traction on the court or the street.</t>
  </si>
  <si>
    <t>Nike Air Max 1 Print</t>
  </si>
  <si>
    <t>AQ0927-100</t>
  </si>
  <si>
    <t>The Nike Air Max 1 gave the world its first glimpse of Nike Air cushioning back in 1987. This edition, the Nike Air Max 1 Print Men's Shoe, elevates the classic design with new accents, colours and materials.</t>
  </si>
  <si>
    <t>Nike Air Max 97 SE</t>
  </si>
  <si>
    <t>AQ4126-100</t>
  </si>
  <si>
    <t>The Nike Air Max 97 shook up the running world with its revolutionary full-length Nike Air unit. The Nike Air Max 97 SE Men's Shoe refreshes the original design with new colours and materials.</t>
  </si>
  <si>
    <t>NikeCourt Air Zoom Resistance</t>
  </si>
  <si>
    <t>918194-003</t>
  </si>
  <si>
    <t>The NikeCourt Air Zoom Resistance delivers lightweight durability on the hard court with a performance leather upper.</t>
  </si>
  <si>
    <t>Nike Phantom Venom Club IC</t>
  </si>
  <si>
    <t>AO0578-717</t>
  </si>
  <si>
    <t>The Nike Phantom Venom Club IC is engineered for powerful, precise strikes that win games. A microtexture on the soft synthetic upper helps provide control, while the rubber sole gives you the traction needed to unleash at any moment.</t>
  </si>
  <si>
    <t>Nike Benassi JDI SE</t>
  </si>
  <si>
    <t>CK0986-002</t>
  </si>
  <si>
    <t>The Nike Benassi JDI SE Slide is crafted for all-day comfort with a textile strap and lightweight cushioning.</t>
  </si>
  <si>
    <t>Nike Mercurial Superfly 7 Elite MDS FG</t>
  </si>
  <si>
    <t>BQ5469-703</t>
  </si>
  <si>
    <t>Dream of speed and play fast in the Nike Mercurial Superfly 7 Elite MDS FG. A streamlined upper combines with a Nike Aerowtrac zone for high-speed play and supercharged traction.</t>
  </si>
  <si>
    <t>CT5063-100</t>
  </si>
  <si>
    <t>Featuring a full-length foam midsole and VaporMax Air unit, the Nike Air VaporMax 360 gives you a comfy ride with bold '90s style. Iridescent accents on the upper are combined with small Air Pod details for a fresh look with just enough flash.</t>
  </si>
  <si>
    <t>Nike Solarsoft</t>
  </si>
  <si>
    <t>488161-602</t>
  </si>
  <si>
    <t>Made with soft, pliable foam infused with grooves for superb airflow, the Nike Solarsoft Women's Flip Flop is a must-have in warm weather.</t>
  </si>
  <si>
    <t>Air Jordan 11 Retro Low</t>
  </si>
  <si>
    <t>528895-003</t>
  </si>
  <si>
    <t>Since bursting onto the basketball scene in 1996, the Air Jordan 11 Retro Low Men's Shoe has been one of the most beloved Jordan designs ever. Signature details and Nike Air cushioning combine for the ultimate fusion of style and comfort.</t>
  </si>
  <si>
    <t>CD4570-300</t>
  </si>
  <si>
    <t>Inspired by the Vaporfly, the Nike Zoom Fly 3 Premium gives distance runners race-day comfort and durability. The power of a carbon-fibre plate keeps you in the running mile after mile.</t>
  </si>
  <si>
    <t>BQ3203-007</t>
  </si>
  <si>
    <t>Designed to make fast go faster, the Nike Zoom Gravity is built to take you from quick tempo runs to winning races. Snappy forefoot responsiveness and grippy, multi-surface traction combine to optimise your stride.</t>
  </si>
  <si>
    <t>CU3013-070</t>
  </si>
  <si>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</si>
  <si>
    <t>Nike Mercurial Vapor 13 Elite SE FG</t>
  </si>
  <si>
    <t>CD6720-808</t>
  </si>
  <si>
    <t>Building on the 360-degree Flyknit innovation of the 12, the Nike Mercurial Vapor 13 Elite SE FG adds a Nike Aerowtrac zone to the forefoot and a slightly stiffer chassis to help supercharge traction.</t>
  </si>
  <si>
    <t>Nike Air Max 720 BETRUE</t>
  </si>
  <si>
    <t>CJ5472-900</t>
  </si>
  <si>
    <t>Designed in collaboration with Gilbert Baker, the Nike Air Max 720 BETRUE features a rainbow-coloured upper inspired by, and in celebration of, the LGBTQ community.</t>
  </si>
  <si>
    <t>Nike Air Force 1 Mid '07</t>
  </si>
  <si>
    <t>315123-111</t>
  </si>
  <si>
    <t>The legend lives on in the Nike Air Force 1 Mid '07 Men's Shoe, a modern take on the icon that blends classic style and fresh, crisp details.</t>
  </si>
  <si>
    <t>Nike Air Max 2017</t>
  </si>
  <si>
    <t>849559-004</t>
  </si>
  <si>
    <t>The Nike Air Max 2017 Men's Shoe features a seamless Flymesh upper for support and breathability. Iconic Max Air cushioning provides a lightweight, smooth feel with each step, whether you're running your three-miler or running your day.</t>
  </si>
  <si>
    <t>Nike EXP-X14 SE</t>
  </si>
  <si>
    <t>AO3095-100</t>
  </si>
  <si>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</si>
  <si>
    <t>NikeCourt Lite 2</t>
  </si>
  <si>
    <t>AR8836-009</t>
  </si>
  <si>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</si>
  <si>
    <t>Air Max 200 20</t>
  </si>
  <si>
    <t>CT5062-100</t>
  </si>
  <si>
    <t>Inspired by the shimmer of bubbles and water, the Nike Air Max 200 20 features an iridescent design that wows. The shoe boasts a large Air Max unit and exceptional cushioning. Modern detailing radiates cool while providing extreme comfort.</t>
  </si>
  <si>
    <t>Nike x Undercover Air Max 720</t>
  </si>
  <si>
    <t>CN2408-001</t>
  </si>
  <si>
    <t>The Nike x Undercover Air Max 720 brings Jun Takahashi's vision of chaos and balance to Air. 360 degrees of cushioning and a breathable design capture Takahashi's view of the future of fashion.</t>
  </si>
  <si>
    <t>Air Jordan 13 Retro</t>
  </si>
  <si>
    <t>414571-030</t>
  </si>
  <si>
    <t>Featuring a panther-inspired design that takes after Michael Jordan's on-court presence, the Air Jordan 13 Retro is based on the OG model and has the same responsive cushioning and premium materials that made it famous in the '90s.</t>
  </si>
  <si>
    <t>Nike Cortez '72 S.D.</t>
  </si>
  <si>
    <t>CJ2586-100</t>
  </si>
  <si>
    <t>Inspired by Phil Knight's "Shoe Dog", the Nike Cortez '72 S.D. returns to the OG design with zigzag edges, an exposed foam tongue and minimalist leather. Why? Because you don't change what works.</t>
  </si>
  <si>
    <t>Nike Xarr</t>
  </si>
  <si>
    <t>BQ5240-200</t>
  </si>
  <si>
    <t>The Nike Xarr sets you up to take on the elements in style. It's crafted with a water-resistant leather upper to help keep you dry and a rubber outsole to combat the season's wet conditions. With intricate detailing and a stylised tongue cover, it's a fresh new look with lots of attitude.</t>
  </si>
  <si>
    <t>Nike Air Max 97 On Air Jasmine Lasode</t>
  </si>
  <si>
    <t>CI1504-100</t>
  </si>
  <si>
    <t>With a design inspired by a summer evening in London, the Nike Air Max 97 On Air Jasmine Lasode updates a sneaker icon while keeping the details that made it famous: water-ripple lines and full-length Max Air cushioning.</t>
  </si>
  <si>
    <t>Nike Air Force 1 GORE-TEX ¬Æ</t>
  </si>
  <si>
    <t>CK2630-700</t>
  </si>
  <si>
    <t>The Nike Air Force 1 GORE-TEX ¬Æ retools the classic Air Force 1 with a street-approved design that meets the standards of GORE-TEX ¬Æ waterproof technology. It features water-wicking flat laces, a GORE-TEX ¬Æ bootie and GORE-TEX ¬Æ branding on the heel.</t>
  </si>
  <si>
    <t>Kyrie 6 EP 'Chinese New Year'</t>
  </si>
  <si>
    <t>CD5029-001</t>
  </si>
  <si>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</si>
  <si>
    <t>Nike Fly.By Mid</t>
  </si>
  <si>
    <t>CD0189-001</t>
  </si>
  <si>
    <t>Players who go all out, every play, in every game deserve something special for their effort. The Nike Fly.By Mid provides court-ready cushioning, support and traction for the game's constant multi-directional movements.</t>
  </si>
  <si>
    <t>CK1195-101</t>
  </si>
  <si>
    <t>Nike Mercurial Vapor 13 Academy MDS MG</t>
  </si>
  <si>
    <t>CJ1292-401</t>
  </si>
  <si>
    <t>Dream of speed and play fast in the Nike Mercurial Vapor 13 Academy MDS MG. A streamlined upper combines with a specialised soleplate for high-speed play and supercharged traction.</t>
  </si>
  <si>
    <t>Nike Epic React Flyknit 2</t>
  </si>
  <si>
    <t>BQ8928-011</t>
  </si>
  <si>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</si>
  <si>
    <t>BV5841-800</t>
  </si>
  <si>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</si>
  <si>
    <t>Nike Air Streak Lite</t>
  </si>
  <si>
    <t>CD4387-100</t>
  </si>
  <si>
    <t>The Nike Air Streak Lite puts minimalist style back into the spotlight. Originally created by Nike's first Japanese creation team in 1995, this lightweight, sleek silhouette pushes footwear to a different space.</t>
  </si>
  <si>
    <t>Nike Air VaporMax LX</t>
  </si>
  <si>
    <t>BV1712-001</t>
  </si>
  <si>
    <t>The Nike Air VaporMax LX wraps your foot in a stretch-woven material that gives structure and support to your stride. Underfoot, the lightest, most flexible Air Max cushioning to date gives a super-bouncy sensation that rivals running on air.</t>
  </si>
  <si>
    <t>Nike Wildhorse 6</t>
  </si>
  <si>
    <t>BV7106-400</t>
  </si>
  <si>
    <t>The Nike Wildhorse 6 keeps it stable, secure and lightweight on the trail. An updated outsole delivers the traction you need, while a foam midsole keeps you cushioned on your run.</t>
  </si>
  <si>
    <t>AQ2210-002</t>
  </si>
  <si>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</si>
  <si>
    <t>Nike Air Zoom Wildhorse 5</t>
  </si>
  <si>
    <t>AQ2222-200</t>
  </si>
  <si>
    <t>Built specifically for trails, the Nike Air Zoom Wildhorse 5 keeps you galloping over rough terrain in breathable, multi-layer fabric. A rock plate helps shield your foot, while a Zoom Air heel unit cushions your stride on and off the path.</t>
  </si>
  <si>
    <t>Nike Air Max 720 Waves</t>
  </si>
  <si>
    <t>BQ4430-400</t>
  </si>
  <si>
    <t>Bring a new point of view to off-court culture in your Nike Air Max 720 Waves. Its low-profile stance showcases Nike's tallest Air unit to date while its D/MS/X design mixes culture with sport, letting you enter a fresh dimension of hoops style with unparalleled comfort.</t>
  </si>
  <si>
    <t>Nike Benassi JDI BETRUE</t>
  </si>
  <si>
    <t>CD2717-001</t>
  </si>
  <si>
    <t>The Nike Benassi JDI BETRUE Slide creates lightweight comfort in a classic design, while the soft foam sole cushions your every step.</t>
  </si>
  <si>
    <t>Kyrie 4</t>
  </si>
  <si>
    <t>943806-602</t>
  </si>
  <si>
    <t>The Kyrie 4 Men's Basketball Shoe is ultra-flexible, responsive and supportive. It's designed for Kyrie Irving's sudden changes of direction and smooth yet rapid playing style.</t>
  </si>
  <si>
    <t>Air Jordan 5 Retro</t>
  </si>
  <si>
    <t>CN2932-100</t>
  </si>
  <si>
    <t>The Air Jordan 5 Retro brings back the original that was inspired by WWII fighter planes, featuring a mid-top profile and synthetic leather. An inner-sleeve creates a snug, comfortable feel.</t>
  </si>
  <si>
    <t>CI9994-001</t>
  </si>
  <si>
    <t>The Nike Flex 2020 RN has a stretchy mesh upper that adapts to your foot as you run while also giving you a secure fit. Ideal for short routes, it keeps your foot cushioned and comfortable.</t>
  </si>
  <si>
    <t>Nike Drop-Type Premium</t>
  </si>
  <si>
    <t>CN6916-100</t>
  </si>
  <si>
    <t>The Nike Drop-Type Premium is inspired by classic tennis shoes in the NikeCourt family. Part of the N354 family that nods to Steve Prefontaine's fastest mile, it offers distinct design lines that borrow from the All Court 2.</t>
  </si>
  <si>
    <t>Jordan Modero 2 VP</t>
  </si>
  <si>
    <t>CU2708-901</t>
  </si>
  <si>
    <t>Versatile, easy to wear and light on your feet. The Jordan Modero 2 Slide offers a plush, comfortable feel with a lively vibe you'll love to rock all day. Multicoloured shoelace details on the strap offer a pop of colour.</t>
  </si>
  <si>
    <t>Nike React Metcon</t>
  </si>
  <si>
    <t>BQ6044-100</t>
  </si>
  <si>
    <t>The Nike React Metcon takes the stability and traction from the training original and pairs it with Nike's most comfortable cushioning. Tackle high-impact and lifting workouts with a light, breathable upper and durable grip to keep you going.</t>
  </si>
  <si>
    <t>CD4365-003</t>
  </si>
  <si>
    <t>The Nike Joyride Dual Run blazes its own route. Tiny foam beads underfoot combined with traditional cushioning in the forefoot give an incredibly smooth feel that contours to your foot.</t>
  </si>
  <si>
    <t>Nike Classic Cortez</t>
  </si>
  <si>
    <t>749571-154</t>
  </si>
  <si>
    <t>The Nike Classic Cortez Shoe is Nike's original running shoe, designed by Bill Bowerman and released in 1972. This version features a leather and synthetic leather construction for added durability.</t>
  </si>
  <si>
    <t>Nike React Element 55 Premium</t>
  </si>
  <si>
    <t>CI3835-002</t>
  </si>
  <si>
    <t>The Nike React Element 55 borrows design lines from heritage runners like the Nike Internationalist, then places it all on Nike React technology.</t>
  </si>
  <si>
    <t>Nike Mercurial Vapor 13 Academy MDS TF</t>
  </si>
  <si>
    <t>CJ1306-401</t>
  </si>
  <si>
    <t>Dream of speed and play fast in the Nike Mercurial Vapor 13 Academy MDS TF. The soft upper wraps your foot for a second-skin fit, while the rubber sole helps supercharge traction on turf.</t>
  </si>
  <si>
    <t>Jordan 'Why Not?' Zer0.2 SE</t>
  </si>
  <si>
    <t>CW6565-900</t>
  </si>
  <si>
    <t>Why not take the shot? Why not attack the full length of the court? Why not crash the boards and steal every ball and rain assists like water? The Jordan 'Why Not?' Zer0.2 SE celebrates Russell Westbrook's calculated chaos by combining materials that work in lightweight harmony‚Äîbecause, well, why not?</t>
  </si>
  <si>
    <t>Nike Joyride CC</t>
  </si>
  <si>
    <t>AO1742-004</t>
  </si>
  <si>
    <t>Lounge wherever you go and let the Nike Joyride CC take you into a new world of cosy by placing your feet directly on the soft cushioning of its innovative bead-pods. Bold colour-blocking and exaggerated textures add unrivalled depth to your fun, edgy attitude.</t>
  </si>
  <si>
    <t>Nike Tiempo Legend 8 Club TF</t>
  </si>
  <si>
    <t>AT6109-606</t>
  </si>
  <si>
    <t>The Nike Tiempo Legend 8 Club TF takes the touch of textured synthetic leather and adds a grippy rubber outsole for multi-directional traction.</t>
  </si>
  <si>
    <t>Nike Phantom Vision 2 Academy Dynamic Fit TF</t>
  </si>
  <si>
    <t>CD4172-606</t>
  </si>
  <si>
    <t>The Nike Phantom Vision 2 Academy Dynamic Fit TF has a textured NIKESKIN overlay for durability and precise touch. Covered laces keep your striking surface clear.</t>
  </si>
  <si>
    <t>Nike Zoom Fly Flyknit</t>
  </si>
  <si>
    <t>AR4561-200</t>
  </si>
  <si>
    <t>Nike Zoom Fly Flyknit Men's Running Shoe is built for record-breaking speed. The Flyknit upper delivers ultra-lightweight support that fits like a glove.</t>
  </si>
  <si>
    <t>Nike Air Max 98 SE</t>
  </si>
  <si>
    <t>CD0132-001</t>
  </si>
  <si>
    <t>The Nike Air Max 98 Shoe brings back retro Air Max style with modern comfort. The leather and mesh upper provides durable breathability while a full-length, visible Max Air unit offers responsive cushioning.</t>
  </si>
  <si>
    <t>Nike Air Max Tailwind IV SP</t>
  </si>
  <si>
    <t>BV1357-003</t>
  </si>
  <si>
    <t>The Nike Air Max Tailwind IV SP gives a new look to the '90s classic. Max Air units give you comfort and style that last.</t>
  </si>
  <si>
    <t>Jordan Proto-Lyte</t>
  </si>
  <si>
    <t>AT3381-008</t>
  </si>
  <si>
    <t>Featuring soft foam cushioning and lightweight, woven fabric in the upper, the Jordan Proto-Lyte is made for all-day, bouncy comfort.</t>
  </si>
  <si>
    <t>Nike Mercurial Superfly 7 Academy TF</t>
  </si>
  <si>
    <t>AT7978-414</t>
  </si>
  <si>
    <t>The soft upper of the Nike Mercurial Superfly 7 Academy TF Shoe wraps your foot for a second-skin fit, while the rubber outsole helps supercharge traction on turf.</t>
  </si>
  <si>
    <t>Nike x Hawkins High Cortez</t>
  </si>
  <si>
    <t>CJ6106-100</t>
  </si>
  <si>
    <t>Nodding to Hawkins High from the hit TV show "Stranger Things", the Nike x Hawkins High Cortez combines premium materials laid out using the Tiger Pride green and orange with hidden details and show references throughout, including three distinct "Stranger Things" pins.</t>
  </si>
  <si>
    <t>Nike Epic Phantom React Flyknit Icon Clash</t>
  </si>
  <si>
    <t>CK0089-100</t>
  </si>
  <si>
    <t>Soft to the touch, the Nike Epic Phantom React Flyknit Icon Clash is lace-free for a slip-on design that gets you up and moving in no time. A snug, sock-like fit and breathable upper material feel as though the Phantom "disappears" as you run.</t>
  </si>
  <si>
    <t>CT7695-401</t>
  </si>
  <si>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</si>
  <si>
    <t>Nike Phantom Vision Academy Dynamic Fit MG</t>
  </si>
  <si>
    <t>AO3258-080</t>
  </si>
  <si>
    <t>The Nike Phantom Vision Academy Dynamic Fit MG brings the fierce precision of street play to the pitch. A foot-hugging sleeve has a custom feel and the Ghost Laces system tights with 1 pull and is hidden for a bigger striking surface.</t>
  </si>
  <si>
    <t>NikeCourt Air Max Vapor Wing MS</t>
  </si>
  <si>
    <t>BQ0129-106</t>
  </si>
  <si>
    <t>The NikeCourt Air Max Vapor Wing MS is the perfect pairing of style and comfort for your match. Translucent textile shows off the technology within, while rubber on the toe increases durability. An Air Max unit provides legendary, lightweight cushioning.</t>
  </si>
  <si>
    <t>LeBron x John Elliott Icon</t>
  </si>
  <si>
    <t>AQ0114-101</t>
  </si>
  <si>
    <t>The LeBron x John Elliott Icon brings the clean and layered approach of a lifestyle shoe to a hardwood classic. Cushioning from the LeBron 8 combines with court-inspired details and translucent materials as a tribute to Elliott's favourite shoe in the series. The result: Power, unleashed.</t>
  </si>
  <si>
    <t>Nike Air Max 270 Flyknit</t>
  </si>
  <si>
    <t>AO1023-005</t>
  </si>
  <si>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</si>
  <si>
    <t>Air Jordan 13 Retro Chinese New Year</t>
  </si>
  <si>
    <t>CW4409-100</t>
  </si>
  <si>
    <t>Michael Jordan's stealthy creativity on the court earned him the nickname "Black Cat". The Air Jordan 13 Retro is based on the OG model and has responsive cushioning and premium materials. This version features special details to honour the Chinese New Year.</t>
  </si>
  <si>
    <t>Nike Zoom Pegasus Turbo Shield</t>
  </si>
  <si>
    <t>BQ1896-002</t>
  </si>
  <si>
    <t>The Nike Zoom Pegasus Turbo Shield delivers your favourite lightweight running shoe in a smart, weatherised design, so you can continue training in confidence despite those dark and rainy months.</t>
  </si>
  <si>
    <t>Nike Air Wildwood ACG</t>
  </si>
  <si>
    <t>AO3116-004</t>
  </si>
  <si>
    <t>From rain and mud to sunny afternoons, the Wildwood debuted in 1989 as a direct descendent of the Nike Escape. With design influence from the Pegasus, it was designed as an off-road sneaker meant to take you through rough terrain. The special sawtooth Waffle outsole was further proof that conquering bad weather didn't mean drabness.</t>
  </si>
  <si>
    <t>CI3870-100</t>
  </si>
  <si>
    <t>LeBron 16 Low</t>
  </si>
  <si>
    <t>CI2668-004</t>
  </si>
  <si>
    <t>LeBron is unstoppable on the court and just as influential off of it. The year 2003, LeBron's rookie season and a pivotal year in culture, inspires the LeBron 16 Low. It is powered by Max Air and Zoom Air cushioning technologies, and embodies his clout and versatility.</t>
  </si>
  <si>
    <t>Air Jordan 14 Retro</t>
  </si>
  <si>
    <t>487471-003</t>
  </si>
  <si>
    <t>The Air Jordan 14 Retro has class, comfort and the singular look of the original, with heritage-inspired colours, full-grain leather and responsive Zoom Air cushioning.</t>
  </si>
  <si>
    <t>Nike Air Force 1 Type-2</t>
  </si>
  <si>
    <t>CT2584-100</t>
  </si>
  <si>
    <t>The Nike Air Force 1 Type-2 brings a handmade touch to an iconic look. Featuring overlays of rubber at the toe and a closure system around the heel that nods to the OG high top, it lets you step into a new dimension of AF-1 style.</t>
  </si>
  <si>
    <t>AQ5708-201</t>
  </si>
  <si>
    <t>Never worry about laces in the Nike Free RN Flyknit 3.0. This remix leaves them out‚Äîletting you slip in quickly and hit your stride even faster. Supportive yarns join stretchy Flyknit for a lightweight upper that feels like a second skin. Heel-to-toe grooves in outsole move and bend with every stride.</t>
  </si>
  <si>
    <t>AR5676-401</t>
  </si>
  <si>
    <t>An icon hits the paths less travelled in the Nike Air Zoom Pegasus 36 Trail. Perforated mesh upper offers breathable comfort, and double Zoom Air units cushion your stride. Outsole lugs optimise traction when running uphill.</t>
  </si>
  <si>
    <t>Nike Tiempo Legend 8 Club IC</t>
  </si>
  <si>
    <t>AT6110-004</t>
  </si>
  <si>
    <t>The Nike Tiempo Legend 8 Club IC takes the touch of textured synthetic leather and adds a grippy rubber outsole for multi-directional traction.</t>
  </si>
  <si>
    <t>Nike Flex TR 9</t>
  </si>
  <si>
    <t>AQ7491-008</t>
  </si>
  <si>
    <t>Designed for low-impact workouts and circuit training, the Nike Flex TR 9 pairs a breathable mesh and synthetic upper with a supportive platform designed for flexibility and traction.</t>
  </si>
  <si>
    <t>Nike Epic Phantom React</t>
  </si>
  <si>
    <t>CI1291-400</t>
  </si>
  <si>
    <t>Soft to the touch, the Nike Epic Phantom React lets go of laces for a slip-on style that gets you up and running in no time. A snug, secure, sock-like fit within a breathable Flyknit and synthetic upper feels as though the Phantom "disappears" as you run.</t>
  </si>
  <si>
    <t>CN5455-160</t>
  </si>
  <si>
    <t>Nike SB Air Zoom Bruin Edge</t>
  </si>
  <si>
    <t>CD5036-100</t>
  </si>
  <si>
    <t>The Nike SB Air Zoom Bruin Edge puts a DIY spin on an iconic skate shoe. Frayed stitching, exposed foam and a mix of materials create a patched look that's built to perform. Stencils are included so you can take the DIY look to the next level.</t>
  </si>
  <si>
    <t>CQ6278-001</t>
  </si>
  <si>
    <t>Utilising the latest innovations and Nike's ISPA project‚Äîwhich touts a philosophy of improvise, scavenge, protect and adapt‚Äîthe Nike ISPA Air Max 720 delivers a smooth feel. It features Nike‚Äôs tallest Air unit yet, providing cushioned support along with innovative details.</t>
  </si>
  <si>
    <t>Nike x Undercover React Presto</t>
  </si>
  <si>
    <t>CU3459-200</t>
  </si>
  <si>
    <t>Jun Takahashi's vision of chaos and balance continues with the Nike x Undercover React Presto. An OG Presto design uses new details that pay homage to last season's collaboration, the React Boot.</t>
  </si>
  <si>
    <t>Nike Vandalised</t>
  </si>
  <si>
    <t>BQ3610-100</t>
  </si>
  <si>
    <t>The Nike Vandalised puts a totally new spin on the original 1984 Nike Vandal. Full of classic Nike b-ball swagger, the shoe's rearranged components give a bold new asymmetrical look.</t>
  </si>
  <si>
    <t>Nike Signal D/MS/X</t>
  </si>
  <si>
    <t>AT5303-100</t>
  </si>
  <si>
    <t>Inspired by the chopping, cutting and rebuilding of custom cars and bikes, the Nike Signal D/MS/X overturns the idea of sportswear with style and attitude. With layered materials and intricate detailing, it uses innovations in an irreverent way that's more aesthetic than athletic.</t>
  </si>
  <si>
    <t>Nike Air Max 720 (OBJ)</t>
  </si>
  <si>
    <t>CK2531-001</t>
  </si>
  <si>
    <t>Disrupt the atmosphere and let your light shine in the Nike Air Max 720 (OBJ), featuring Nike's tallest Air unit yet. Its colours take inspiration from the natural world, a counterpoint to the shoe's futuristic look.</t>
  </si>
  <si>
    <t>Nike Vandalised LX</t>
  </si>
  <si>
    <t>BQ3611-100</t>
  </si>
  <si>
    <t>The Nike Vandalised LX hacks Nike DNA for a totally new spin on the original 1984 Nike Vandal, a basketball classic. Rearranging all the components creates a bold new look with asymmetrical details.</t>
  </si>
  <si>
    <t>Nike Canyon</t>
  </si>
  <si>
    <t>CV5515-001</t>
  </si>
  <si>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</si>
  <si>
    <t>Nike Flex RN 2019</t>
  </si>
  <si>
    <t>AQ7487-201</t>
  </si>
  <si>
    <t>With a stretchable knit in the upper, the Nike Flex RN 2019 makes every run comfortable as it expands and contracts along with your foot. Dual-density foam gives you cushioned comfort for pounding out the miles, while grooves in the outsole provide flexibility from heel to toe.</t>
  </si>
  <si>
    <t>AQ1289-003</t>
  </si>
  <si>
    <t>Ideal for runs up to 3 miles, the Nike Free RN 5.0 returns to its roots as a natural motion shoe. An updated flex groove pattern and modified midsole foam provides more flexibility than its predecessor, creating a barefoot sensation with every step. At the upper, breathable and stretchy mesh moves with your foot, while synthetic suede overlays provide stable support.</t>
  </si>
  <si>
    <t>Nike Air Max 90 NS SE</t>
  </si>
  <si>
    <t>881105-800</t>
  </si>
  <si>
    <t>The Nike Air Max 90 SE Women's Shoe combines classic design lines with rich materials for an elevated look that's true to the original.</t>
  </si>
  <si>
    <t>CI7523-002</t>
  </si>
  <si>
    <t>CT7698-600</t>
  </si>
  <si>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</si>
  <si>
    <t>Nike Air Max Dia Winter</t>
  </si>
  <si>
    <t>BQ9665-301</t>
  </si>
  <si>
    <t>Designed specifically for a woman's foot, the Nike Air Max Dia Winter delivers a lifted and airy aesthetic in a sleek shape. The minimal upper modernises the look, while a Max Air unit is amplified even further by an exaggerated midsole for a boost of style.</t>
  </si>
  <si>
    <t>BV7766-100</t>
  </si>
  <si>
    <t>832655-001</t>
  </si>
  <si>
    <t>The Nike Kawa Shower Women's Slide is ideal for post-workout comfort. Easily packable, they can be tossed into your bag and worn anytime.</t>
  </si>
  <si>
    <t>CK2719-400</t>
  </si>
  <si>
    <t>554724-050</t>
  </si>
  <si>
    <t>Nike Air Max FF 720</t>
  </si>
  <si>
    <t>AO3189-600</t>
  </si>
  <si>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</si>
  <si>
    <t>AQ2731-500</t>
  </si>
  <si>
    <t>AH1016-602</t>
  </si>
  <si>
    <t>The Nike Odyssey React Flyknit 2 Women's Running Shoe delivers a strategic combination of lightweight Flyknit and synthetic material for support just where you need it. Underfoot, Nike React cushioning delivers a soft, springy ride for a route that begs to be crushed.</t>
  </si>
  <si>
    <t>Nike Joyride Optik</t>
  </si>
  <si>
    <t>AJ6844-007</t>
  </si>
  <si>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</si>
  <si>
    <t>CN3591-002</t>
  </si>
  <si>
    <t>The Nike React Element 55 SE borrows design lines from heritage runners like the Nike Internationalist, adds reflective graphics and combines it with Nike React technology for a smooth ride.</t>
  </si>
  <si>
    <t>Nike Air Max Dia LX</t>
  </si>
  <si>
    <t>CI1214-004</t>
  </si>
  <si>
    <t>Designed specifically for a woman's foot, the Nike Air Max Dia LX delivers a lifted and airy aesthetic in a new, sleek shape. The minimal upper modernises your look, while the Max Air unit, surrounded by clear plastic, elevates your style.</t>
  </si>
  <si>
    <t>343880-090</t>
  </si>
  <si>
    <t>The Nike Benassi Slide features a lined upper with a bold logo for plush comfort and an athletic look. A foam midsole and outsole provide lightweight impact protection.</t>
  </si>
  <si>
    <t>Nike Zoom KD12 'YouTube'</t>
  </si>
  <si>
    <t>CQ7731-900</t>
  </si>
  <si>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</si>
  <si>
    <t>CD4366-002</t>
  </si>
  <si>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</si>
  <si>
    <t>CI5646-200</t>
  </si>
  <si>
    <t>The Nike Air Max 90 stays true to its OG running roots with the iconic Waffle sole. Details and colours nod to the classic Lahar Escape Boot, delivering a vintage look from the wild.</t>
  </si>
  <si>
    <t>CD4573-001</t>
  </si>
  <si>
    <t>The iconic Nike Air Zoom Pegasus 36 returns with more perforations and mesh in the upper for targeted breathability across high-heat areas. A slimmer heel collar and tongue reduces bulk without compromising comfort, while exposed cables give you a snug fit at higher speeds.</t>
  </si>
  <si>
    <t>Nike Air Max 98 NRG</t>
  </si>
  <si>
    <t>BQ5613-001</t>
  </si>
  <si>
    <t>The Nike Air Max 98 features the OG design lines that were inspired by the walls of the Grand Canyon, while adding bursts of fresh colour on the upper. The fluid, textured look and full-length Nike Air cushioning set you apart from the pack.</t>
  </si>
  <si>
    <t>AT8241-002</t>
  </si>
  <si>
    <t>Inspired by the Vaporfly, the Nike Zoom Fly 3 gives distance runners race-day comfort and durability. The power of a carbon-fibre plate and responsive cushioning keeps you in the running mile after mile.</t>
  </si>
  <si>
    <t>Kyrie 6 EP</t>
  </si>
  <si>
    <t>BQ4631-100</t>
  </si>
  <si>
    <t>Engineered for Kyrie Irving's unpredictable creativity on the court, the Kyrie 6 focuses on comfort, control and energy return to help him go fast and stay fresh. Bouncy cushioning is paired with soft yet supportive foam for great responsiveness and a smooth heel-to-toe transition. The midfoot strap and plush, padded collar lock him in and help keep him a step ahead of the competition.</t>
  </si>
  <si>
    <t>Nike Air Max Tailwind IV</t>
  </si>
  <si>
    <t>AQ2567-002</t>
  </si>
  <si>
    <t>The Nike Air Max Tailwind IV gives a new look to the '90s classic. Max Air units give you comfort and style that last.</t>
  </si>
  <si>
    <t>Nike Potential 3</t>
  </si>
  <si>
    <t>844127-108</t>
  </si>
  <si>
    <t>The Nike Potential 3 Unisex Cricket Shoe delivers lightweight cushioning and superb grip on the field with a Phylon midsole and rubber outsole.</t>
  </si>
  <si>
    <t>Nike Mercurial Vapor 13 Academy IC</t>
  </si>
  <si>
    <t>AT7993-414</t>
  </si>
  <si>
    <t>The soft upper of the Nike Mercurial Vapor 13 Academy IC wraps your foot for a second-skin fit, while the rubber outsole helps supercharge traction on the court or street.</t>
  </si>
  <si>
    <t>Nike x Olivia Kim Air Max 98</t>
  </si>
  <si>
    <t>CK3309-001</t>
  </si>
  <si>
    <t>NYC in the '90s‚Äîif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</si>
  <si>
    <t>NikeCourt Royale</t>
  </si>
  <si>
    <t>749747-010</t>
  </si>
  <si>
    <t>Taking inspiration from the archives, the NikeCourt Royale Men's Shoe brings retro tennis style in a modern package for everyday comfort.</t>
  </si>
  <si>
    <t>Nike Air Huarache</t>
  </si>
  <si>
    <t>634835-108</t>
  </si>
  <si>
    <t>Designed to stretch with your foot, the Nike Air Huarache Women's Shoe has remained a sneaker staple since its 1991 debut, when it changed the face of running footwear forever.</t>
  </si>
  <si>
    <t>366731-100</t>
  </si>
  <si>
    <t>The legend lives on in the Nike Air Force 1 Mid '07 Women's Shoe, a modern take on the icon that blends classic style and fresh, crisp details.</t>
  </si>
  <si>
    <t>CD3398-063</t>
  </si>
  <si>
    <t>CT5064-001</t>
  </si>
  <si>
    <t>The Nike Air Max 270 React updates a classic with iridescent details, Nike React foam in the midsole and Max Air cushioning in the heel.</t>
  </si>
  <si>
    <t>Nike Air Force 1 '07 Premium</t>
  </si>
  <si>
    <t>BQ4424-700</t>
  </si>
  <si>
    <t>The Nike Air Force 1 '07 Premium captures the iconic look of its 1982 predecessor, with full-length cushioning for comfort and premium detailing that honours the original. A rich mix of materials gives an eye-catching look that's ready to hit the streets.</t>
  </si>
  <si>
    <t>Nike Air Max 98 LX</t>
  </si>
  <si>
    <t>AV4417-002</t>
  </si>
  <si>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</si>
  <si>
    <t>Nike Phantom Venom Academy TF</t>
  </si>
  <si>
    <t>AO0571-606</t>
  </si>
  <si>
    <t>The Nike Phantom Venom Academy TF is engineered for powerful, precise strikes that win games. Ridges on the instep help create spin to control the flight of the ball. The sole provides the turf traction needed to unleash at any moment.</t>
  </si>
  <si>
    <t>AT6174-004</t>
  </si>
  <si>
    <t>Nike SB Zoom Stefan Janoski Canvas RM</t>
  </si>
  <si>
    <t>AR7718-001</t>
  </si>
  <si>
    <t>The Nike SB Zoom Stefan Janoski Canvas RM pairs a minimal look with a modern fit. It has been updated with a new, plush sockliner and a flexible midsole for better boardfeel right out of the box.</t>
  </si>
  <si>
    <t>Nike Flex Contact 3</t>
  </si>
  <si>
    <t>AQ7488-004</t>
  </si>
  <si>
    <t>The Nike Flex Contact 3 gives you the benefit of laces without the hassle of tying them. An elastic, slip-on lacing system pairs with a floating heel strap for pressure-free support. A knit upper adds stretch, while the outsole with heel-to-toe grooves follows the natural flow of your foot.</t>
  </si>
  <si>
    <t>Jordan 'Why Not?' Zer0.2 SE PF</t>
  </si>
  <si>
    <t>AV4126-002</t>
  </si>
  <si>
    <t>Why not take the shot? Why not attack the full length of the court? Why not crash the boards and steal every ball and rain assists like water? The Jordan 'Why Not?' The Zer0.2 SE PF celebrates Russell Westbrook's calculated chaos by combining materials that work in lightweight harmony‚Äîbecause, well, why not?</t>
  </si>
  <si>
    <t>Nike Shox TL Nova SP</t>
  </si>
  <si>
    <t>CK2085-002</t>
  </si>
  <si>
    <t>The 2003 icon returns with new upgrades. Fearless on the streets, the Nike Shox TL Nova takes mechanical cushioning to the next level. A modernised upper combines with Nike Shox columns for a new era.</t>
  </si>
  <si>
    <t>CU0675-300</t>
  </si>
  <si>
    <t>Redesigned for casual wear, the Nike Air Max 90 stays true to its '90s running roots with a rubber Waffle sole, stitched overlays and TPU plates. Hair-on leather and felted fabric colours combine with Max Air cushioning for a makeover that goes all out.</t>
  </si>
  <si>
    <t>Nike Benassi JDI Floral</t>
  </si>
  <si>
    <t>618919-031</t>
  </si>
  <si>
    <t>The Nike Benassi JDI Floral Women's Slide is designed with a textured footbed and a lightweight foam midsole/outsole for a soothing, plush feel.</t>
  </si>
  <si>
    <t>BQ8927-102</t>
  </si>
  <si>
    <t>921826-016</t>
  </si>
  <si>
    <t>The Nike Air Max 97 Men's Shoe keeps the sneaker favourite going strong with the same design details that made it famous: water-ripple lines, reflective piping and full-length Max Air cushioning.</t>
  </si>
  <si>
    <t>Nike x Olivia Kim Air Force 1 '07</t>
  </si>
  <si>
    <t>CK3314-400</t>
  </si>
  <si>
    <t>Olivia Kim remembers NYC in the '90s. The city danced at all-night raves, and the fashion was bomb dot com. The Nike x Olivia Kim AF-1 '07 captures the outrageous '90s rave spirit with a blue corduroy upper and glow-in-the-dark details.</t>
  </si>
  <si>
    <t>BQ3378-002</t>
  </si>
  <si>
    <t>The Nike M2K Tekno Shoe draws inspiration from the Monarch franchise and pushes it into today with a futuristic heel counter and plush tongue for additional comfort.</t>
  </si>
  <si>
    <t>Nike React City</t>
  </si>
  <si>
    <t>BV7754-001</t>
  </si>
  <si>
    <t>Designed for the fast pace of urban life, the Nike React City provides an all-day solution for runners who commute. A zipped upper with no laces gets you in quickly, while the translucent details fit in at work or social events.</t>
  </si>
  <si>
    <t>BV0415-300</t>
  </si>
  <si>
    <t>Soft to the touch, the Nike Epic Phantom React Flyknit is lace-free for a slip-on design that gets you up and out the door in no time. A snug, sock-like fit and breathable upper materials will make you feel as though the Phantom "disappears" as you run.</t>
  </si>
  <si>
    <t>Air Jordan 11 Low</t>
  </si>
  <si>
    <t>AR5149-005</t>
  </si>
  <si>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</si>
  <si>
    <t>CQ7619-700</t>
  </si>
  <si>
    <t>Find throwback style and history etched into every detail. Following in the footsteps of the OG from '79, the marathon-winning Nike Daybreak is a blast from the past. Its iconic Waffle outsole combines with fabric in the upper and archival colourways for a heritage look.</t>
  </si>
  <si>
    <t>Nike Mercurial Superfly 7 Elite FG</t>
  </si>
  <si>
    <t>AQ4174-049</t>
  </si>
  <si>
    <t>Building on the 360 innovation of the 6, the Nike Mercurial Superfly 7 Elite FG Boot adds a Nike Aerowtrac zone to the forefoot and a slightly stiffer chassis to help supercharge traction.</t>
  </si>
  <si>
    <t>Nike Air Max 90 Essential</t>
  </si>
  <si>
    <t>AJ1285-101</t>
  </si>
  <si>
    <t>The Nike Air Max 90 Essential Men's Shoe keeps the classic design lines of the 1990 original and the cushioning that made it famous.</t>
  </si>
  <si>
    <t>Nike Air Zoom Pegasus 36 Premium Rise</t>
  </si>
  <si>
    <t>AV6259-500</t>
  </si>
  <si>
    <t>Breathability and inspiration come together in the Nike Air Zoom Pegasus 36 Premium Rise. A knit-in graphic repeating across the mesh and synthetic upper spells out "Just Do It." in perforations. Strategically placed, they cover zones where your foot releases the most heat.</t>
  </si>
  <si>
    <t>AT5292-004</t>
  </si>
  <si>
    <t>Nike Tanjun</t>
  </si>
  <si>
    <t>812654-011</t>
  </si>
  <si>
    <t>Named after the Japanese word for "simplicity", the Nike Tanjun Men's Shoe offers a streamlined, modern design for an elevated everyday look.</t>
  </si>
  <si>
    <t>Nike Air Max Triax 96 SP</t>
  </si>
  <si>
    <t>CT5543-300</t>
  </si>
  <si>
    <t>First released in the late '90s, the Nike Air Max Triax 96 SP now returns as a cult classic. Featuring the same iconic shape and large-volume visible Air unit, it brings back the classic comfort and style you remember.</t>
  </si>
  <si>
    <t>CU9174-600</t>
  </si>
  <si>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</si>
  <si>
    <t>CJ0509-001</t>
  </si>
  <si>
    <t>Inspired by Japan's relay runners, the Nike Zoom Rival Fly 2 features a futuristic look with responsive forefoot cushioning. Flex grooves underneath optimise toe-off, while soft foam keeps it cushioned and comfortable throughout your stride.</t>
  </si>
  <si>
    <t>Nike x Olivia Kim Air Mowabb</t>
  </si>
  <si>
    <t>CK3312-001</t>
  </si>
  <si>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</si>
  <si>
    <t>Nike Offcourt SE</t>
  </si>
  <si>
    <t>CT0624-100</t>
  </si>
  <si>
    <t>The Nike Offcourt SE Slide features a premium suede upper with a modern Swoosh detail. The innovative foam and jersey lining ensure an effortlessly comfortable experience.</t>
  </si>
  <si>
    <t>CJ9712-001</t>
  </si>
  <si>
    <t>CT1549-001</t>
  </si>
  <si>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</si>
  <si>
    <t>Nike Air Max 720 SE</t>
  </si>
  <si>
    <t>CD0683-600</t>
  </si>
  <si>
    <t>The Nike Air Max 720 goes bigger than ever before with Nike's tallest Air unit yet, which offers more air underfoot for unprecedented, all-day comfort. Details include bubble wrap accents and colours inspired by the natural world.</t>
  </si>
  <si>
    <t>Nike Revolution 5 FlyEase</t>
  </si>
  <si>
    <t>BQ3212-600</t>
  </si>
  <si>
    <t>Designed with a zip closure secured by a midfoot strap, the Nike Revolution 5 FlyEase lets you suit up for your run quickly and easily. Soft foam cushions your stride, while a minimalist design fits in just about anywhere.</t>
  </si>
  <si>
    <t>807471-101</t>
  </si>
  <si>
    <t>The Nike Classic Cortez Women's Shoe is Nike's original running shoe, designed by Bill Bowerman and released in 1972. This version features a leather and synthetic leather construction for added durability.</t>
  </si>
  <si>
    <t>AT6175-100</t>
  </si>
  <si>
    <t>Inspired by patterns of energy radiating from Earth‚Äîlike the flow of lava and the rhythmic ocean waves‚Äîthe Nike Air Max 200 boasts the largest Max Air unit to date. With exceptional cushioning and modern detailing, this shoe radiates cool while providing optimal comfort.</t>
  </si>
  <si>
    <t>AH6789-023</t>
  </si>
  <si>
    <t>The Nike Air Max 270 is inspired by two icons of big Air: Air Max 180 and Air Max 93. It features Nike's biggest heel Air unit yet for a soft ride that feels as remarkable as it looks.</t>
  </si>
  <si>
    <t>AT7996-414</t>
  </si>
  <si>
    <t>Nike SFB Gen 2 20cm (approx.)</t>
  </si>
  <si>
    <t>922474-001</t>
  </si>
  <si>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</si>
  <si>
    <t>CI3898-200</t>
  </si>
  <si>
    <t>Designed specifically for a woman's foot, the Nike Air Max Dia delivers a lifted look, an airy aesthetic and a sleek shape. The minimal upper modernises the look, while the Max Air unit, surrounded by clear TPU, is amplified even further by an exaggerated midsole for a boost of style.</t>
  </si>
  <si>
    <t>Nike SB Alleyoop</t>
  </si>
  <si>
    <t>CJ0882-001</t>
  </si>
  <si>
    <t>The Nike SB Alleyoop delivers comfort that lasts in a low-top silhouette. Soft suede and plush foam hug and support your foot, long after the sun goes down.</t>
  </si>
  <si>
    <t>Nike Zoom Rise</t>
  </si>
  <si>
    <t>BQ5467-101</t>
  </si>
  <si>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</si>
  <si>
    <t>Nike Phantom Vision Academy Dynamic Fit IC</t>
  </si>
  <si>
    <t>AO3267-080</t>
  </si>
  <si>
    <t>The Nike Phantom Vision Academy Dynamic Fit IC provides precise touch to win small-sided glory, wherever the game finds you. A Ghost Laces system provides secure lockdown while a textured instep is always ready to receive, turn and score.</t>
  </si>
  <si>
    <t>Nike Air Max Bella TR 2</t>
  </si>
  <si>
    <t>AQ7492-010</t>
  </si>
  <si>
    <t>The Nike Air Max Bella TR 2 is a versatile trainer for weight training and station workouts. It's crafted from breathable fabric and features comfortable cushioning underfoot with a flat outsole for stability during workout sessions.</t>
  </si>
  <si>
    <t>CJ0220-400</t>
  </si>
  <si>
    <t>Nike Air Force 1 SP</t>
  </si>
  <si>
    <t>CQ6566-700</t>
  </si>
  <si>
    <t>The Nike Air Force 1 SP adds a shiny metallic finish to the details that made the original an icon.</t>
  </si>
  <si>
    <t>Nike Zoom Pegasus Turbo</t>
  </si>
  <si>
    <t>AJ4115-060</t>
  </si>
  <si>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</si>
  <si>
    <t>AQ1316-500</t>
  </si>
  <si>
    <t>An ideal performer for runs of up to 3 miles, the Nike Free RN 5.0 returns to its roots as a running shoe. A stripped-down upper with single-layer mesh is stretchy to feel like a second skin. The lightweight midsole with less foam makes it easy to hit the ground running.</t>
  </si>
  <si>
    <t>BV5740-101</t>
  </si>
  <si>
    <t>Nike Air Max Tailwind IV SE</t>
  </si>
  <si>
    <t>CJ9681-001</t>
  </si>
  <si>
    <t>Replicating the archival model from '99, the Nike Air Max Tailwind IV SE puts a new spin on a classic with modern detailing. Lightweight cushioning units give you comfort and style that lasts.</t>
  </si>
  <si>
    <t>Nike Air VaporMax 2019 Premium</t>
  </si>
  <si>
    <t>AT6817-300</t>
  </si>
  <si>
    <t>The Nike Air VaporMax 2019 Premium Shoe wraps your foot in stretchy woven material that gives structure and support to your stride. Underfoot, the lightest, most flexible Air Max cushioning to date gives a super-bouncy sensation that rivals running on air. Metallic Silver accents spark a sense of style.</t>
  </si>
  <si>
    <t>NikeCourt Air Zoom Vapor Cage 4</t>
  </si>
  <si>
    <t>CD0431-107</t>
  </si>
  <si>
    <t>The NikeCourt Air Zoom Vapor Cage 4 is innovated to last. Rubber and flexible plastic are built to withstand your toughest matches while a unique lacing system keeps your laces hidden for extra durability.</t>
  </si>
  <si>
    <t>Air Jordan 1 Nova XX</t>
  </si>
  <si>
    <t>AV4052-116</t>
  </si>
  <si>
    <t>Featuring an internal 1/2 sleeve construction, the Air Jordan 1 Nova XX Shoe offers a snug fit without traditional laces. Underfoot, an Air-Sole unit at the heel provides lightweight cushioning that moves with you all day long.</t>
  </si>
  <si>
    <t>CK4122-100</t>
  </si>
  <si>
    <t>Still the world and let your attitude shine in the Nike Air Max Tailwind IV. Highly influenced by the bad girl of Air, the Air Max Plus, it refreshes the '90s classic with reflective details that take the OG's fading to new levels. A richly textured upper uses mesh and high-gloss leather, while the crisp white midsole features bursts of visible cushioning for comfort and boundless energy.</t>
  </si>
  <si>
    <t>AQ7483-001</t>
  </si>
  <si>
    <t>The stretchable knit upper of the Nike Flex RN 2019 wraps you in softness as it expands and contracts with your foot. Dual-density foam layers supply durable cushioned comfort, while grooves on the outsole give you heel-to-toe flexibility.</t>
  </si>
  <si>
    <t>CD8526-446</t>
  </si>
  <si>
    <t>CJ1292-703</t>
  </si>
  <si>
    <t>CI1396-004</t>
  </si>
  <si>
    <t>807471-103</t>
  </si>
  <si>
    <t>CJ1794-600</t>
  </si>
  <si>
    <t>The Nike Air Max 90 Premium pays tribute to the steadfast Royal Mail workers in London. Nike Air cushioning provides comfort for all-day wear, while fabric and leather on the upper combine breathability with durability. Details like crowns on the laces and colours inspired by Royal Mail uniforms nod to those who deliver day in and day out.</t>
  </si>
  <si>
    <t>CK6360-001</t>
  </si>
  <si>
    <t>Nike Air Max 270 Special Edition</t>
  </si>
  <si>
    <t>CQ6549-001</t>
  </si>
  <si>
    <t>Find unstoppable comfort in the Nike Air Max 270. The eye-catching Max Air 270 unit and Nike React foam midsole deliver cushioning that moves with you. A soft and minimal collar contours to your heel for an amazing fit. A glow-in-the-dark colourway celebrates the New Year.</t>
  </si>
  <si>
    <t>AR5339-002</t>
  </si>
  <si>
    <t>Taking both height and craft to new levels, the Nike Air Force 1 Sage Low features a platform midsole and a pared-down upper for a bold yet feminine look.</t>
  </si>
  <si>
    <t>Nike Air Max Triax 96</t>
  </si>
  <si>
    <t>CD2053-105</t>
  </si>
  <si>
    <t>More than 20 years after its initial release, the Nike Air Max Triax 96 returns as a cult classic. Featuring the same iconic shape and large-volume Air unit, it brings back the classic comfort and style you remember.</t>
  </si>
  <si>
    <t>CI7395-100</t>
  </si>
  <si>
    <t>The Nike Air Max 90 gets you ready for the most romantic day of the year while staying true to its '90s running roots. Max Air unit helps cushion each step, while the solid-rubber Waffle outsole maximises traction.</t>
  </si>
  <si>
    <t>Nike Air VaporMax Flyknit 2 LXX</t>
  </si>
  <si>
    <t>AT5673-700</t>
  </si>
  <si>
    <t>The Nike Air VaporMax Flyknit 2 LXX places your foot directly on Air. By removing any layers in between and providing cushioning only where needed, it delivers the lightest, most flexible Air Max yet.</t>
  </si>
  <si>
    <t>Nike Free RN 5.0 AW</t>
  </si>
  <si>
    <t>BV7775-100</t>
  </si>
  <si>
    <t>An ideal performer for runs up to 3 miles, the Nike Free RN 5.0 AW returns to its roots as a motion shoe. A stripped-down upper with single-layer mesh stretches and moves with you. Less foam in the midsole makes it easy to hit the ground running.</t>
  </si>
  <si>
    <t>Air Jordan 1 Jester XX Low Laced</t>
  </si>
  <si>
    <t>CI7815-602</t>
  </si>
  <si>
    <t>The Air Jordan 1 Jester XX Low knows not to take things too seriously, except comfort. A real and synthetic leather upper is supportive where it counts, while the exaggerated midsole adds a little altitude with responsive cushioning.</t>
  </si>
  <si>
    <t>Nike Metcon 5 Premium</t>
  </si>
  <si>
    <t>CJ0818-146</t>
  </si>
  <si>
    <t>The Nike Metcon 5 Premium arms you with stability for heavy lifting and traction for sprints during high-impact training. It combines breathability and durability to be your secret weapon in the gym.</t>
  </si>
  <si>
    <t>CI1289-100</t>
  </si>
  <si>
    <t>An ideal performer for low-mileage sprints, the Nike Free RN 5.0 returns to its roots as a running shoe. Lightweight mesh in the upper provides more stretch to feel like a second skin. Less foam in the midsole means you're ready to hit the ground running.</t>
  </si>
  <si>
    <t>CD7287-003</t>
  </si>
  <si>
    <t>PG 3</t>
  </si>
  <si>
    <t>AO2607-401</t>
  </si>
  <si>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</si>
  <si>
    <t>Nike Free TR Ultra</t>
  </si>
  <si>
    <t>AO3424-001</t>
  </si>
  <si>
    <t>The Nike Free TR Ultra is lightweight and flexible to be quick and adaptable for whatever workout you take on. The slip-on design has Flywire cables to securely hold your foot. Soft, flexible foam cushioning has a wider surface area for more stability.</t>
  </si>
  <si>
    <t>BQ5972-001</t>
  </si>
  <si>
    <t>Air Jordan 7 Retro</t>
  </si>
  <si>
    <t>313358-006</t>
  </si>
  <si>
    <t>The Air Jordan 7 Retro celebrates MJ's championship legacy with a reissue of his 7th game shoe, the one he famously wore to gold-medal glory.</t>
  </si>
  <si>
    <t>CI1290-100</t>
  </si>
  <si>
    <t>BV6484-002</t>
  </si>
  <si>
    <t>Boasting Nike's tallest Air unit to date, the Nike Air Max 720 SE offers 360 degrees of cushioning and then some. With a jaw-dropping outsole and moulded upper, this shoe brings future style to the present day.</t>
  </si>
  <si>
    <t>Nike Air Huarache Ultra</t>
  </si>
  <si>
    <t>885118-001</t>
  </si>
  <si>
    <t>The Nike Air Huarache Ultra Women's Sandal helps keep your feet cool and comfortable on warmer days.</t>
  </si>
  <si>
    <t>BV7099-400</t>
  </si>
  <si>
    <t>Nike Air Max 270 React SE</t>
  </si>
  <si>
    <t>BV3387-400</t>
  </si>
  <si>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</si>
  <si>
    <t>849560-001</t>
  </si>
  <si>
    <t>The Nike Air Max 2017 Women's Shoe features a seamless Flymesh upper for support and breathability. Iconic Max Air cushioning provides a lightweight, smooth feel with each step, whether you're running your three-miler or running your day.</t>
  </si>
  <si>
    <t>Nike Flex RN 2018</t>
  </si>
  <si>
    <t>AA7408-008</t>
  </si>
  <si>
    <t>The Nike Flex RN 2018 Women's Running Shoe delivers a flexible fit with a lightweight knit construction to help your runs feel free and easy.</t>
  </si>
  <si>
    <t>NikeCourt Royale AC</t>
  </si>
  <si>
    <t>BQ9138-601</t>
  </si>
  <si>
    <t>Winning in both style and comfort, the NikeCourt Royale AC is as easy to get on as it is to pair with your entire warm-weather wardrobe. A hidden gore strap keeps the canvas upper looking clean and classic while easing it on and off.</t>
  </si>
  <si>
    <t>Jordan Air Latitude 720</t>
  </si>
  <si>
    <t>AV5187-602</t>
  </si>
  <si>
    <t>Boasting a bold 720 Air unit, the Jordan Air Latitude 720 offers 360 degrees of cushioning and then some. This attention-grabbing, AJ 8‚Äìinspired shoe is a celebration of '90s Jordan heritage, big-time Air and street-ready comfort.</t>
  </si>
  <si>
    <t>Nike Air Force 1 '07 SE</t>
  </si>
  <si>
    <t>AA0287-002</t>
  </si>
  <si>
    <t>The legend lives on in the Nike Air Force 1 '07 SE. This fresh take on an icon gives you classic style while playing up the AF-1's versatility with new colours and materials.</t>
  </si>
  <si>
    <t>BV7756-001</t>
  </si>
  <si>
    <t>AR6632-603</t>
  </si>
  <si>
    <t>AA1640-002</t>
  </si>
  <si>
    <t>The Nike Air Zoom Structure 22 Women's Running Shoe looks fast and feels secure. Engineered mesh, a heel overlay and dynamic support throughout the midfoot all work together to provide a smooth, stable ride.</t>
  </si>
  <si>
    <t>AA8027-109</t>
  </si>
  <si>
    <t>The NikeCourt Air Zoom Vapor X has an updated Dynamic Fit system with a full-length foot frame to provide ultimate control. Its new generative outsole combined with a Zoom Air unit provides a lightweight, responsive feel on the court.</t>
  </si>
  <si>
    <t>AR4225-100</t>
  </si>
  <si>
    <t>CD6964-002</t>
  </si>
  <si>
    <t>The Nike React Element 55 is a balanced blend of classic design and forward-looking innovation. Nike React foam delivers lightweight, bouncy comfort, while rubber outsole pods and an exaggerated outsole offer a cutting-edge look that begs a reaction.</t>
  </si>
  <si>
    <t>CN7383-300</t>
  </si>
  <si>
    <t>The Nike Zoom Pegasus Turbo 2 is updated with a featherlight upper, while Nike ZoomX foam brings revolutionary responsiveness to your long distance training.</t>
  </si>
  <si>
    <t>CI7388-600</t>
  </si>
  <si>
    <t>The Nike Air Max 97 keeps a sneaker icon going strong with the same design details that made its reputation from the beginning: water-ripple lines, reflective piping and full-length Max Air cushioning.</t>
  </si>
  <si>
    <t>BV7782-001</t>
  </si>
  <si>
    <t>Never worry about laces in the Nike Free RN Flyknit 3.0. This remix leaves them out‚Äîletting you slip in quickly and hit your stride even faster. Supportive yarns join stretchy technology for a lightweight upper that feels as good as it looks. Heel-to-toe grooves in the outsole move and bend with every stride.</t>
  </si>
  <si>
    <t>CK2630-001</t>
  </si>
  <si>
    <t>CN6867-001</t>
  </si>
  <si>
    <t>The iconic Nike Air Zoom Pegasus 36 returns with more cooling perforations and mesh in the upper that targets breathability across high-heat areas. A slimmer heel collar and tongue reduces bulk, while exposed cables give you a snug fit at higher speeds.</t>
  </si>
  <si>
    <t>Nike Metcon 4 XD Patch</t>
  </si>
  <si>
    <t>BQ7978-001</t>
  </si>
  <si>
    <t>Designed to withstand the demands of cross-training, the Nike Metcon 4 XD Patch delivers abrasion resistance with a 3D-printed upper for long-lasting wear. It comes with a set of 6 patches so you can customise your look with what motivates you most.</t>
  </si>
  <si>
    <t>NikeCourt Royale SL</t>
  </si>
  <si>
    <t>844896-002</t>
  </si>
  <si>
    <t>As fresh as the day it debuted, the NikeCourt Royale SL features classic, clean lines, a durable synthetic leather upper and a rubber cupsole for all-day comfort.</t>
  </si>
  <si>
    <t>BQ6046-010</t>
  </si>
  <si>
    <t>Nike ZoomX Vista Grind SP</t>
  </si>
  <si>
    <t>CT5770-300</t>
  </si>
  <si>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</si>
  <si>
    <t>CU3004-176</t>
  </si>
  <si>
    <t>30 years after its original release, the Nike Air Max 90 is back to celebrate the new year. A tonal graphic print, inspired by the folk art of paper cutting, celebrates breakthrough moments from the past that also coincided with the Year of the Rat. Soft, sateen-like material, classic TPU accents and hints of metallic silver finish this design that marks the beginning of a new decade and zodiac cycle.</t>
  </si>
  <si>
    <t>CI3899-200</t>
  </si>
  <si>
    <t>The Nike Air Max 270 React uses lightweight, layered, no-sew materials to create a modern style that looks as good as it feels.</t>
  </si>
  <si>
    <t>Nike Zoom Fly SP Fast</t>
  </si>
  <si>
    <t>BV0389-001</t>
  </si>
  <si>
    <t>The Nike Zoom Fly SP Fast Shoe features a deconstructed upper to make the shoe lightweight and distraction-free. Underfoot, Nike React technology combines with a full-length carbon-infused nylon plate to deliver revolutionary energy return.</t>
  </si>
  <si>
    <t>Nike Drop-Type</t>
  </si>
  <si>
    <t>CQ0989-002</t>
  </si>
  <si>
    <t>With DIY attitude and classic tennis shoe appeal, the Nike Drop-Type puts a raw, experimental edge on an iconic look. Featuring distinct lines that borrow from the NikeCourt series, an exposed foam tongue and N354 branding, it lets your shoes do the talking.</t>
  </si>
  <si>
    <t>CI7379-400</t>
  </si>
  <si>
    <t>Always one step ahead, the Nike Air Max 98 SE features the OG design lines that were inspired by the walls of the Grand Canyon. Its fluid, textured look and full-length Nike Air cushioning set it apart, while the gradient colours add Nike heritage.</t>
  </si>
  <si>
    <t>CN6881-300</t>
  </si>
  <si>
    <t>The Nike Zoom Rival Fly 2 features a futuristic look with cushioning in the forefoot that gives a responsive feel. Flex grooves underneath optimise toe-off and soft foam cushions your stride.</t>
  </si>
  <si>
    <t>CI3869-500</t>
  </si>
  <si>
    <t>The Nike MX-720-818 uses materials inspired by spacesuits with quilted stitching, for a futuristic take on classic Air Max DNA.</t>
  </si>
  <si>
    <t>Nike Blazer Low LE</t>
  </si>
  <si>
    <t>AV9370-001</t>
  </si>
  <si>
    <t>The Nike Blazer Low LE refines the old-school basketball icon with updated details.</t>
  </si>
  <si>
    <t>Nike Zoom Pegasus Turbo 2 Rise</t>
  </si>
  <si>
    <t>BV1134-001</t>
  </si>
  <si>
    <t>The Nike Zoom Pegasus Turbo 2 Rise is updated with a featherlight upper, while innovative foam brings revolutionary responsiveness to your long-distance training.</t>
  </si>
  <si>
    <t>CT1531-001</t>
  </si>
  <si>
    <t>At a local football club in the gritty Parisian suburb of Bondy, in between grey concrete housing projects, a kid named Kylian Mbapp√© practised his game. It didn't take long before that kid hit the world stage and became one of football's biggest superstars. The Nike Air Max 98 celebrates Mbapp√©'s childhood dream with a sneaker that brings the legacy of Bondy to the neighbourhoods of the world.</t>
  </si>
  <si>
    <t>AR7410-603</t>
  </si>
  <si>
    <t>The Nike Air Max Dia SE features sleek lines and a sheer upper that combine classic Air Max elements into a lightweight, comfy and versatile icon. Together with its smart toe-down profile and extra lift, the Nike Air Max Dia SE offers an ever-bigger expression of Nike Air.</t>
  </si>
  <si>
    <t>BQ5435-401</t>
  </si>
  <si>
    <t>812655-011</t>
  </si>
  <si>
    <t>Named after the Japanese word for simplicity, the Nike Tanjun Women's Shoe offers an elegant, modern design for an elevated everyday look.</t>
  </si>
  <si>
    <t>325213-139</t>
  </si>
  <si>
    <t>The Nike Air Max 90 Women's Shoe honours its roots with a supportive upper and the excellent cushioning that made the original a favourite.</t>
  </si>
  <si>
    <t>AO9820-001</t>
  </si>
  <si>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too.¬†The upper of the Nike Odyssey React is built with a lightweight, breathable fabric instead of the premium Flyknit featured on the Nike Epic React.</t>
  </si>
  <si>
    <t>AA1626-602</t>
  </si>
  <si>
    <t>The Nike Legend React Women's Running Shoe features a breathable upper with synthetic overlays that enhance durability while smooth, responsive foam cushions every step as you run.</t>
  </si>
  <si>
    <t>AQ8228-102</t>
  </si>
  <si>
    <t>In a fluid design that speaks the language of fast, the Nike Air Zoom Winflo 6 has less bulk and a more sculpted profile than previous versions. It has 2 Zoom Air units for targeted responsiveness in the forefoot and heel. On the top, engineered mesh optimises breathability.</t>
  </si>
  <si>
    <t>AH7858-010</t>
  </si>
  <si>
    <t>The Nike Air Zoom Vomero 14 takes responsive cushioning to the next level. The full-length Zoom Air unit works with Nike React cushioning to deliver a super-snappy, smooth ride. On the top, the sleek design is engineered to support your stride.</t>
  </si>
  <si>
    <t>Nike Air VaporMax SE</t>
  </si>
  <si>
    <t>CI1246-302</t>
  </si>
  <si>
    <t>The Nike Air VaporMax SE wraps your foot in a stretch woven material that gives structure and support to your stride. Underfoot, the lightest, most flexible Air Max cushioning to date gives a super-bouncy sensation that rivals running on air.</t>
  </si>
  <si>
    <t>AO7353-105</t>
  </si>
  <si>
    <t>The NikeCourt Air Max Wildcard delivers the comfort you need to hit hard and move fast on the court. A Max Air unit under your heel cushions every step, while an innovative Lunarlon midsole gives you a springy underfoot sensation and extra stability.</t>
  </si>
  <si>
    <t>CI3709-001</t>
  </si>
  <si>
    <t>The Nike Air Max 98 brings back retro Air Max style with contemporary comfort innovations. A full-length Max Air unit gives total cushioning in every step.</t>
  </si>
  <si>
    <t>AA8022-107</t>
  </si>
  <si>
    <t>Featuring the first full-length Zoom Air unit in NikeCourt history, the NikeCourt Air Zoom Zero delivers exceptional responsiveness and great court feel. Its fabric and synthetic upper with a customisable lacing system offers second-skin-like comfort.</t>
  </si>
  <si>
    <t>Nike x Olivia Kim Air Footscape</t>
  </si>
  <si>
    <t>CK3321-100</t>
  </si>
  <si>
    <t>Designer Olivia Kim couldn't get a pair of Footscapes when they dropped in '96 because they didn't make her size. Now, she's curating her own line of Nikes‚Äîwith sizes to match. Inspired by the '90s in NYC and the sneakers Olivia dreamt of owning, the Nike x Olivia Kim Air Footscape throws it back to her memories of the era's fashion and culture.</t>
  </si>
  <si>
    <t>AO3108-018</t>
  </si>
  <si>
    <t>The Nike M2K Tekno draws inspiration from the Monarch franchise and pushes it into the future with space-age detailing. Its layered upper mimics the design of the OG Monarch, while the chunky outsole draws on the beloved Monarch IV.</t>
  </si>
  <si>
    <t>Nike Air Max Dia NRG</t>
  </si>
  <si>
    <t>CQ2503-900</t>
  </si>
  <si>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</si>
  <si>
    <t>AR9293-603</t>
  </si>
  <si>
    <t>The Nike Air Max 720 goes bigger than ever before with Nike's tallest Air unit yet, which offers more air underfoot for unimaginable, all-day comfort. Has Air Max gone too far? We hope so.</t>
  </si>
  <si>
    <t>Nike Air Zoom Pegasus 36 FlyEase</t>
  </si>
  <si>
    <t>BV0614-005</t>
  </si>
  <si>
    <t>The Nike Air Zoom Pegasus 36 FlyEase maintains everything you love about the Pegasus and adds a zip for effortless on and off. The no-tie lacing system adjusts easily for a secure feel as you tackle your miles.</t>
  </si>
  <si>
    <t>CQ7620-001</t>
  </si>
  <si>
    <t>Nike P-6000 Icon Clash</t>
  </si>
  <si>
    <t>BV1021-007</t>
  </si>
  <si>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</si>
  <si>
    <t>Nike Air Max Bella TR 3</t>
  </si>
  <si>
    <t>CJ0842-600</t>
  </si>
  <si>
    <t>The Nike Air Max Bella TR 3 provides stable, comfortable cushioning for weightlifting and circuit training. Lightweight mesh lets your feet breathe, and the laces secure your foot.</t>
  </si>
  <si>
    <t>Nike Blazer Low Suede</t>
  </si>
  <si>
    <t>AV9373-002</t>
  </si>
  <si>
    <t>The Nike Blazer Low Suede Women's Shoe refines the old-school basketball icon with a suede upper.</t>
  </si>
  <si>
    <t>807443-503</t>
  </si>
  <si>
    <t>The Nike Air Max 95 Premium retains its iconic look, but is sleeker, lighter and geared for 24/7 comfort and style. It features inspiration from the human body itself. The midsole represents the spine, graduated panels are the muscles, the lace loops are the shoe's ribs and the fabric tongue is its skin.</t>
  </si>
  <si>
    <t>Nike Pre-Love O.X.</t>
  </si>
  <si>
    <t>AO3166-300</t>
  </si>
  <si>
    <t>The Nike Pre-Love O.X. Women's Shoe features a running-inspired profile and lightweight foam cushioning for all-day comfort.</t>
  </si>
  <si>
    <t>CI3446-001</t>
  </si>
  <si>
    <t>The Nike Air Force 1 '07 SE incorporates the same hoops-inspired performance features of the 1982 original while adding details that call to mind the 2000s aesthetic.</t>
  </si>
  <si>
    <t>Nike Zoom Pegasus Turbo XX</t>
  </si>
  <si>
    <t>AR4347-600</t>
  </si>
  <si>
    <t>Bridging performance and style, the Nike Zoom Pegasus Turbo XX Women's Running Shoe combines a full-length ZoomX midsole with an upper re-imagined exclusively for women. This feather-light translucent upper pops with a racing-stripe print that looks as fast as it feels, while Nike ZoomX foam delivers revolutionary responsiveness. A transparent, soft TPU overlay wraps your midfoot for the fit you need.</t>
  </si>
  <si>
    <t>CI3867-001</t>
  </si>
  <si>
    <t>Inspired by energy patterns radiating from Earth‚Äîlike the flow of lava and ocean waves‚Äîthe Nike Air Max 200 offers a springy Air Max unit for flawless comfort. With exceptional cushioning and modern detailing, this shoe radiates cool.</t>
  </si>
  <si>
    <t>Air Jordan 1 Jester XX Low Laced SE</t>
  </si>
  <si>
    <t>CQ0278-200</t>
  </si>
  <si>
    <t>Lighten up, have some fun, and sweat nothing except for comfort. The Air Jordan 1 Jester XX Low Laced SE features premium materials and a smooth, satiny lining, giving you plenty of support to match the step-in comfort. The shiny gold-tone finish and wavy, unconventional midsole gives it some playful attitude and added flexibility.</t>
  </si>
  <si>
    <t>Nike Mercurial Vapor 13 Club MG</t>
  </si>
  <si>
    <t>AT7968-606</t>
  </si>
  <si>
    <t>The Nike Mercurial Vapor 13 Club MG wraps your foot for streamlined speed. A versatile multi-ground plate provides traction on natural- and artificial-grass surfaces.</t>
  </si>
  <si>
    <t>Nike Zoom Pegasus Turbo 2 Special Edition</t>
  </si>
  <si>
    <t>BV7757-500</t>
  </si>
  <si>
    <t>The Nike Zoom Pegasus Turbo 2 is updated with a featherlight upper, while energy-returning foam brings revolutionary responsiveness to your long-distance training.</t>
  </si>
  <si>
    <t>CD2722-001</t>
  </si>
  <si>
    <t>The Air Jordan 5 Retro for women gives a colourful makeover to one of MJ's most memorable game shoes. Featuring iconic fighter plane-inspired midsole sculpting and moulded lace toggle, this version flashes an all-over reflective rainbow print for some bold colour and energy.</t>
  </si>
  <si>
    <t>Nike Tiempo Legend 8 Academy TF</t>
  </si>
  <si>
    <t>AT6100-606</t>
  </si>
  <si>
    <t>The Nike Tiempo Legend 8 Academy TF takes the legendary touch of calfskin leather and adds a grippy rubber outsole for multi-directional traction.</t>
  </si>
  <si>
    <t>CT9155-063</t>
  </si>
  <si>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</si>
  <si>
    <t>Air Jordan 8 Retro</t>
  </si>
  <si>
    <t>CI1236-100</t>
  </si>
  <si>
    <t>The Air Jordan 8 Retro recaptures the memorable look of the '93 release. It's made from real and synthetic leather and has the same distinct and daring design that made the original such a '90s favourite.</t>
  </si>
  <si>
    <t>AH6799-300</t>
  </si>
  <si>
    <t>The Nike Air Max 98 features the OG design lines that were inspired by the walls of the Grand Canyon while adding bursts of fresh colour to the upper. The fluid, textured look and full-length Nike Air cushioning set you apart from the pack.</t>
  </si>
  <si>
    <t>Nike P-6000 SE</t>
  </si>
  <si>
    <t>CJ9585-600</t>
  </si>
  <si>
    <t>A mash-up of Pegasus' past, the Nike P-6000 SE features breathable mesh with horizontal and vertical overlays for a 2000s running look. Its retro running aesthetic meets all-day comfort for the streets.</t>
  </si>
  <si>
    <t>NA</t>
  </si>
  <si>
    <t>-</t>
  </si>
  <si>
    <t>Rating_Group</t>
  </si>
  <si>
    <t>Review_Group</t>
  </si>
  <si>
    <t>Date</t>
  </si>
  <si>
    <t>2020-04-13</t>
  </si>
  <si>
    <t>Row Labels</t>
  </si>
  <si>
    <t>Grand Total</t>
  </si>
  <si>
    <t>MAX</t>
  </si>
  <si>
    <t>MIN</t>
  </si>
  <si>
    <t>AVERAGE</t>
  </si>
  <si>
    <t>MEDIAN</t>
  </si>
  <si>
    <t>RANGE</t>
  </si>
  <si>
    <t>LISTED_PRICE</t>
  </si>
  <si>
    <t>SALES_PRICE</t>
  </si>
  <si>
    <t>VIEWS_ COUNT</t>
  </si>
  <si>
    <t>NIKE</t>
  </si>
  <si>
    <t>DISCOUNT</t>
  </si>
  <si>
    <t>product_ID</t>
  </si>
  <si>
    <t>Product</t>
  </si>
  <si>
    <t>View_Count</t>
  </si>
  <si>
    <t>Rate_Group</t>
  </si>
  <si>
    <t>Sales_Price</t>
  </si>
  <si>
    <t>Review_Count</t>
  </si>
  <si>
    <t>REVIEWS_COUNT</t>
  </si>
  <si>
    <t>Discount %</t>
  </si>
  <si>
    <t>Sum of View_Count</t>
  </si>
  <si>
    <t>0 - 2.9</t>
  </si>
  <si>
    <t>3 - 3.9</t>
  </si>
  <si>
    <t>4 - 5</t>
  </si>
  <si>
    <t>$100 +</t>
  </si>
  <si>
    <t>$20 and under</t>
  </si>
  <si>
    <t>$50 and under</t>
  </si>
  <si>
    <t>under $100</t>
  </si>
  <si>
    <t>TOTAL</t>
  </si>
  <si>
    <t>TIME_RANGE</t>
  </si>
  <si>
    <t>Product_ID</t>
  </si>
  <si>
    <t>03.27.56 PM</t>
  </si>
  <si>
    <t>03.27.57 PM</t>
  </si>
  <si>
    <t>03.27.58 PM</t>
  </si>
  <si>
    <t>03.27.59 PM</t>
  </si>
  <si>
    <t>03.28.00 PM</t>
  </si>
  <si>
    <t>03.28.01 PM</t>
  </si>
  <si>
    <t>03.28.02 PM</t>
  </si>
  <si>
    <t>03.28.03 PM</t>
  </si>
  <si>
    <t>03.28.04 PM</t>
  </si>
  <si>
    <t>03.28.05 PM</t>
  </si>
  <si>
    <t>03.28.06 PM</t>
  </si>
  <si>
    <t>03.28.07 PM</t>
  </si>
  <si>
    <t>03.28.08 PM</t>
  </si>
  <si>
    <t>03.28.09 PM</t>
  </si>
  <si>
    <t>03.28.10 PM</t>
  </si>
  <si>
    <t>03.28.11 PM</t>
  </si>
  <si>
    <t>03.28.12 PM</t>
  </si>
  <si>
    <t>03.28.13 PM</t>
  </si>
  <si>
    <t>03.28.14 PM</t>
  </si>
  <si>
    <t>03.28.15 PM</t>
  </si>
  <si>
    <t>03.28.16 PM</t>
  </si>
  <si>
    <t>03.28.17 PM</t>
  </si>
  <si>
    <t>03.28.18 PM</t>
  </si>
  <si>
    <t>03.28.19 PM</t>
  </si>
  <si>
    <t>03.28.20 PM</t>
  </si>
  <si>
    <t>03.28.21 PM</t>
  </si>
  <si>
    <t>03.28.22 PM</t>
  </si>
  <si>
    <t>03.28.23 PM</t>
  </si>
  <si>
    <t>03.28.24 PM</t>
  </si>
  <si>
    <t>03.28.25 PM</t>
  </si>
  <si>
    <t>03.28.26 PM</t>
  </si>
  <si>
    <t>03.30.04 PM</t>
  </si>
  <si>
    <t>03.30.05 PM</t>
  </si>
  <si>
    <t>03.30.07 PM</t>
  </si>
  <si>
    <t>03.30.08 PM</t>
  </si>
  <si>
    <t>03.30.09 PM</t>
  </si>
  <si>
    <t>03.30.10 PM</t>
  </si>
  <si>
    <t>03.30.11 PM</t>
  </si>
  <si>
    <t>03.30.12 PM</t>
  </si>
  <si>
    <t>03.30.13 PM</t>
  </si>
  <si>
    <t>03.30.14 PM</t>
  </si>
  <si>
    <t>03.30.15 PM</t>
  </si>
  <si>
    <t>03.30.16 PM</t>
  </si>
  <si>
    <t>03.30.17 PM</t>
  </si>
  <si>
    <t>03.30.18 PM</t>
  </si>
  <si>
    <t>03.30.19 PM</t>
  </si>
  <si>
    <t>03.30.20 PM</t>
  </si>
  <si>
    <t>03.30.21 PM</t>
  </si>
  <si>
    <t>03.30.22 PM</t>
  </si>
  <si>
    <t>03.30.23 PM</t>
  </si>
  <si>
    <t>03.30.24 PM</t>
  </si>
  <si>
    <t>03.30.25 PM</t>
  </si>
  <si>
    <t>03.30.26 PM</t>
  </si>
  <si>
    <t>03.30.27 PM</t>
  </si>
  <si>
    <t>03.30.28 PM</t>
  </si>
  <si>
    <t>03.30.29 PM</t>
  </si>
  <si>
    <t>03.30.30 PM</t>
  </si>
  <si>
    <t>03.30.31 PM</t>
  </si>
  <si>
    <t>03.30.32 PM</t>
  </si>
  <si>
    <t>03.30.33 PM</t>
  </si>
  <si>
    <t>03.30.34 PM</t>
  </si>
  <si>
    <t>03.30.35 PM</t>
  </si>
  <si>
    <t>03.30.36 PM</t>
  </si>
  <si>
    <t>03.30.37 PM</t>
  </si>
  <si>
    <t>03.30.38 PM</t>
  </si>
  <si>
    <t>03.30.39 PM</t>
  </si>
  <si>
    <t>03.30.40 PM</t>
  </si>
  <si>
    <t>03.30.41 PM</t>
  </si>
  <si>
    <t>03.30.42 PM</t>
  </si>
  <si>
    <t>03.30.43 PM</t>
  </si>
  <si>
    <t>03.32.12 PM</t>
  </si>
  <si>
    <t>03.32.13 PM</t>
  </si>
  <si>
    <t>03.32.14 PM</t>
  </si>
  <si>
    <t>03.32.15 PM</t>
  </si>
  <si>
    <t>03.32.16 PM</t>
  </si>
  <si>
    <t>03.32.17 PM</t>
  </si>
  <si>
    <t>03.32.18 PM</t>
  </si>
  <si>
    <t>03.32.19 PM</t>
  </si>
  <si>
    <t>03.32.20 PM</t>
  </si>
  <si>
    <t>03.32.21 PM</t>
  </si>
  <si>
    <t>03.32.22 PM</t>
  </si>
  <si>
    <t>03.32.23 PM</t>
  </si>
  <si>
    <t>03.32.24 PM</t>
  </si>
  <si>
    <t>03.32.25 PM</t>
  </si>
  <si>
    <t>03.32.26 PM</t>
  </si>
  <si>
    <t>03.32.27 PM</t>
  </si>
  <si>
    <t>03.32.28 PM</t>
  </si>
  <si>
    <t>03.32.29 PM</t>
  </si>
  <si>
    <t>03.32.30 PM</t>
  </si>
  <si>
    <t>03.32.31 PM</t>
  </si>
  <si>
    <t>03.32.32 PM</t>
  </si>
  <si>
    <t>03.32.33 PM</t>
  </si>
  <si>
    <t>03.32.34 PM</t>
  </si>
  <si>
    <t>03.32.35 PM</t>
  </si>
  <si>
    <t>03.32.36 PM</t>
  </si>
  <si>
    <t>03.32.37 PM</t>
  </si>
  <si>
    <t>03.32.38 PM</t>
  </si>
  <si>
    <t>03.32.39 PM</t>
  </si>
  <si>
    <t>03.32.40 PM</t>
  </si>
  <si>
    <t>03.32.41 PM</t>
  </si>
  <si>
    <t>03.32.42 PM</t>
  </si>
  <si>
    <t>03.32.43 PM</t>
  </si>
  <si>
    <t>03.32.44 PM</t>
  </si>
  <si>
    <t>03.32.45 PM</t>
  </si>
  <si>
    <t>03.32.46 PM</t>
  </si>
  <si>
    <t>03.32.47 PM</t>
  </si>
  <si>
    <t>03.32.48 PM</t>
  </si>
  <si>
    <t>03.32.49 PM</t>
  </si>
  <si>
    <t>03.32.50 PM</t>
  </si>
  <si>
    <t>03.32.51 PM</t>
  </si>
  <si>
    <t>03.32.52 PM</t>
  </si>
  <si>
    <t>03.32.53 PM</t>
  </si>
  <si>
    <t>03.34.20 PM</t>
  </si>
  <si>
    <t>03.34.21 PM</t>
  </si>
  <si>
    <t>03.34.22 PM</t>
  </si>
  <si>
    <t>03.34.23 PM</t>
  </si>
  <si>
    <t>03.34.24 PM</t>
  </si>
  <si>
    <t>03.34.25 PM</t>
  </si>
  <si>
    <t>03.34.26 PM</t>
  </si>
  <si>
    <t>03.34.27 PM</t>
  </si>
  <si>
    <t>03.34.28 PM</t>
  </si>
  <si>
    <t>03.34.29 PM</t>
  </si>
  <si>
    <t>03.34.30 PM</t>
  </si>
  <si>
    <t>03.34.31 PM</t>
  </si>
  <si>
    <t>03.34.34 PM</t>
  </si>
  <si>
    <t>03.34.35 PM</t>
  </si>
  <si>
    <t>03.34.36 PM</t>
  </si>
  <si>
    <t>03.34.38 PM</t>
  </si>
  <si>
    <t>03.34.40 PM</t>
  </si>
  <si>
    <t>03.34.42 PM</t>
  </si>
  <si>
    <t>03.34.43 PM</t>
  </si>
  <si>
    <t>03.34.44 PM</t>
  </si>
  <si>
    <t>03.34.46 PM</t>
  </si>
  <si>
    <t>03.34.49 PM</t>
  </si>
  <si>
    <t>03.34.50 PM</t>
  </si>
  <si>
    <t>03.34.51 PM</t>
  </si>
  <si>
    <t>03.34.52 PM</t>
  </si>
  <si>
    <t>03.34.53 PM</t>
  </si>
  <si>
    <t>03.34.54 PM</t>
  </si>
  <si>
    <t>03.34.55 PM</t>
  </si>
  <si>
    <t>03.34.56 PM</t>
  </si>
  <si>
    <t>03.34.57 PM</t>
  </si>
  <si>
    <t>03.34.59 PM</t>
  </si>
  <si>
    <t>03.35.01 PM</t>
  </si>
  <si>
    <t>03.35.06 PM</t>
  </si>
  <si>
    <t>03.36.31 PM</t>
  </si>
  <si>
    <t>03.36.32 PM</t>
  </si>
  <si>
    <t>03.36.33 PM</t>
  </si>
  <si>
    <t>03.36.34 PM</t>
  </si>
  <si>
    <t>03.36.35 PM</t>
  </si>
  <si>
    <t>03.36.36 PM</t>
  </si>
  <si>
    <t>03.36.37 PM</t>
  </si>
  <si>
    <t>03.36.38 PM</t>
  </si>
  <si>
    <t>03.36.39 PM</t>
  </si>
  <si>
    <t>03.36.40 PM</t>
  </si>
  <si>
    <t>03.36.41 PM</t>
  </si>
  <si>
    <t>03.36.42 PM</t>
  </si>
  <si>
    <t>03.36.43 PM</t>
  </si>
  <si>
    <t>03.36.44 PM</t>
  </si>
  <si>
    <t>03.36.45 PM</t>
  </si>
  <si>
    <t>03.36.46 PM</t>
  </si>
  <si>
    <t>03.36.47 PM</t>
  </si>
  <si>
    <t>03.36.48 PM</t>
  </si>
  <si>
    <t>03.36.49 PM</t>
  </si>
  <si>
    <t>03.36.50 PM</t>
  </si>
  <si>
    <t>03.36.51 PM</t>
  </si>
  <si>
    <t>03.36.52 PM</t>
  </si>
  <si>
    <t>03.36.53 PM</t>
  </si>
  <si>
    <t>03.36.54 PM</t>
  </si>
  <si>
    <t>03.36.55 PM</t>
  </si>
  <si>
    <t>03.36.56 PM</t>
  </si>
  <si>
    <t>03.36.57 PM</t>
  </si>
  <si>
    <t>03.36.58 PM</t>
  </si>
  <si>
    <t>03.36.59 PM</t>
  </si>
  <si>
    <t>03.37.00 PM</t>
  </si>
  <si>
    <t>03.37.01 PM</t>
  </si>
  <si>
    <t>03.37.02 PM</t>
  </si>
  <si>
    <t>03.37.03 PM</t>
  </si>
  <si>
    <t>03.37.04 PM</t>
  </si>
  <si>
    <t>03.37.06 PM</t>
  </si>
  <si>
    <t>03.37.09 PM</t>
  </si>
  <si>
    <t>03.37.14 PM</t>
  </si>
  <si>
    <t>03.37.19 PM</t>
  </si>
  <si>
    <t>03.38.40 PM</t>
  </si>
  <si>
    <t>03.38.41 PM</t>
  </si>
  <si>
    <t>03.38.42 PM</t>
  </si>
  <si>
    <t>03.38.43 PM</t>
  </si>
  <si>
    <t>03.38.44 PM</t>
  </si>
  <si>
    <t>03.38.45 PM</t>
  </si>
  <si>
    <t>03.38.46 PM</t>
  </si>
  <si>
    <t>03.38.49 PM</t>
  </si>
  <si>
    <t>03.38.50 PM</t>
  </si>
  <si>
    <t>03.38.53 PM</t>
  </si>
  <si>
    <t>03.38.54 PM</t>
  </si>
  <si>
    <t>03.38.55 PM</t>
  </si>
  <si>
    <t>03.38.57 PM</t>
  </si>
  <si>
    <t>03.38.59 PM</t>
  </si>
  <si>
    <t>03.39.00 PM</t>
  </si>
  <si>
    <t>03.39.01 PM</t>
  </si>
  <si>
    <t>03.39.05 PM</t>
  </si>
  <si>
    <t>03.39.06 PM</t>
  </si>
  <si>
    <t>03.39.07 PM</t>
  </si>
  <si>
    <t>03.39.08 PM</t>
  </si>
  <si>
    <t>03.39.11 PM</t>
  </si>
  <si>
    <t>03.40.51 PM</t>
  </si>
  <si>
    <t>03.40.56 PM</t>
  </si>
  <si>
    <t>03.40.58 PM</t>
  </si>
  <si>
    <t>03.41.01 PM</t>
  </si>
  <si>
    <t>03.41.03 PM</t>
  </si>
  <si>
    <t>03.41.07 PM</t>
  </si>
  <si>
    <t>03.41.19 PM</t>
  </si>
  <si>
    <t>03.42.57 PM</t>
  </si>
  <si>
    <t>PRODUCT_COUNT</t>
  </si>
  <si>
    <t>15 MIN</t>
  </si>
  <si>
    <t>Count of Product</t>
  </si>
  <si>
    <t xml:space="preserve">The company is well balanced. </t>
  </si>
  <si>
    <t xml:space="preserve">   Customers are equally interested in what Nike has to offer</t>
  </si>
  <si>
    <t>product %</t>
  </si>
  <si>
    <t>view %</t>
  </si>
  <si>
    <t>Review%</t>
  </si>
  <si>
    <t>Shoes prices &gt;=100 make up 49 % of the view_count including 62% of the product reviews</t>
  </si>
  <si>
    <t xml:space="preserve">   Top Rate_Group for most views are</t>
  </si>
  <si>
    <t>Views</t>
  </si>
  <si>
    <t>View_Percentage</t>
  </si>
  <si>
    <t>MONDAY</t>
  </si>
  <si>
    <t>April 13th, 2020</t>
  </si>
  <si>
    <t>MONDAY   April 13th, 2020</t>
  </si>
  <si>
    <t># 1</t>
  </si>
  <si>
    <t># 2</t>
  </si>
  <si>
    <t># 3</t>
  </si>
  <si>
    <t>"Sale_Price_Group" Performance %</t>
  </si>
  <si>
    <t>Customers are equally intersted in all that nike has to offer</t>
  </si>
  <si>
    <t xml:space="preserve">View_Count </t>
  </si>
  <si>
    <t>Total_Views</t>
  </si>
  <si>
    <t>Total_Review_Count</t>
  </si>
  <si>
    <t>Listed_price</t>
  </si>
  <si>
    <t>majority of nike products are $100 +. These products receive 50 % of the views and make up over 60% of the reviews</t>
  </si>
  <si>
    <t>Products $50 + make up 40% of nikes inventory, receiving 40 % of the views and 30% of the review count</t>
  </si>
  <si>
    <t>View %</t>
  </si>
  <si>
    <t>"Rate_Group" View %</t>
  </si>
  <si>
    <t>Customer Favorite</t>
  </si>
  <si>
    <r>
      <t xml:space="preserve">NIKE </t>
    </r>
    <r>
      <rPr>
        <b/>
        <i/>
        <sz val="26"/>
        <color theme="0"/>
        <rFont val="Aptos Narrow"/>
        <scheme val="minor"/>
      </rPr>
      <t>"</t>
    </r>
    <r>
      <rPr>
        <b/>
        <i/>
        <sz val="26"/>
        <color theme="0"/>
        <rFont val="Aptos Narrow (Body)"/>
      </rPr>
      <t>Top 3"</t>
    </r>
    <r>
      <rPr>
        <b/>
        <i/>
        <sz val="16"/>
        <color theme="0"/>
        <rFont val="Aptos Narrow (Body)"/>
      </rPr>
      <t xml:space="preserve"> </t>
    </r>
    <r>
      <rPr>
        <b/>
        <i/>
        <sz val="20"/>
        <color theme="0"/>
        <rFont val="Aptos Narrow (Body)"/>
      </rPr>
      <t>Product Views</t>
    </r>
    <r>
      <rPr>
        <b/>
        <i/>
        <sz val="16"/>
        <color theme="0"/>
        <rFont val="Aptos Narrow (Body)"/>
      </rPr>
      <t xml:space="preserve"> </t>
    </r>
  </si>
  <si>
    <t>#1</t>
  </si>
  <si>
    <t>#2</t>
  </si>
  <si>
    <t>#3</t>
  </si>
  <si>
    <t>#4</t>
  </si>
  <si>
    <t>#5</t>
  </si>
  <si>
    <r>
      <rPr>
        <b/>
        <i/>
        <sz val="28"/>
        <color theme="1"/>
        <rFont val="Aptos Narrow (Body)"/>
      </rPr>
      <t>TOP 5</t>
    </r>
    <r>
      <rPr>
        <b/>
        <i/>
        <sz val="16"/>
        <color theme="1"/>
        <rFont val="Aptos Narrow"/>
        <scheme val="minor"/>
      </rPr>
      <t xml:space="preserve"> </t>
    </r>
    <r>
      <rPr>
        <b/>
        <i/>
        <sz val="28"/>
        <color theme="1"/>
        <rFont val="Aptos Narrow (Body)"/>
      </rPr>
      <t>Shoes</t>
    </r>
  </si>
  <si>
    <t>15min_view_ct</t>
  </si>
  <si>
    <t>Review_ct</t>
  </si>
  <si>
    <r>
      <rPr>
        <b/>
        <sz val="40"/>
        <color theme="1"/>
        <rFont val="Aptos Narrow (Body)"/>
      </rPr>
      <t>15 min. Sprint</t>
    </r>
    <r>
      <rPr>
        <b/>
        <sz val="48"/>
        <color theme="1"/>
        <rFont val="Aptos Narrow"/>
        <scheme val="minor"/>
      </rPr>
      <t xml:space="preserve"> </t>
    </r>
  </si>
  <si>
    <t>"Rate_Group" &amp; "Reviews"</t>
  </si>
  <si>
    <t>Time</t>
  </si>
  <si>
    <t>Average +</t>
  </si>
  <si>
    <t>Below Average</t>
  </si>
  <si>
    <t>("Reviews" &gt;= 8)</t>
  </si>
  <si>
    <t>&gt;= AVERAGE</t>
  </si>
  <si>
    <t>( "Reviews" &lt;= 7)</t>
  </si>
  <si>
    <t>discount</t>
  </si>
  <si>
    <t>"e.nike.discount"</t>
  </si>
  <si>
    <t>15 MIN VIEW CT</t>
  </si>
  <si>
    <t>&lt; AVERAGE</t>
  </si>
  <si>
    <t>15 MIN SPRINT</t>
  </si>
  <si>
    <t>15 Minute Sprint Preview</t>
  </si>
  <si>
    <t>"d.nike.bias"</t>
  </si>
  <si>
    <t>"c.nike.unbias"</t>
  </si>
  <si>
    <t xml:space="preserve">Discount Effectiveness </t>
  </si>
  <si>
    <t xml:space="preserve">   </t>
  </si>
  <si>
    <t>COUNT</t>
  </si>
  <si>
    <t>BIAS PRODUCTS</t>
  </si>
  <si>
    <t>UNBIAS PRODUCTS</t>
  </si>
  <si>
    <t>Monday april 13th, 2020</t>
  </si>
  <si>
    <t>Issue. The count of the discounted products from the discount table do not equal the total in my PT when using a slicer on the discount.</t>
  </si>
  <si>
    <t>% off</t>
  </si>
  <si>
    <t>View Count</t>
  </si>
  <si>
    <t>REVIEW &lt; AVERAGE</t>
  </si>
  <si>
    <t>REVIEW &gt;= AVERAGE</t>
  </si>
  <si>
    <t xml:space="preserve"> View_Count</t>
  </si>
  <si>
    <t>Product_Count</t>
  </si>
  <si>
    <t>% off view count</t>
  </si>
  <si>
    <t>% off Product count</t>
  </si>
  <si>
    <t>15MIN VIEW COUNT</t>
  </si>
  <si>
    <t xml:space="preserve">AVG REVIEW </t>
  </si>
  <si>
    <t>hjvhjvhjvvvkvvkhvkhVHJVJHVKVKVKVKVKH</t>
  </si>
  <si>
    <t>BBJKBJKBKBKBKBKBKB</t>
  </si>
  <si>
    <r>
      <t>NIKE</t>
    </r>
    <r>
      <rPr>
        <b/>
        <i/>
        <sz val="28"/>
        <color theme="1"/>
        <rFont val="Aptos Narrow (Body)"/>
      </rPr>
      <t>SHOES</t>
    </r>
  </si>
  <si>
    <t xml:space="preserve">Discount Summary </t>
  </si>
  <si>
    <t>15 MIN SAMPLE</t>
  </si>
  <si>
    <t>Reviews average +</t>
  </si>
  <si>
    <t>Max Discount</t>
  </si>
  <si>
    <t>All product Metrics</t>
  </si>
  <si>
    <t>Total Shoe Count</t>
  </si>
  <si>
    <t>DISCOUNT_COUNT</t>
  </si>
  <si>
    <t xml:space="preserve">REVIEW &lt; AVERAGE </t>
  </si>
  <si>
    <t>Discount Profile</t>
  </si>
  <si>
    <t>Summary Profile</t>
  </si>
  <si>
    <t>Percent</t>
  </si>
  <si>
    <t>15 min view</t>
  </si>
  <si>
    <t>No Discount</t>
  </si>
  <si>
    <t>Total</t>
  </si>
  <si>
    <t>&lt; 8</t>
  </si>
  <si>
    <t>&gt;= 8</t>
  </si>
  <si>
    <t>Max Price</t>
  </si>
  <si>
    <t>15 min</t>
  </si>
  <si>
    <t>Min Price</t>
  </si>
  <si>
    <t>Avg Views</t>
  </si>
  <si>
    <t>Avg Price</t>
  </si>
  <si>
    <t>Avg Reviews</t>
  </si>
  <si>
    <t>Total Discount Shoes</t>
  </si>
  <si>
    <t>Shoe Count</t>
  </si>
  <si>
    <t>15min Views</t>
  </si>
  <si>
    <t>views avg +</t>
  </si>
  <si>
    <t>Views Below avg</t>
  </si>
  <si>
    <t>Reviews below avg</t>
  </si>
  <si>
    <t>Min Discount</t>
  </si>
  <si>
    <t>Avg Discount</t>
  </si>
  <si>
    <t>Rate_Group Metrics</t>
  </si>
  <si>
    <t>Discount Metrics</t>
  </si>
  <si>
    <t>Review count</t>
  </si>
  <si>
    <t>Review Average</t>
  </si>
  <si>
    <t>Discount Count</t>
  </si>
  <si>
    <t>15 min View Count</t>
  </si>
  <si>
    <t>Shoes</t>
  </si>
  <si>
    <t xml:space="preserve">Reviews </t>
  </si>
  <si>
    <t>Max view</t>
  </si>
  <si>
    <t>MAX / MIN</t>
  </si>
  <si>
    <t>DISCOUNT SHOE COUNT</t>
  </si>
  <si>
    <t>KPI's</t>
  </si>
  <si>
    <t>what motivating factors are influencing the discounts</t>
  </si>
  <si>
    <t>Sales Group Metrics</t>
  </si>
  <si>
    <t>total</t>
  </si>
  <si>
    <r>
      <rPr>
        <b/>
        <i/>
        <sz val="72"/>
        <color theme="1"/>
        <rFont val="Aptos Narrow (Body)"/>
      </rPr>
      <t>NIKE</t>
    </r>
    <r>
      <rPr>
        <b/>
        <i/>
        <sz val="22"/>
        <color theme="1"/>
        <rFont val="Aptos Narrow (Body)"/>
      </rPr>
      <t>SHOES</t>
    </r>
  </si>
  <si>
    <t>TOP "3" VIEWS</t>
  </si>
  <si>
    <t>VIEWS</t>
  </si>
  <si>
    <t>TOP SHOE</t>
  </si>
  <si>
    <t>MAX REVIEW</t>
  </si>
  <si>
    <t>review count</t>
  </si>
  <si>
    <t>rate_group</t>
  </si>
  <si>
    <t>PROD. ID</t>
  </si>
  <si>
    <t>4.0 - 5</t>
  </si>
  <si>
    <t>#  4</t>
  </si>
  <si>
    <t># 5</t>
  </si>
  <si>
    <t xml:space="preserve"> dsfsadfdsfdsfdsfdsff</t>
  </si>
  <si>
    <t>hvvkvkbkkbkbkbjbkkk</t>
  </si>
  <si>
    <t>Datasource</t>
  </si>
  <si>
    <t>a.nike.orignial.man</t>
  </si>
  <si>
    <t>b.nike.views</t>
  </si>
  <si>
    <t>c.nike.unbias</t>
  </si>
  <si>
    <t>d.nike.bias</t>
  </si>
  <si>
    <t>e.nike.discount</t>
  </si>
  <si>
    <t>Visuals</t>
  </si>
  <si>
    <t>g.nike.input</t>
  </si>
  <si>
    <t>h.nike.sales.dashboard</t>
  </si>
  <si>
    <t>i.nike.discount.dash</t>
  </si>
  <si>
    <t>j.nike.today.view</t>
  </si>
  <si>
    <t>k.nike.top5.shoe</t>
  </si>
  <si>
    <t>f.nike.discriptive</t>
  </si>
  <si>
    <t>Sales Dashboard</t>
  </si>
  <si>
    <t>Report - View</t>
  </si>
  <si>
    <t>Report - Top 5</t>
  </si>
  <si>
    <t>Dashboard - Discount</t>
  </si>
  <si>
    <t>Dashboard - Sales</t>
  </si>
  <si>
    <t>Original data manipulated</t>
  </si>
  <si>
    <t>Views data</t>
  </si>
  <si>
    <t>&gt;= 8 reviews data</t>
  </si>
  <si>
    <t>&lt;=7 reviews data</t>
  </si>
  <si>
    <t>Discount data</t>
  </si>
  <si>
    <t xml:space="preserve">Original data </t>
  </si>
  <si>
    <t>https://www.kaggle.com/datasets/kaushiksuresh147/adidas-vs-nike</t>
  </si>
  <si>
    <t>This Analysis was preformed out of pure enjoyment and love for the two brands. There was not guided direction.</t>
  </si>
  <si>
    <t>Readme</t>
  </si>
  <si>
    <t>The questions I chose to answer were ones that I came up with while profiling the data. There were a few</t>
  </si>
  <si>
    <t>metrics I knew right away I could uncover using the tools I leaned from Googles Professional Data Analytics Certification</t>
  </si>
  <si>
    <t>As my curiosity grew I knew there was even more ways to uncover and present findings. This analysis was preformed</t>
  </si>
  <si>
    <t xml:space="preserve">entirely on Microsoft Excel. </t>
  </si>
  <si>
    <t>Contact</t>
  </si>
  <si>
    <t>Jordan Lloyd</t>
  </si>
  <si>
    <t>(404)921 - 7079</t>
  </si>
  <si>
    <t>jordanlloyd2009@gmail.com</t>
  </si>
  <si>
    <t>www.github.com</t>
  </si>
  <si>
    <t>Product %</t>
  </si>
  <si>
    <t>SHOES</t>
  </si>
  <si>
    <t>Dashboard - Input</t>
  </si>
  <si>
    <t xml:space="preserve">Dashboard - Statistics </t>
  </si>
  <si>
    <r>
      <rPr>
        <b/>
        <i/>
        <sz val="170"/>
        <color theme="1"/>
        <rFont val="Aptos Narrow (Body)"/>
      </rPr>
      <t>NIKE</t>
    </r>
    <r>
      <rPr>
        <b/>
        <i/>
        <sz val="28"/>
        <color theme="1"/>
        <rFont val="Aptos Narrow (Body)"/>
      </rPr>
      <t>SHOES</t>
    </r>
  </si>
  <si>
    <t>This discovery validates the effectiveness of the discount ability to draw attention</t>
  </si>
  <si>
    <t>Nike customers fall into two categories, spenders $100 + and spenders $50 +</t>
  </si>
  <si>
    <t xml:space="preserve">Shoes prices &gt;=51 make up 43 % of the view_ count including </t>
  </si>
  <si>
    <t>Suggestion</t>
  </si>
  <si>
    <t>Below avg</t>
  </si>
  <si>
    <t>avg</t>
  </si>
  <si>
    <t>The motivating factor influencing Nikes discounted products is to increase the products review count making the data more credible for analysis, inturn increasing Nikes marketing effectiveness.</t>
  </si>
  <si>
    <t xml:space="preserve">71 % of the discounted products have a review count below average </t>
  </si>
  <si>
    <t xml:space="preserve">Discounts are targeted at products  with a review count below average. Not the rate. </t>
  </si>
  <si>
    <t>Count of Product2</t>
  </si>
  <si>
    <t>2.9 - 0</t>
  </si>
  <si>
    <t>percent</t>
  </si>
  <si>
    <t>Product Count</t>
  </si>
  <si>
    <t>Every 15 minutes Nike products are reciving between 1 and 2 views.</t>
  </si>
  <si>
    <t>With a view count almost equal to the highest rated products, Nikes lowest rated products are receiving nearly equal attention</t>
  </si>
  <si>
    <t xml:space="preserve">Data Collected </t>
  </si>
  <si>
    <t>Data Analysed</t>
  </si>
  <si>
    <t>by Jordan Lloyd</t>
  </si>
  <si>
    <t>July 1st - July 30th, 2025</t>
  </si>
  <si>
    <t>Shoe</t>
  </si>
  <si>
    <t>Sales_Group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</si>
</sst>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4" formatCode="_(&quot;$&quot;* #,##0.00_);_(&quot;$&quot;* \(#,##0.00\);_(&quot;$&quot;* &quot;-&quot;??_);_(@_)"/>
    <numFmt numFmtId="164" formatCode="_(&quot;$&quot;* #,##0_);_(&quot;$&quot;* \(#,##0\);_(&quot;$&quot;* &quot;-&quot;??_);_(@_)"/>
    <numFmt numFmtId="165" formatCode="[$-F400]h:mm:ss\ AM/PM"/>
    <numFmt numFmtId="166" formatCode="[hh]:mm"/>
    <numFmt numFmtId="171" formatCode="&quot;$&quot;#,##0"/>
  </numFmts>
  <fonts count="9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b/>
      <sz val="16"/>
      <color theme="0"/>
      <name val="Aptos Narrow"/>
      <scheme val="minor"/>
    </font>
    <font>
      <b/>
      <sz val="24"/>
      <color theme="1"/>
      <name val="Aptos Narrow"/>
      <scheme val="minor"/>
    </font>
    <font>
      <b/>
      <sz val="20"/>
      <color theme="1"/>
      <name val="Aptos Narrow"/>
      <scheme val="minor"/>
    </font>
    <font>
      <b/>
      <i/>
      <sz val="16"/>
      <color theme="1"/>
      <name val="Aptos Narrow"/>
      <scheme val="minor"/>
    </font>
    <font>
      <sz val="8"/>
      <name val="Aptos Narrow"/>
      <family val="2"/>
      <scheme val="minor"/>
    </font>
    <font>
      <sz val="16"/>
      <color theme="1"/>
      <name val="Aptos Narrow"/>
      <family val="2"/>
      <scheme val="minor"/>
    </font>
    <font>
      <b/>
      <sz val="14"/>
      <color theme="1"/>
      <name val="Aptos Narrow"/>
      <scheme val="minor"/>
    </font>
    <font>
      <sz val="20"/>
      <color theme="1"/>
      <name val="Aptos Narrow"/>
      <family val="2"/>
      <scheme val="minor"/>
    </font>
    <font>
      <b/>
      <sz val="36"/>
      <color theme="1"/>
      <name val="Aptos Narrow"/>
      <scheme val="minor"/>
    </font>
    <font>
      <b/>
      <sz val="12"/>
      <color theme="0"/>
      <name val="Aptos Narrow"/>
      <scheme val="minor"/>
    </font>
    <font>
      <b/>
      <sz val="18"/>
      <color theme="1"/>
      <name val="Aptos Narrow"/>
      <scheme val="minor"/>
    </font>
    <font>
      <b/>
      <sz val="9"/>
      <color theme="1"/>
      <name val="Aptos Narrow"/>
      <scheme val="minor"/>
    </font>
    <font>
      <b/>
      <sz val="16"/>
      <color theme="1"/>
      <name val="Aptos Narrow"/>
      <scheme val="minor"/>
    </font>
    <font>
      <sz val="12"/>
      <color theme="0"/>
      <name val="Aptos Narrow"/>
      <scheme val="minor"/>
    </font>
    <font>
      <b/>
      <sz val="18"/>
      <color theme="0"/>
      <name val="Aptos Narrow"/>
      <scheme val="minor"/>
    </font>
    <font>
      <b/>
      <sz val="20"/>
      <color theme="0"/>
      <name val="Aptos Narrow"/>
      <scheme val="minor"/>
    </font>
    <font>
      <b/>
      <sz val="14"/>
      <color theme="0"/>
      <name val="Aptos Narrow"/>
      <scheme val="minor"/>
    </font>
    <font>
      <sz val="14"/>
      <color theme="0"/>
      <name val="Aptos Narrow"/>
      <scheme val="minor"/>
    </font>
    <font>
      <b/>
      <i/>
      <sz val="36"/>
      <color theme="0"/>
      <name val="Aptos Narrow"/>
      <scheme val="minor"/>
    </font>
    <font>
      <b/>
      <sz val="16"/>
      <color theme="1"/>
      <name val="Aptos Narrow (Body)"/>
    </font>
    <font>
      <b/>
      <sz val="16"/>
      <color theme="0" tint="-0.14999847407452621"/>
      <name val="Aptos Narrow"/>
      <family val="2"/>
      <scheme val="minor"/>
    </font>
    <font>
      <b/>
      <sz val="16"/>
      <color theme="1"/>
      <name val="Aptos Narrow"/>
      <family val="2"/>
      <scheme val="minor"/>
    </font>
    <font>
      <b/>
      <sz val="48"/>
      <color theme="1"/>
      <name val="Aptos Narrow"/>
      <scheme val="minor"/>
    </font>
    <font>
      <b/>
      <sz val="26"/>
      <color theme="1"/>
      <name val="Aptos Narrow"/>
      <family val="2"/>
      <scheme val="minor"/>
    </font>
    <font>
      <b/>
      <sz val="48"/>
      <color theme="0"/>
      <name val="Aptos Narrow"/>
      <scheme val="minor"/>
    </font>
    <font>
      <b/>
      <i/>
      <sz val="48"/>
      <color theme="0"/>
      <name val="Aptos Narrow"/>
      <scheme val="minor"/>
    </font>
    <font>
      <b/>
      <i/>
      <sz val="16"/>
      <color theme="0"/>
      <name val="Aptos Narrow (Body)"/>
    </font>
    <font>
      <b/>
      <i/>
      <sz val="26"/>
      <color theme="0"/>
      <name val="Aptos Narrow"/>
      <scheme val="minor"/>
    </font>
    <font>
      <b/>
      <i/>
      <sz val="26"/>
      <color theme="0"/>
      <name val="Aptos Narrow (Body)"/>
    </font>
    <font>
      <b/>
      <sz val="24"/>
      <color theme="0"/>
      <name val="Aptos Narrow"/>
      <scheme val="minor"/>
    </font>
    <font>
      <b/>
      <sz val="40"/>
      <color theme="1"/>
      <name val="Aptos Narrow (Body)"/>
    </font>
    <font>
      <b/>
      <sz val="28"/>
      <color theme="1"/>
      <name val="Aptos Narrow"/>
      <scheme val="minor"/>
    </font>
    <font>
      <b/>
      <sz val="20"/>
      <color theme="1"/>
      <name val="Aptos Narrow"/>
      <family val="2"/>
      <scheme val="minor"/>
    </font>
    <font>
      <sz val="14"/>
      <color theme="1"/>
      <name val="Aptos Narrow"/>
      <family val="2"/>
      <scheme val="minor"/>
    </font>
    <font>
      <sz val="16"/>
      <color theme="0"/>
      <name val="Aptos Narrow"/>
      <family val="2"/>
      <scheme val="minor"/>
    </font>
    <font>
      <b/>
      <sz val="18"/>
      <color theme="1"/>
      <name val="Aptos Narrow"/>
      <family val="2"/>
      <scheme val="minor"/>
    </font>
    <font>
      <b/>
      <i/>
      <sz val="28"/>
      <color theme="1"/>
      <name val="Aptos Narrow (Body)"/>
    </font>
    <font>
      <b/>
      <i/>
      <sz val="20"/>
      <color theme="0"/>
      <name val="Aptos Narrow (Body)"/>
    </font>
    <font>
      <b/>
      <i/>
      <sz val="22"/>
      <color theme="0"/>
      <name val="Aptos Narrow"/>
      <scheme val="minor"/>
    </font>
    <font>
      <sz val="12"/>
      <color theme="0" tint="-0.249977111117893"/>
      <name val="Aptos Narrow"/>
      <family val="2"/>
      <scheme val="minor"/>
    </font>
    <font>
      <sz val="14"/>
      <color theme="0"/>
      <name val="Aptos Narrow"/>
      <family val="2"/>
      <scheme val="minor"/>
    </font>
    <font>
      <b/>
      <sz val="14"/>
      <color theme="1"/>
      <name val="Aptos Narrow"/>
      <family val="2"/>
      <scheme val="minor"/>
    </font>
    <font>
      <b/>
      <sz val="12"/>
      <color theme="0" tint="-0.499984740745262"/>
      <name val="Aptos Narrow"/>
      <family val="2"/>
      <scheme val="minor"/>
    </font>
    <font>
      <b/>
      <sz val="22"/>
      <color theme="1"/>
      <name val="Aptos Narrow"/>
      <scheme val="minor"/>
    </font>
    <font>
      <b/>
      <sz val="26"/>
      <color theme="0"/>
      <name val="Aptos Narrow"/>
      <scheme val="minor"/>
    </font>
    <font>
      <b/>
      <sz val="72"/>
      <color theme="1"/>
      <name val="Aptos Narrow"/>
      <scheme val="minor"/>
    </font>
    <font>
      <sz val="26"/>
      <color theme="1"/>
      <name val="Aptos Narrow"/>
      <family val="2"/>
      <scheme val="minor"/>
    </font>
    <font>
      <b/>
      <sz val="36"/>
      <color theme="0"/>
      <name val="Aptos Narrow"/>
      <scheme val="minor"/>
    </font>
    <font>
      <sz val="28"/>
      <color theme="0"/>
      <name val="Aptos Narrow"/>
      <family val="2"/>
      <scheme val="minor"/>
    </font>
    <font>
      <b/>
      <sz val="28"/>
      <color theme="0"/>
      <name val="Aptos Narrow"/>
      <scheme val="minor"/>
    </font>
    <font>
      <b/>
      <sz val="26"/>
      <color theme="0"/>
      <name val="Aptos Narrow (Body)"/>
    </font>
    <font>
      <sz val="12"/>
      <color theme="3" tint="0.749992370372631"/>
      <name val="Aptos Narrow"/>
      <family val="2"/>
      <scheme val="minor"/>
    </font>
    <font>
      <sz val="20"/>
      <color theme="3" tint="0.749992370372631"/>
      <name val="Aptos Narrow"/>
      <family val="2"/>
      <scheme val="minor"/>
    </font>
    <font>
      <b/>
      <i/>
      <sz val="125"/>
      <color theme="1"/>
      <name val="Aptos Narrow"/>
      <scheme val="minor"/>
    </font>
    <font>
      <b/>
      <sz val="28"/>
      <color rgb="FFFFFF00"/>
      <name val="Aptos Narrow"/>
      <scheme val="minor"/>
    </font>
    <font>
      <b/>
      <i/>
      <sz val="72"/>
      <color theme="0"/>
      <name val="Aptos Narrow"/>
      <scheme val="minor"/>
    </font>
    <font>
      <b/>
      <i/>
      <sz val="22"/>
      <color theme="1"/>
      <name val="Aptos Narrow (Body)"/>
    </font>
    <font>
      <b/>
      <i/>
      <sz val="72"/>
      <color theme="1"/>
      <name val="Aptos Narrow (Body)"/>
    </font>
    <font>
      <b/>
      <i/>
      <sz val="125"/>
      <color theme="1"/>
      <name val="Aptos Narrow (Body)"/>
    </font>
    <font>
      <sz val="28"/>
      <color theme="0"/>
      <name val="Aptos Narrow"/>
      <scheme val="minor"/>
    </font>
    <font>
      <sz val="28"/>
      <color theme="1"/>
      <name val="Aptos Narrow"/>
      <scheme val="minor"/>
    </font>
    <font>
      <b/>
      <sz val="28"/>
      <color theme="1"/>
      <name val="Aptos Narrow"/>
      <family val="2"/>
      <scheme val="minor"/>
    </font>
    <font>
      <sz val="28"/>
      <color theme="1"/>
      <name val="Aptos Narrow"/>
      <family val="2"/>
      <scheme val="minor"/>
    </font>
    <font>
      <sz val="28"/>
      <color theme="0" tint="-0.249977111117893"/>
      <name val="Aptos Narrow"/>
      <family val="2"/>
      <scheme val="minor"/>
    </font>
    <font>
      <b/>
      <sz val="28"/>
      <color theme="0" tint="-0.499984740745262"/>
      <name val="Aptos Narrow"/>
      <family val="2"/>
      <scheme val="minor"/>
    </font>
    <font>
      <b/>
      <sz val="60"/>
      <color theme="0"/>
      <name val="Aptos Narrow"/>
      <scheme val="minor"/>
    </font>
    <font>
      <b/>
      <sz val="36"/>
      <color rgb="FFFFFF00"/>
      <name val="Aptos Narrow"/>
      <scheme val="minor"/>
    </font>
    <font>
      <u/>
      <sz val="12"/>
      <color theme="10"/>
      <name val="Aptos Narrow"/>
      <family val="2"/>
      <scheme val="minor"/>
    </font>
    <font>
      <b/>
      <sz val="12"/>
      <color rgb="FF0070C0"/>
      <name val="Aptos Narrow"/>
      <scheme val="minor"/>
    </font>
    <font>
      <b/>
      <sz val="12"/>
      <color theme="5" tint="-0.249977111117893"/>
      <name val="Aptos Narrow"/>
      <scheme val="minor"/>
    </font>
    <font>
      <b/>
      <u/>
      <sz val="12"/>
      <color theme="10"/>
      <name val="Aptos Narrow"/>
      <scheme val="minor"/>
    </font>
    <font>
      <b/>
      <i/>
      <sz val="170"/>
      <color theme="1"/>
      <name val="Aptos Narrow (Body)"/>
    </font>
    <font>
      <b/>
      <sz val="26"/>
      <color theme="0"/>
      <name val="Aptos Narrow"/>
      <family val="2"/>
      <scheme val="minor"/>
    </font>
    <font>
      <sz val="26"/>
      <color theme="0"/>
      <name val="Aptos Narrow"/>
      <family val="2"/>
      <scheme val="minor"/>
    </font>
  </fonts>
  <fills count="7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3" tint="0.499984740745262"/>
        <bgColor indexed="64"/>
      </patternFill>
    </fill>
    <fill>
      <patternFill patternType="solid">
        <fgColor theme="3" tint="0.749992370372631"/>
        <bgColor indexed="64"/>
      </patternFill>
    </fill>
    <fill>
      <patternFill patternType="solid">
        <fgColor rgb="FFFFFF00"/>
        <bgColor indexed="64"/>
      </patternFill>
    </fill>
    <fill>
      <patternFill patternType="solid">
        <fgColor theme="1"/>
        <bgColor indexed="64"/>
      </patternFill>
    </fill>
    <fill>
      <patternFill patternType="solid">
        <fgColor theme="2" tint="-0.249977111117893"/>
        <bgColor indexed="64"/>
      </patternFill>
    </fill>
    <fill>
      <patternFill patternType="solid">
        <fgColor rgb="FFDAD902"/>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1" tint="0.249977111117893"/>
        <bgColor indexed="64"/>
      </patternFill>
    </fill>
    <fill>
      <patternFill patternType="solid">
        <fgColor theme="0"/>
        <bgColor indexed="64"/>
      </patternFill>
    </fill>
    <fill>
      <patternFill patternType="solid">
        <fgColor theme="1" tint="0.149998474074526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EBFF56"/>
        <bgColor indexed="64"/>
      </patternFill>
    </fill>
    <fill>
      <patternFill patternType="solid">
        <fgColor rgb="FFFF635A"/>
        <bgColor indexed="64"/>
      </patternFill>
    </fill>
    <fill>
      <patternFill patternType="solid">
        <fgColor rgb="FFFF810D"/>
        <bgColor indexed="64"/>
      </patternFill>
    </fill>
    <fill>
      <patternFill patternType="solid">
        <fgColor rgb="FFDB6F0D"/>
        <bgColor indexed="64"/>
      </patternFill>
    </fill>
    <fill>
      <patternFill patternType="solid">
        <fgColor rgb="FFFF9F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C7C600"/>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8" tint="0.39997558519241921"/>
        <bgColor indexed="64"/>
      </patternFill>
    </fill>
    <fill>
      <patternFill patternType="solid">
        <fgColor theme="3" tint="0.249977111117893"/>
        <bgColor indexed="64"/>
      </patternFill>
    </fill>
    <fill>
      <patternFill patternType="solid">
        <fgColor theme="3" tint="9.9978637043366805E-2"/>
        <bgColor indexed="64"/>
      </patternFill>
    </fill>
    <fill>
      <patternFill patternType="solid">
        <fgColor theme="5" tint="0.39997558519241921"/>
        <bgColor indexed="64"/>
      </patternFill>
    </fill>
    <fill>
      <patternFill patternType="solid">
        <fgColor rgb="FF92B3D3"/>
        <bgColor indexed="64"/>
      </patternFill>
    </fill>
    <fill>
      <patternFill patternType="solid">
        <fgColor theme="3" tint="0.89999084444715716"/>
        <bgColor indexed="64"/>
      </patternFill>
    </fill>
    <fill>
      <patternFill patternType="solid">
        <fgColor theme="9" tint="-0.499984740745262"/>
        <bgColor indexed="64"/>
      </patternFill>
    </fill>
    <fill>
      <patternFill patternType="solid">
        <fgColor theme="9" tint="0.39997558519241921"/>
        <bgColor indexed="64"/>
      </patternFill>
    </fill>
    <fill>
      <patternFill patternType="solid">
        <fgColor theme="9" tint="-0.249977111117893"/>
        <bgColor indexed="64"/>
      </patternFill>
    </fill>
    <fill>
      <patternFill patternType="lightHorizontal">
        <bgColor theme="1"/>
      </patternFill>
    </fill>
    <fill>
      <patternFill patternType="gray0625">
        <bgColor theme="5"/>
      </patternFill>
    </fill>
    <fill>
      <patternFill patternType="gray0625">
        <bgColor theme="1"/>
      </patternFill>
    </fill>
    <fill>
      <patternFill patternType="solid">
        <fgColor rgb="FFFFB648"/>
        <bgColor indexed="64"/>
      </patternFill>
    </fill>
    <fill>
      <patternFill patternType="solid">
        <fgColor theme="9" tint="0.79998168889431442"/>
        <bgColor indexed="64"/>
      </patternFill>
    </fill>
    <fill>
      <patternFill patternType="solid">
        <fgColor rgb="FFFFF4B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rgb="FF44B3E1"/>
      </top>
      <bottom style="thin">
        <color rgb="FF44B3E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86" fillId="0" borderId="0" applyNumberFormat="0" applyFill="0" applyBorder="0" applyAlignment="0" applyProtection="0"/>
  </cellStyleXfs>
  <cellXfs count="333">
    <xf numFmtId="0" fontId="0" fillId="0" borderId="0" xfId="0"/>
    <xf numFmtId="0" fontId="0" fillId="34" borderId="10" xfId="0" applyFill="1" applyBorder="1"/>
    <xf numFmtId="0" fontId="0" fillId="0" borderId="10" xfId="0" applyBorder="1"/>
    <xf numFmtId="0" fontId="13" fillId="33" borderId="11" xfId="0" applyFont="1" applyFill="1" applyBorder="1"/>
    <xf numFmtId="0" fontId="0" fillId="34" borderId="12" xfId="0" applyFill="1" applyBorder="1"/>
    <xf numFmtId="0" fontId="0" fillId="0" borderId="0" xfId="0" applyAlignment="1">
      <alignment horizontal="right"/>
    </xf>
    <xf numFmtId="0" fontId="0" fillId="36" borderId="0" xfId="0" applyFill="1"/>
    <xf numFmtId="0" fontId="0" fillId="0" borderId="0" xfId="0" applyAlignment="1">
      <alignment horizontal="left"/>
    </xf>
    <xf numFmtId="0" fontId="18" fillId="0" borderId="0" xfId="0" applyFont="1" applyAlignment="1">
      <alignment horizontal="right"/>
    </xf>
    <xf numFmtId="0" fontId="22" fillId="0" borderId="0" xfId="0" applyFont="1"/>
    <xf numFmtId="164" fontId="0" fillId="0" borderId="0" xfId="42" applyNumberFormat="1" applyFont="1"/>
    <xf numFmtId="165" fontId="0" fillId="34" borderId="10" xfId="0" applyNumberFormat="1" applyFill="1" applyBorder="1"/>
    <xf numFmtId="165" fontId="0" fillId="0" borderId="10" xfId="0" applyNumberFormat="1" applyBorder="1"/>
    <xf numFmtId="165" fontId="0" fillId="34" borderId="12" xfId="0" applyNumberFormat="1" applyFill="1" applyBorder="1"/>
    <xf numFmtId="165" fontId="0" fillId="0" borderId="0" xfId="0" applyNumberFormat="1"/>
    <xf numFmtId="166" fontId="0" fillId="0" borderId="0" xfId="0" applyNumberFormat="1"/>
    <xf numFmtId="0" fontId="0" fillId="38" borderId="0" xfId="0" applyFill="1"/>
    <xf numFmtId="0" fontId="28" fillId="38" borderId="0" xfId="0" applyFont="1" applyFill="1"/>
    <xf numFmtId="0" fontId="30" fillId="0" borderId="0" xfId="0" applyFont="1"/>
    <xf numFmtId="0" fontId="18" fillId="38" borderId="0" xfId="0" applyFont="1" applyFill="1"/>
    <xf numFmtId="0" fontId="32" fillId="38" borderId="0" xfId="0" applyFont="1" applyFill="1"/>
    <xf numFmtId="0" fontId="28" fillId="38" borderId="0" xfId="0" applyFont="1" applyFill="1" applyAlignment="1">
      <alignment horizontal="right"/>
    </xf>
    <xf numFmtId="0" fontId="0" fillId="39" borderId="0" xfId="0" applyFill="1"/>
    <xf numFmtId="0" fontId="21" fillId="37" borderId="0" xfId="0" applyFont="1" applyFill="1" applyAlignment="1">
      <alignment horizontal="center"/>
    </xf>
    <xf numFmtId="0" fontId="29" fillId="37" borderId="0" xfId="0" applyFont="1" applyFill="1"/>
    <xf numFmtId="0" fontId="29" fillId="40" borderId="0" xfId="0" applyFont="1" applyFill="1"/>
    <xf numFmtId="0" fontId="28" fillId="42" borderId="0" xfId="0" applyFont="1" applyFill="1" applyAlignment="1">
      <alignment horizontal="right"/>
    </xf>
    <xf numFmtId="0" fontId="33" fillId="41" borderId="0" xfId="0" applyFont="1" applyFill="1" applyAlignment="1">
      <alignment horizontal="center"/>
    </xf>
    <xf numFmtId="0" fontId="28" fillId="42" borderId="0" xfId="0" applyFont="1" applyFill="1" applyAlignment="1">
      <alignment horizontal="center"/>
    </xf>
    <xf numFmtId="0" fontId="0" fillId="43" borderId="0" xfId="0" applyFill="1"/>
    <xf numFmtId="0" fontId="18" fillId="43" borderId="0" xfId="0" applyFont="1" applyFill="1" applyAlignment="1">
      <alignment horizontal="right"/>
    </xf>
    <xf numFmtId="0" fontId="25" fillId="44" borderId="0" xfId="0" applyFont="1" applyFill="1" applyAlignment="1">
      <alignment horizontal="center"/>
    </xf>
    <xf numFmtId="0" fontId="25" fillId="44" borderId="0" xfId="0" applyFont="1" applyFill="1" applyAlignment="1">
      <alignment horizontal="left"/>
    </xf>
    <xf numFmtId="0" fontId="35" fillId="38" borderId="0" xfId="0" applyFont="1" applyFill="1"/>
    <xf numFmtId="0" fontId="35" fillId="38" borderId="0" xfId="0" applyFont="1" applyFill="1" applyAlignment="1">
      <alignment horizontal="right"/>
    </xf>
    <xf numFmtId="0" fontId="35" fillId="38" borderId="0" xfId="0" applyFont="1" applyFill="1" applyAlignment="1">
      <alignment horizontal="center"/>
    </xf>
    <xf numFmtId="0" fontId="36" fillId="38" borderId="0" xfId="0" applyFont="1" applyFill="1"/>
    <xf numFmtId="164" fontId="36" fillId="38" borderId="0" xfId="42" applyNumberFormat="1" applyFont="1" applyFill="1"/>
    <xf numFmtId="0" fontId="37" fillId="38" borderId="0" xfId="0" applyFont="1" applyFill="1" applyAlignment="1">
      <alignment horizontal="center"/>
    </xf>
    <xf numFmtId="0" fontId="20" fillId="39" borderId="0" xfId="0" applyFont="1" applyFill="1" applyAlignment="1">
      <alignment horizontal="center"/>
    </xf>
    <xf numFmtId="0" fontId="0" fillId="0" borderId="0" xfId="0" applyAlignment="1">
      <alignment horizontal="left" indent="1"/>
    </xf>
    <xf numFmtId="9" fontId="0" fillId="0" borderId="0" xfId="43" applyFont="1"/>
    <xf numFmtId="9" fontId="0" fillId="49" borderId="0" xfId="43" applyFont="1" applyFill="1"/>
    <xf numFmtId="0" fontId="21" fillId="39" borderId="0" xfId="0" applyFont="1" applyFill="1" applyAlignment="1">
      <alignment horizontal="center"/>
    </xf>
    <xf numFmtId="0" fontId="27" fillId="39" borderId="0" xfId="0" applyFont="1" applyFill="1" applyAlignment="1">
      <alignment horizontal="center"/>
    </xf>
    <xf numFmtId="0" fontId="17" fillId="38" borderId="0" xfId="0" applyFont="1" applyFill="1"/>
    <xf numFmtId="0" fontId="43" fillId="38" borderId="0" xfId="0" applyFont="1" applyFill="1" applyAlignment="1">
      <alignment horizontal="left"/>
    </xf>
    <xf numFmtId="0" fontId="17" fillId="38" borderId="0" xfId="0" applyFont="1" applyFill="1" applyAlignment="1">
      <alignment horizontal="left"/>
    </xf>
    <xf numFmtId="0" fontId="43" fillId="38" borderId="0" xfId="0" applyFont="1" applyFill="1" applyAlignment="1">
      <alignment horizontal="center"/>
    </xf>
    <xf numFmtId="0" fontId="44" fillId="38" borderId="0" xfId="0" applyFont="1" applyFill="1" applyAlignment="1">
      <alignment horizontal="center"/>
    </xf>
    <xf numFmtId="0" fontId="28" fillId="38" borderId="0" xfId="0" applyFont="1" applyFill="1" applyAlignment="1">
      <alignment horizontal="left"/>
    </xf>
    <xf numFmtId="0" fontId="26" fillId="37" borderId="0" xfId="0" applyFont="1" applyFill="1" applyAlignment="1">
      <alignment horizontal="left"/>
    </xf>
    <xf numFmtId="0" fontId="24" fillId="37" borderId="0" xfId="0" applyFont="1" applyFill="1" applyAlignment="1">
      <alignment horizontal="left"/>
    </xf>
    <xf numFmtId="0" fontId="21" fillId="50" borderId="0" xfId="0" applyFont="1" applyFill="1" applyAlignment="1">
      <alignment horizontal="center"/>
    </xf>
    <xf numFmtId="0" fontId="29" fillId="51" borderId="0" xfId="0" applyFont="1" applyFill="1" applyAlignment="1">
      <alignment horizontal="center"/>
    </xf>
    <xf numFmtId="0" fontId="0" fillId="51" borderId="0" xfId="0" applyFill="1"/>
    <xf numFmtId="0" fontId="19" fillId="38" borderId="0" xfId="0" applyFont="1" applyFill="1" applyAlignment="1">
      <alignment horizontal="left"/>
    </xf>
    <xf numFmtId="0" fontId="18" fillId="39" borderId="0" xfId="0" applyFont="1" applyFill="1" applyAlignment="1">
      <alignment horizontal="center"/>
    </xf>
    <xf numFmtId="0" fontId="50" fillId="52" borderId="0" xfId="0" applyFont="1" applyFill="1" applyAlignment="1">
      <alignment horizontal="center"/>
    </xf>
    <xf numFmtId="0" fontId="41" fillId="53" borderId="0" xfId="0" applyFont="1" applyFill="1" applyAlignment="1">
      <alignment horizontal="center"/>
    </xf>
    <xf numFmtId="9" fontId="21" fillId="47" borderId="0" xfId="43" applyFont="1" applyFill="1" applyAlignment="1">
      <alignment horizontal="center"/>
    </xf>
    <xf numFmtId="9" fontId="25" fillId="48" borderId="0" xfId="43" applyFont="1" applyFill="1"/>
    <xf numFmtId="0" fontId="0" fillId="44" borderId="0" xfId="0" applyFill="1"/>
    <xf numFmtId="0" fontId="24" fillId="48" borderId="0" xfId="0" applyFont="1" applyFill="1" applyAlignment="1">
      <alignment horizontal="center"/>
    </xf>
    <xf numFmtId="9" fontId="0" fillId="48" borderId="0" xfId="0" applyNumberFormat="1" applyFill="1" applyAlignment="1">
      <alignment horizontal="center"/>
    </xf>
    <xf numFmtId="0" fontId="53" fillId="38" borderId="0" xfId="0" applyFont="1" applyFill="1" applyAlignment="1">
      <alignment horizontal="center"/>
    </xf>
    <xf numFmtId="0" fontId="53" fillId="38" borderId="0" xfId="0" applyFont="1" applyFill="1" applyAlignment="1">
      <alignment horizontal="left"/>
    </xf>
    <xf numFmtId="0" fontId="0" fillId="53" borderId="0" xfId="0" applyFill="1"/>
    <xf numFmtId="0" fontId="54" fillId="47" borderId="0" xfId="0" applyFont="1" applyFill="1" applyAlignment="1">
      <alignment horizontal="center"/>
    </xf>
    <xf numFmtId="9" fontId="54" fillId="47" borderId="0" xfId="0" applyNumberFormat="1" applyFont="1" applyFill="1" applyAlignment="1">
      <alignment horizontal="center"/>
    </xf>
    <xf numFmtId="0" fontId="0" fillId="0" borderId="13" xfId="0" applyBorder="1"/>
    <xf numFmtId="0" fontId="20" fillId="0" borderId="0" xfId="0" applyFont="1" applyAlignment="1">
      <alignment horizontal="right"/>
    </xf>
    <xf numFmtId="0" fontId="51" fillId="0" borderId="0" xfId="0" applyFont="1" applyAlignment="1">
      <alignment horizontal="left" indent="1"/>
    </xf>
    <xf numFmtId="0" fontId="54" fillId="0" borderId="0" xfId="0" applyFont="1"/>
    <xf numFmtId="0" fontId="52" fillId="0" borderId="0" xfId="0" applyFont="1" applyAlignment="1">
      <alignment horizontal="left" indent="1"/>
    </xf>
    <xf numFmtId="0" fontId="59" fillId="38" borderId="0" xfId="0" applyFont="1" applyFill="1"/>
    <xf numFmtId="0" fontId="51" fillId="0" borderId="0" xfId="0" applyFont="1" applyAlignment="1">
      <alignment horizontal="left"/>
    </xf>
    <xf numFmtId="0" fontId="60" fillId="0" borderId="0" xfId="0" applyFont="1" applyAlignment="1">
      <alignment horizontal="left"/>
    </xf>
    <xf numFmtId="9" fontId="27" fillId="58" borderId="0" xfId="43" applyFont="1" applyFill="1" applyAlignment="1">
      <alignment horizontal="center" vertical="center"/>
    </xf>
    <xf numFmtId="0" fontId="21" fillId="46" borderId="0" xfId="0" applyFont="1" applyFill="1" applyAlignment="1">
      <alignment horizontal="center"/>
    </xf>
    <xf numFmtId="0" fontId="33" fillId="59" borderId="0" xfId="0" applyFont="1" applyFill="1" applyAlignment="1">
      <alignment horizontal="center"/>
    </xf>
    <xf numFmtId="0" fontId="35" fillId="45" borderId="0" xfId="0" applyFont="1" applyFill="1" applyAlignment="1">
      <alignment horizontal="center"/>
    </xf>
    <xf numFmtId="0" fontId="54" fillId="54" borderId="0" xfId="0" applyFont="1" applyFill="1" applyAlignment="1">
      <alignment horizontal="center"/>
    </xf>
    <xf numFmtId="9" fontId="54" fillId="54" borderId="0" xfId="0" applyNumberFormat="1" applyFont="1" applyFill="1" applyAlignment="1">
      <alignment horizontal="center"/>
    </xf>
    <xf numFmtId="0" fontId="17" fillId="38" borderId="0" xfId="0" pivotButton="1" applyFont="1" applyFill="1"/>
    <xf numFmtId="0" fontId="31" fillId="53" borderId="0" xfId="0" applyFont="1" applyFill="1" applyAlignment="1">
      <alignment horizontal="center"/>
    </xf>
    <xf numFmtId="0" fontId="53" fillId="38" borderId="0" xfId="0" pivotButton="1" applyFont="1" applyFill="1" applyAlignment="1">
      <alignment horizontal="left"/>
    </xf>
    <xf numFmtId="0" fontId="53" fillId="38" borderId="0" xfId="0" pivotButton="1" applyFont="1" applyFill="1" applyAlignment="1">
      <alignment horizontal="center"/>
    </xf>
    <xf numFmtId="9" fontId="20" fillId="47" borderId="0" xfId="43" applyFont="1" applyFill="1" applyAlignment="1">
      <alignment horizontal="center"/>
    </xf>
    <xf numFmtId="9" fontId="0" fillId="60" borderId="0" xfId="43" applyFont="1" applyFill="1"/>
    <xf numFmtId="9" fontId="31" fillId="48" borderId="0" xfId="43" applyFont="1" applyFill="1"/>
    <xf numFmtId="9" fontId="27" fillId="36" borderId="0" xfId="43" applyFont="1" applyFill="1" applyAlignment="1">
      <alignment horizontal="center" vertical="center"/>
    </xf>
    <xf numFmtId="0" fontId="33" fillId="61" borderId="0" xfId="0" applyFont="1" applyFill="1" applyAlignment="1">
      <alignment horizontal="center"/>
    </xf>
    <xf numFmtId="0" fontId="63" fillId="41" borderId="0" xfId="0" applyFont="1" applyFill="1" applyAlignment="1">
      <alignment horizontal="center"/>
    </xf>
    <xf numFmtId="0" fontId="33" fillId="42" borderId="0" xfId="0" applyFont="1" applyFill="1" applyAlignment="1">
      <alignment horizontal="center"/>
    </xf>
    <xf numFmtId="0" fontId="27" fillId="0" borderId="0" xfId="0" applyFont="1" applyAlignment="1">
      <alignment horizontal="center"/>
    </xf>
    <xf numFmtId="0" fontId="24" fillId="47" borderId="0" xfId="0" applyFont="1" applyFill="1" applyAlignment="1">
      <alignment horizontal="left"/>
    </xf>
    <xf numFmtId="0" fontId="28" fillId="61" borderId="0" xfId="0" applyFont="1" applyFill="1" applyAlignment="1">
      <alignment horizontal="center"/>
    </xf>
    <xf numFmtId="0" fontId="59" fillId="38" borderId="0" xfId="0" applyFont="1" applyFill="1" applyAlignment="1">
      <alignment horizontal="center"/>
    </xf>
    <xf numFmtId="0" fontId="17" fillId="38" borderId="0" xfId="0" applyFont="1" applyFill="1" applyAlignment="1">
      <alignment horizontal="center"/>
    </xf>
    <xf numFmtId="0" fontId="0" fillId="0" borderId="0" xfId="0" pivotButton="1"/>
    <xf numFmtId="0" fontId="65" fillId="0" borderId="0" xfId="0" applyFont="1"/>
    <xf numFmtId="0" fontId="42" fillId="0" borderId="0" xfId="0" applyFont="1"/>
    <xf numFmtId="1" fontId="43" fillId="38" borderId="0" xfId="0" applyNumberFormat="1" applyFont="1" applyFill="1" applyAlignment="1">
      <alignment horizontal="center"/>
    </xf>
    <xf numFmtId="0" fontId="68" fillId="38" borderId="0" xfId="0" applyFont="1" applyFill="1" applyAlignment="1">
      <alignment horizontal="center"/>
    </xf>
    <xf numFmtId="9" fontId="43" fillId="38" borderId="0" xfId="0" applyNumberFormat="1" applyFont="1" applyFill="1"/>
    <xf numFmtId="1" fontId="43" fillId="38" borderId="0" xfId="0" applyNumberFormat="1" applyFont="1" applyFill="1"/>
    <xf numFmtId="0" fontId="43" fillId="38" borderId="0" xfId="0" applyFont="1" applyFill="1"/>
    <xf numFmtId="0" fontId="48" fillId="61" borderId="0" xfId="0" applyFont="1" applyFill="1" applyAlignment="1">
      <alignment horizontal="center" vertical="center"/>
    </xf>
    <xf numFmtId="1" fontId="0" fillId="0" borderId="0" xfId="0" applyNumberFormat="1"/>
    <xf numFmtId="9" fontId="43" fillId="38" borderId="0" xfId="0" applyNumberFormat="1" applyFont="1" applyFill="1" applyAlignment="1">
      <alignment vertical="center"/>
    </xf>
    <xf numFmtId="0" fontId="68" fillId="38" borderId="0" xfId="0" applyFont="1" applyFill="1"/>
    <xf numFmtId="0" fontId="63" fillId="61" borderId="0" xfId="0" applyFont="1" applyFill="1" applyAlignment="1">
      <alignment horizontal="center"/>
    </xf>
    <xf numFmtId="0" fontId="68" fillId="38" borderId="0" xfId="0" applyFont="1" applyFill="1" applyAlignment="1">
      <alignment vertical="center"/>
    </xf>
    <xf numFmtId="0" fontId="63" fillId="42" borderId="0" xfId="0" applyFont="1" applyFill="1" applyAlignment="1">
      <alignment horizontal="center"/>
    </xf>
    <xf numFmtId="44" fontId="0" fillId="0" borderId="0" xfId="42" applyFont="1"/>
    <xf numFmtId="9" fontId="0" fillId="0" borderId="10" xfId="0" applyNumberFormat="1" applyBorder="1"/>
    <xf numFmtId="0" fontId="42" fillId="0" borderId="0" xfId="0" applyFont="1" applyAlignment="1">
      <alignment horizontal="right"/>
    </xf>
    <xf numFmtId="0" fontId="0" fillId="49" borderId="0" xfId="0" applyFill="1"/>
    <xf numFmtId="0" fontId="51" fillId="47" borderId="0" xfId="0" applyFont="1" applyFill="1"/>
    <xf numFmtId="0" fontId="0" fillId="60" borderId="0" xfId="0" applyFill="1"/>
    <xf numFmtId="0" fontId="40" fillId="48" borderId="0" xfId="0" applyFont="1" applyFill="1"/>
    <xf numFmtId="9" fontId="0" fillId="0" borderId="0" xfId="0" applyNumberFormat="1"/>
    <xf numFmtId="0" fontId="0" fillId="48" borderId="0" xfId="0" applyFill="1" applyAlignment="1">
      <alignment horizontal="center"/>
    </xf>
    <xf numFmtId="0" fontId="40" fillId="37" borderId="0" xfId="0" applyFont="1" applyFill="1" applyAlignment="1">
      <alignment horizontal="center"/>
    </xf>
    <xf numFmtId="0" fontId="42" fillId="47" borderId="0" xfId="0" applyFont="1" applyFill="1" applyAlignment="1">
      <alignment horizontal="center"/>
    </xf>
    <xf numFmtId="0" fontId="0" fillId="44" borderId="0" xfId="0" applyFill="1" applyAlignment="1">
      <alignment horizontal="center"/>
    </xf>
    <xf numFmtId="0" fontId="0" fillId="44" borderId="0" xfId="0" applyFill="1" applyAlignment="1">
      <alignment horizontal="left" indent="1"/>
    </xf>
    <xf numFmtId="0" fontId="60" fillId="48" borderId="0" xfId="0" applyFont="1" applyFill="1"/>
    <xf numFmtId="9" fontId="36" fillId="38" borderId="0" xfId="43" applyFont="1" applyFill="1" applyAlignment="1"/>
    <xf numFmtId="0" fontId="26" fillId="36" borderId="0" xfId="0" applyFont="1" applyFill="1" applyAlignment="1">
      <alignment horizontal="center"/>
    </xf>
    <xf numFmtId="0" fontId="65" fillId="36" borderId="0" xfId="0" applyFont="1" applyFill="1" applyAlignment="1">
      <alignment horizontal="center"/>
    </xf>
    <xf numFmtId="0" fontId="70" fillId="36" borderId="0" xfId="0" applyFont="1" applyFill="1"/>
    <xf numFmtId="0" fontId="71" fillId="36" borderId="0" xfId="0" applyFont="1" applyFill="1"/>
    <xf numFmtId="0" fontId="36" fillId="38" borderId="0" xfId="43" applyNumberFormat="1" applyFont="1" applyFill="1" applyAlignment="1"/>
    <xf numFmtId="9" fontId="42" fillId="0" borderId="0" xfId="0" applyNumberFormat="1" applyFont="1" applyAlignment="1">
      <alignment horizontal="left"/>
    </xf>
    <xf numFmtId="0" fontId="66" fillId="35" borderId="0" xfId="0" applyFont="1" applyFill="1" applyAlignment="1">
      <alignment horizontal="center"/>
    </xf>
    <xf numFmtId="0" fontId="0" fillId="63" borderId="0" xfId="0" applyFill="1"/>
    <xf numFmtId="0" fontId="18" fillId="36" borderId="0" xfId="0" applyFont="1" applyFill="1"/>
    <xf numFmtId="0" fontId="18" fillId="63" borderId="0" xfId="0" applyFont="1" applyFill="1"/>
    <xf numFmtId="0" fontId="62" fillId="46" borderId="0" xfId="0" applyFont="1" applyFill="1" applyAlignment="1">
      <alignment horizontal="center"/>
    </xf>
    <xf numFmtId="0" fontId="21" fillId="36" borderId="0" xfId="0" applyFont="1" applyFill="1" applyAlignment="1">
      <alignment horizontal="center"/>
    </xf>
    <xf numFmtId="0" fontId="36" fillId="38" borderId="0" xfId="0" applyFont="1" applyFill="1" applyAlignment="1">
      <alignment horizontal="right"/>
    </xf>
    <xf numFmtId="9" fontId="36" fillId="38" borderId="0" xfId="43" applyFont="1" applyFill="1"/>
    <xf numFmtId="9" fontId="36" fillId="38" borderId="0" xfId="0" applyNumberFormat="1" applyFont="1" applyFill="1"/>
    <xf numFmtId="0" fontId="33" fillId="62" borderId="0" xfId="0" applyFont="1" applyFill="1" applyAlignment="1">
      <alignment horizontal="center"/>
    </xf>
    <xf numFmtId="0" fontId="21" fillId="64" borderId="0" xfId="0" applyFont="1" applyFill="1" applyAlignment="1">
      <alignment horizontal="right"/>
    </xf>
    <xf numFmtId="0" fontId="21" fillId="36" borderId="0" xfId="0" applyFont="1" applyFill="1" applyAlignment="1">
      <alignment horizontal="right"/>
    </xf>
    <xf numFmtId="9" fontId="31" fillId="47" borderId="0" xfId="43" applyFont="1" applyFill="1"/>
    <xf numFmtId="9" fontId="21" fillId="47" borderId="0" xfId="43" applyFont="1" applyFill="1" applyAlignment="1">
      <alignment horizontal="right"/>
    </xf>
    <xf numFmtId="9" fontId="27" fillId="47" borderId="0" xfId="43" applyFont="1" applyFill="1" applyAlignment="1">
      <alignment horizontal="center" vertical="center"/>
    </xf>
    <xf numFmtId="0" fontId="28" fillId="61" borderId="0" xfId="0" applyFont="1" applyFill="1"/>
    <xf numFmtId="0" fontId="0" fillId="63" borderId="0" xfId="0" applyFill="1" applyAlignment="1">
      <alignment horizontal="right"/>
    </xf>
    <xf numFmtId="0" fontId="0" fillId="63" borderId="0" xfId="0" applyFill="1" applyAlignment="1">
      <alignment horizontal="center"/>
    </xf>
    <xf numFmtId="0" fontId="28" fillId="61" borderId="0" xfId="0" applyFont="1" applyFill="1" applyAlignment="1">
      <alignment horizontal="right"/>
    </xf>
    <xf numFmtId="0" fontId="18" fillId="36" borderId="0" xfId="0" applyFont="1" applyFill="1" applyAlignment="1">
      <alignment horizontal="right"/>
    </xf>
    <xf numFmtId="0" fontId="18" fillId="63" borderId="0" xfId="0" applyFont="1" applyFill="1" applyAlignment="1">
      <alignment horizontal="right"/>
    </xf>
    <xf numFmtId="9" fontId="18" fillId="63" borderId="0" xfId="43" applyFont="1" applyFill="1"/>
    <xf numFmtId="0" fontId="18" fillId="58" borderId="0" xfId="0" applyFont="1" applyFill="1" applyAlignment="1">
      <alignment horizontal="right"/>
    </xf>
    <xf numFmtId="0" fontId="0" fillId="58" borderId="0" xfId="0" applyFill="1"/>
    <xf numFmtId="0" fontId="18" fillId="65" borderId="0" xfId="0" applyFont="1" applyFill="1" applyAlignment="1">
      <alignment horizontal="right"/>
    </xf>
    <xf numFmtId="9" fontId="18" fillId="36" borderId="0" xfId="43" applyFont="1" applyFill="1"/>
    <xf numFmtId="0" fontId="34" fillId="62" borderId="0" xfId="0" applyFont="1" applyFill="1"/>
    <xf numFmtId="0" fontId="34" fillId="42" borderId="0" xfId="0" applyFont="1" applyFill="1"/>
    <xf numFmtId="0" fontId="34" fillId="66" borderId="0" xfId="0" applyFont="1" applyFill="1"/>
    <xf numFmtId="9" fontId="18" fillId="67" borderId="0" xfId="43" applyFont="1" applyFill="1" applyAlignment="1">
      <alignment horizontal="right"/>
    </xf>
    <xf numFmtId="0" fontId="18" fillId="58" borderId="0" xfId="0" applyFont="1" applyFill="1"/>
    <xf numFmtId="0" fontId="18" fillId="65" borderId="0" xfId="0" applyFont="1" applyFill="1"/>
    <xf numFmtId="0" fontId="0" fillId="47" borderId="0" xfId="0" applyFill="1"/>
    <xf numFmtId="0" fontId="31" fillId="63" borderId="0" xfId="0" applyFont="1" applyFill="1" applyAlignment="1">
      <alignment horizontal="center"/>
    </xf>
    <xf numFmtId="0" fontId="31" fillId="36" borderId="0" xfId="0" applyFont="1" applyFill="1" applyAlignment="1">
      <alignment horizontal="center"/>
    </xf>
    <xf numFmtId="9" fontId="31" fillId="36" borderId="0" xfId="43" applyFont="1" applyFill="1" applyAlignment="1">
      <alignment horizontal="center"/>
    </xf>
    <xf numFmtId="9" fontId="31" fillId="67" borderId="0" xfId="43" applyFont="1" applyFill="1" applyAlignment="1">
      <alignment horizontal="right"/>
    </xf>
    <xf numFmtId="0" fontId="31" fillId="36" borderId="0" xfId="0" applyFont="1" applyFill="1" applyAlignment="1">
      <alignment horizontal="right"/>
    </xf>
    <xf numFmtId="0" fontId="72" fillId="53" borderId="0" xfId="0" applyFont="1" applyFill="1" applyAlignment="1">
      <alignment vertical="center"/>
    </xf>
    <xf numFmtId="0" fontId="18" fillId="47" borderId="0" xfId="0" applyFont="1" applyFill="1"/>
    <xf numFmtId="0" fontId="18" fillId="67" borderId="0" xfId="0" applyFont="1" applyFill="1"/>
    <xf numFmtId="0" fontId="0" fillId="67" borderId="0" xfId="0" applyFill="1"/>
    <xf numFmtId="9" fontId="18" fillId="67" borderId="0" xfId="43" applyFont="1" applyFill="1"/>
    <xf numFmtId="0" fontId="18" fillId="67" borderId="0" xfId="0" applyFont="1" applyFill="1" applyAlignment="1">
      <alignment horizontal="right"/>
    </xf>
    <xf numFmtId="0" fontId="0" fillId="67" borderId="0" xfId="0" applyFill="1" applyAlignment="1">
      <alignment horizontal="right"/>
    </xf>
    <xf numFmtId="9" fontId="31" fillId="47" borderId="0" xfId="43" applyFont="1" applyFill="1" applyAlignment="1">
      <alignment horizontal="right"/>
    </xf>
    <xf numFmtId="0" fontId="29" fillId="47" borderId="0" xfId="0" applyFont="1" applyFill="1" applyAlignment="1">
      <alignment horizontal="center"/>
    </xf>
    <xf numFmtId="0" fontId="31" fillId="47" borderId="0" xfId="0" applyFont="1" applyFill="1" applyAlignment="1">
      <alignment horizontal="center"/>
    </xf>
    <xf numFmtId="0" fontId="73" fillId="38" borderId="0" xfId="0" applyFont="1" applyFill="1" applyAlignment="1">
      <alignment vertical="center"/>
    </xf>
    <xf numFmtId="0" fontId="62" fillId="0" borderId="0" xfId="0" applyFont="1"/>
    <xf numFmtId="0" fontId="0" fillId="48" borderId="0" xfId="0" applyFill="1"/>
    <xf numFmtId="0" fontId="21" fillId="57" borderId="0" xfId="0" applyFont="1" applyFill="1"/>
    <xf numFmtId="0" fontId="28" fillId="68" borderId="0" xfId="0" applyFont="1" applyFill="1" applyAlignment="1">
      <alignment horizontal="center"/>
    </xf>
    <xf numFmtId="0" fontId="43" fillId="38" borderId="0" xfId="0" applyFont="1" applyFill="1" applyAlignment="1">
      <alignment vertical="top"/>
    </xf>
    <xf numFmtId="0" fontId="78" fillId="38" borderId="0" xfId="0" pivotButton="1" applyFont="1" applyFill="1"/>
    <xf numFmtId="0" fontId="78" fillId="38" borderId="0" xfId="0" applyFont="1" applyFill="1"/>
    <xf numFmtId="0" fontId="50" fillId="0" borderId="0" xfId="0" applyFont="1" applyAlignment="1">
      <alignment horizontal="left"/>
    </xf>
    <xf numFmtId="0" fontId="50" fillId="47" borderId="0" xfId="0" applyFont="1" applyFill="1"/>
    <xf numFmtId="0" fontId="68" fillId="38" borderId="0" xfId="0" applyFont="1" applyFill="1" applyAlignment="1">
      <alignment horizontal="left"/>
    </xf>
    <xf numFmtId="0" fontId="50" fillId="48" borderId="0" xfId="0" applyFont="1" applyFill="1"/>
    <xf numFmtId="9" fontId="50" fillId="47" borderId="0" xfId="43" applyFont="1" applyFill="1" applyAlignment="1">
      <alignment horizontal="center"/>
    </xf>
    <xf numFmtId="9" fontId="50" fillId="48" borderId="0" xfId="43" applyFont="1" applyFill="1"/>
    <xf numFmtId="9" fontId="79" fillId="49" borderId="0" xfId="43" applyFont="1" applyFill="1"/>
    <xf numFmtId="9" fontId="79" fillId="60" borderId="0" xfId="43" applyFont="1" applyFill="1"/>
    <xf numFmtId="0" fontId="79" fillId="0" borderId="0" xfId="0" applyFont="1" applyAlignment="1">
      <alignment horizontal="left"/>
    </xf>
    <xf numFmtId="0" fontId="79" fillId="49" borderId="0" xfId="0" applyFont="1" applyFill="1"/>
    <xf numFmtId="0" fontId="79" fillId="60" borderId="0" xfId="0" applyFont="1" applyFill="1"/>
    <xf numFmtId="0" fontId="78" fillId="38" borderId="0" xfId="0" applyFont="1" applyFill="1" applyAlignment="1">
      <alignment horizontal="left"/>
    </xf>
    <xf numFmtId="0" fontId="48" fillId="38" borderId="0" xfId="0" applyFont="1" applyFill="1" applyAlignment="1">
      <alignment vertical="top"/>
    </xf>
    <xf numFmtId="9" fontId="18" fillId="58" borderId="0" xfId="43" applyFont="1" applyFill="1" applyAlignment="1">
      <alignment horizontal="right"/>
    </xf>
    <xf numFmtId="0" fontId="59" fillId="38" borderId="0" xfId="0" applyFont="1" applyFill="1" applyAlignment="1">
      <alignment horizontal="right"/>
    </xf>
    <xf numFmtId="0" fontId="80" fillId="54" borderId="0" xfId="0" applyFont="1" applyFill="1" applyAlignment="1">
      <alignment horizontal="center"/>
    </xf>
    <xf numFmtId="9" fontId="80" fillId="54" borderId="0" xfId="0" applyNumberFormat="1" applyFont="1" applyFill="1" applyAlignment="1">
      <alignment horizontal="center"/>
    </xf>
    <xf numFmtId="0" fontId="81" fillId="48" borderId="0" xfId="0" applyFont="1" applyFill="1" applyAlignment="1">
      <alignment horizontal="center"/>
    </xf>
    <xf numFmtId="9" fontId="81" fillId="48" borderId="0" xfId="0" applyNumberFormat="1" applyFont="1" applyFill="1" applyAlignment="1">
      <alignment horizontal="center"/>
    </xf>
    <xf numFmtId="0" fontId="79" fillId="53" borderId="0" xfId="0" applyFont="1" applyFill="1"/>
    <xf numFmtId="0" fontId="78" fillId="38" borderId="0" xfId="0" pivotButton="1" applyFont="1" applyFill="1" applyAlignment="1">
      <alignment horizontal="center"/>
    </xf>
    <xf numFmtId="0" fontId="80" fillId="0" borderId="0" xfId="0" applyFont="1" applyAlignment="1">
      <alignment horizontal="left" indent="1"/>
    </xf>
    <xf numFmtId="0" fontId="81" fillId="0" borderId="0" xfId="0" applyFont="1" applyAlignment="1">
      <alignment horizontal="left" indent="1"/>
    </xf>
    <xf numFmtId="0" fontId="67" fillId="38" borderId="0" xfId="0" applyFont="1" applyFill="1" applyAlignment="1">
      <alignment horizontal="center"/>
    </xf>
    <xf numFmtId="0" fontId="66" fillId="38" borderId="0" xfId="0" applyFont="1" applyFill="1" applyAlignment="1">
      <alignment horizontal="center" vertical="center"/>
    </xf>
    <xf numFmtId="0" fontId="69" fillId="38" borderId="0" xfId="0" applyFont="1" applyFill="1" applyAlignment="1">
      <alignment horizontal="center"/>
    </xf>
    <xf numFmtId="0" fontId="43" fillId="38" borderId="0" xfId="0" applyFont="1" applyFill="1" applyAlignment="1">
      <alignment horizontal="center" vertical="top"/>
    </xf>
    <xf numFmtId="0" fontId="68" fillId="38" borderId="0" xfId="0" applyFont="1" applyFill="1" applyAlignment="1">
      <alignment horizontal="center" vertical="center"/>
    </xf>
    <xf numFmtId="9" fontId="0" fillId="0" borderId="12" xfId="0" applyNumberFormat="1" applyBorder="1"/>
    <xf numFmtId="0" fontId="31" fillId="38" borderId="0" xfId="0" applyFont="1" applyFill="1" applyAlignment="1">
      <alignment horizontal="center"/>
    </xf>
    <xf numFmtId="0" fontId="79" fillId="38" borderId="0" xfId="0" applyFont="1" applyFill="1"/>
    <xf numFmtId="0" fontId="80" fillId="38" borderId="0" xfId="0" applyFont="1" applyFill="1" applyAlignment="1">
      <alignment horizontal="center"/>
    </xf>
    <xf numFmtId="0" fontId="81" fillId="38" borderId="0" xfId="0" applyFont="1" applyFill="1" applyAlignment="1">
      <alignment horizontal="center"/>
    </xf>
    <xf numFmtId="0" fontId="43" fillId="44" borderId="0" xfId="0" applyFont="1" applyFill="1" applyAlignment="1">
      <alignment horizontal="left"/>
    </xf>
    <xf numFmtId="0" fontId="0" fillId="69" borderId="0" xfId="0" applyFill="1"/>
    <xf numFmtId="0" fontId="0" fillId="0" borderId="0" xfId="0" applyAlignment="1">
      <alignment horizontal="center"/>
    </xf>
    <xf numFmtId="0" fontId="67" fillId="38" borderId="0" xfId="0" applyFont="1" applyFill="1"/>
    <xf numFmtId="0" fontId="67" fillId="38" borderId="0" xfId="0" applyFont="1" applyFill="1" applyAlignment="1">
      <alignment horizontal="right"/>
    </xf>
    <xf numFmtId="0" fontId="31" fillId="53" borderId="0" xfId="0" applyFont="1" applyFill="1"/>
    <xf numFmtId="0" fontId="0" fillId="70" borderId="0" xfId="0" applyFill="1"/>
    <xf numFmtId="0" fontId="0" fillId="71" borderId="0" xfId="0" applyFill="1"/>
    <xf numFmtId="0" fontId="80" fillId="72" borderId="0" xfId="0" applyFont="1" applyFill="1" applyAlignment="1">
      <alignment horizontal="center"/>
    </xf>
    <xf numFmtId="9" fontId="80" fillId="72" borderId="0" xfId="0" applyNumberFormat="1" applyFont="1" applyFill="1" applyAlignment="1">
      <alignment horizontal="center"/>
    </xf>
    <xf numFmtId="0" fontId="31" fillId="67" borderId="0" xfId="0" applyFont="1" applyFill="1" applyAlignment="1">
      <alignment horizontal="center"/>
    </xf>
    <xf numFmtId="0" fontId="25" fillId="68" borderId="0" xfId="0" applyFont="1" applyFill="1" applyAlignment="1">
      <alignment horizontal="center"/>
    </xf>
    <xf numFmtId="0" fontId="25" fillId="66" borderId="0" xfId="0" applyFont="1" applyFill="1" applyAlignment="1">
      <alignment horizontal="center"/>
    </xf>
    <xf numFmtId="0" fontId="35" fillId="66" borderId="0" xfId="0" applyFont="1" applyFill="1" applyAlignment="1">
      <alignment horizontal="center"/>
    </xf>
    <xf numFmtId="0" fontId="35" fillId="68" borderId="0" xfId="0" applyFont="1" applyFill="1" applyAlignment="1">
      <alignment horizontal="center"/>
    </xf>
    <xf numFmtId="0" fontId="54" fillId="72" borderId="0" xfId="0" applyFont="1" applyFill="1" applyAlignment="1">
      <alignment horizontal="center"/>
    </xf>
    <xf numFmtId="9" fontId="54" fillId="72" borderId="0" xfId="0" applyNumberFormat="1" applyFont="1" applyFill="1" applyAlignment="1">
      <alignment horizontal="center"/>
    </xf>
    <xf numFmtId="0" fontId="31" fillId="0" borderId="0" xfId="0" applyFont="1" applyAlignment="1">
      <alignment horizontal="center"/>
    </xf>
    <xf numFmtId="0" fontId="80" fillId="65" borderId="0" xfId="0" applyFont="1" applyFill="1" applyAlignment="1">
      <alignment horizontal="left"/>
    </xf>
    <xf numFmtId="0" fontId="0" fillId="66" borderId="0" xfId="0" applyFill="1"/>
    <xf numFmtId="0" fontId="18" fillId="44" borderId="0" xfId="0" applyFont="1" applyFill="1" applyAlignment="1">
      <alignment horizontal="right"/>
    </xf>
    <xf numFmtId="9" fontId="0" fillId="44" borderId="0" xfId="43" applyFont="1" applyFill="1"/>
    <xf numFmtId="0" fontId="0" fillId="74" borderId="0" xfId="0" applyFill="1"/>
    <xf numFmtId="0" fontId="18" fillId="74" borderId="0" xfId="0" applyFont="1" applyFill="1"/>
    <xf numFmtId="0" fontId="86" fillId="74" borderId="0" xfId="44" applyFill="1"/>
    <xf numFmtId="0" fontId="87" fillId="74" borderId="0" xfId="0" applyFont="1" applyFill="1"/>
    <xf numFmtId="0" fontId="89" fillId="74" borderId="0" xfId="44" applyFont="1" applyFill="1"/>
    <xf numFmtId="0" fontId="0" fillId="74" borderId="0" xfId="0" applyFill="1" applyAlignment="1">
      <alignment horizontal="center"/>
    </xf>
    <xf numFmtId="0" fontId="88" fillId="74" borderId="0" xfId="0" applyFont="1" applyFill="1" applyAlignment="1">
      <alignment horizontal="center"/>
    </xf>
    <xf numFmtId="0" fontId="58" fillId="0" borderId="0" xfId="0" applyFont="1"/>
    <xf numFmtId="0" fontId="58" fillId="0" borderId="0" xfId="0" applyFont="1" applyAlignment="1">
      <alignment horizontal="center"/>
    </xf>
    <xf numFmtId="0" fontId="82" fillId="0" borderId="0" xfId="0" applyFont="1"/>
    <xf numFmtId="0" fontId="82" fillId="0" borderId="0" xfId="0" applyFont="1" applyAlignment="1">
      <alignment horizontal="center"/>
    </xf>
    <xf numFmtId="0" fontId="81" fillId="0" borderId="0" xfId="0" applyFont="1"/>
    <xf numFmtId="0" fontId="52" fillId="0" borderId="0" xfId="0" applyFont="1"/>
    <xf numFmtId="0" fontId="61" fillId="0" borderId="0" xfId="0" applyFont="1" applyAlignment="1">
      <alignment horizontal="center"/>
    </xf>
    <xf numFmtId="0" fontId="80" fillId="0" borderId="0" xfId="0" applyFont="1"/>
    <xf numFmtId="0" fontId="83" fillId="0" borderId="0" xfId="0" applyFont="1" applyAlignment="1">
      <alignment horizontal="center"/>
    </xf>
    <xf numFmtId="0" fontId="18" fillId="0" borderId="0" xfId="0" applyFont="1"/>
    <xf numFmtId="0" fontId="66" fillId="38" borderId="0" xfId="0" applyFont="1" applyFill="1" applyAlignment="1">
      <alignment vertical="center"/>
    </xf>
    <xf numFmtId="0" fontId="65" fillId="38" borderId="0" xfId="0" applyFont="1" applyFill="1" applyAlignment="1">
      <alignment horizontal="center"/>
    </xf>
    <xf numFmtId="0" fontId="42" fillId="38" borderId="0" xfId="0" applyFont="1" applyFill="1" applyAlignment="1">
      <alignment horizontal="right"/>
    </xf>
    <xf numFmtId="0" fontId="27" fillId="38" borderId="0" xfId="0" applyFont="1" applyFill="1" applyAlignment="1">
      <alignment horizontal="center"/>
    </xf>
    <xf numFmtId="0" fontId="64" fillId="38" borderId="0" xfId="0" applyFont="1" applyFill="1" applyAlignment="1">
      <alignment horizontal="center" vertical="center"/>
    </xf>
    <xf numFmtId="0" fontId="63" fillId="38" borderId="0" xfId="0" applyFont="1" applyFill="1" applyAlignment="1">
      <alignment horizontal="center"/>
    </xf>
    <xf numFmtId="1" fontId="41" fillId="38" borderId="0" xfId="43" applyNumberFormat="1" applyFont="1" applyFill="1" applyAlignment="1">
      <alignment horizontal="center" vertical="center"/>
    </xf>
    <xf numFmtId="0" fontId="48" fillId="38" borderId="0" xfId="0" applyFont="1" applyFill="1" applyAlignment="1">
      <alignment horizontal="center" vertical="center"/>
    </xf>
    <xf numFmtId="0" fontId="66" fillId="38" borderId="0" xfId="0" applyFont="1" applyFill="1" applyAlignment="1">
      <alignment horizontal="center"/>
    </xf>
    <xf numFmtId="9" fontId="27" fillId="38" borderId="0" xfId="43" applyFont="1" applyFill="1" applyAlignment="1">
      <alignment horizontal="center" vertical="center"/>
    </xf>
    <xf numFmtId="0" fontId="74" fillId="38" borderId="0" xfId="0" applyFont="1" applyFill="1" applyAlignment="1">
      <alignment horizontal="center" vertical="center"/>
    </xf>
    <xf numFmtId="0" fontId="18" fillId="0" borderId="0" xfId="0" applyFont="1" applyAlignment="1">
      <alignment horizontal="center"/>
    </xf>
    <xf numFmtId="9" fontId="41" fillId="58" borderId="0" xfId="43" applyFont="1" applyFill="1" applyAlignment="1">
      <alignment horizontal="center" vertical="center"/>
    </xf>
    <xf numFmtId="9" fontId="27" fillId="58" borderId="0" xfId="43" applyFont="1" applyFill="1" applyAlignment="1">
      <alignment horizontal="center" vertical="center"/>
    </xf>
    <xf numFmtId="0" fontId="31" fillId="39" borderId="0" xfId="0" applyFont="1" applyFill="1" applyAlignment="1">
      <alignment horizontal="center"/>
    </xf>
    <xf numFmtId="0" fontId="20" fillId="39" borderId="0" xfId="0" applyFont="1" applyFill="1" applyAlignment="1">
      <alignment horizontal="center"/>
    </xf>
    <xf numFmtId="0" fontId="48" fillId="38" borderId="0" xfId="0" applyFont="1" applyFill="1" applyAlignment="1">
      <alignment horizontal="center"/>
    </xf>
    <xf numFmtId="0" fontId="48" fillId="38" borderId="0" xfId="0" applyFont="1" applyFill="1" applyAlignment="1">
      <alignment horizontal="center" vertical="top"/>
    </xf>
    <xf numFmtId="0" fontId="28" fillId="42" borderId="0" xfId="0" applyFont="1" applyFill="1" applyAlignment="1">
      <alignment horizontal="center"/>
    </xf>
    <xf numFmtId="0" fontId="33" fillId="41" borderId="0" xfId="0" applyFont="1" applyFill="1" applyAlignment="1">
      <alignment horizontal="center"/>
    </xf>
    <xf numFmtId="0" fontId="38" fillId="44" borderId="0" xfId="0" applyFont="1" applyFill="1" applyAlignment="1">
      <alignment horizontal="center"/>
    </xf>
    <xf numFmtId="0" fontId="39" fillId="44" borderId="0" xfId="0" applyFont="1" applyFill="1" applyAlignment="1">
      <alignment horizontal="center"/>
    </xf>
    <xf numFmtId="0" fontId="34" fillId="38" borderId="0" xfId="0" applyFont="1" applyFill="1" applyAlignment="1">
      <alignment horizontal="center"/>
    </xf>
    <xf numFmtId="0" fontId="41" fillId="39" borderId="0" xfId="0" applyFont="1" applyFill="1" applyAlignment="1">
      <alignment horizontal="center"/>
    </xf>
    <xf numFmtId="0" fontId="44" fillId="38" borderId="0" xfId="0" applyFont="1" applyFill="1" applyAlignment="1">
      <alignment horizontal="left"/>
    </xf>
    <xf numFmtId="0" fontId="31" fillId="53" borderId="0" xfId="0" applyFont="1" applyFill="1" applyAlignment="1">
      <alignment horizontal="center"/>
    </xf>
    <xf numFmtId="0" fontId="31" fillId="47" borderId="0" xfId="0" applyFont="1" applyFill="1" applyAlignment="1">
      <alignment horizontal="center"/>
    </xf>
    <xf numFmtId="0" fontId="41" fillId="0" borderId="0" xfId="0" applyFont="1" applyAlignment="1">
      <alignment horizontal="center"/>
    </xf>
    <xf numFmtId="0" fontId="68" fillId="38" borderId="0" xfId="0" applyFont="1" applyFill="1" applyAlignment="1">
      <alignment horizontal="center"/>
    </xf>
    <xf numFmtId="0" fontId="20" fillId="73" borderId="0" xfId="0" applyFont="1" applyFill="1" applyAlignment="1">
      <alignment horizontal="center"/>
    </xf>
    <xf numFmtId="0" fontId="84" fillId="38" borderId="0" xfId="0" applyFont="1" applyFill="1" applyAlignment="1">
      <alignment horizontal="center"/>
    </xf>
    <xf numFmtId="0" fontId="85" fillId="38" borderId="0" xfId="0" applyFont="1" applyFill="1" applyAlignment="1">
      <alignment horizontal="center" vertical="center"/>
    </xf>
    <xf numFmtId="0" fontId="43" fillId="38" borderId="0" xfId="0" applyFont="1" applyFill="1" applyAlignment="1">
      <alignment horizontal="center"/>
    </xf>
    <xf numFmtId="9" fontId="43" fillId="38" borderId="0" xfId="43" applyFont="1" applyFill="1" applyAlignment="1">
      <alignment horizontal="center"/>
    </xf>
    <xf numFmtId="0" fontId="77" fillId="53" borderId="0" xfId="0" applyFont="1" applyFill="1" applyAlignment="1">
      <alignment horizontal="center" vertical="center"/>
    </xf>
    <xf numFmtId="0" fontId="72" fillId="53" borderId="0" xfId="0" applyFont="1" applyFill="1" applyAlignment="1">
      <alignment horizontal="center" vertical="center"/>
    </xf>
    <xf numFmtId="0" fontId="69" fillId="38" borderId="0" xfId="0" applyFont="1" applyFill="1" applyAlignment="1">
      <alignment horizontal="center"/>
    </xf>
    <xf numFmtId="0" fontId="27" fillId="39" borderId="0" xfId="0" applyFont="1" applyFill="1" applyAlignment="1">
      <alignment horizontal="center" vertical="center"/>
    </xf>
    <xf numFmtId="0" fontId="66" fillId="38" borderId="0" xfId="0" applyFont="1" applyFill="1" applyAlignment="1">
      <alignment horizontal="center" vertical="center"/>
    </xf>
    <xf numFmtId="0" fontId="50" fillId="39" borderId="0" xfId="0" applyFont="1" applyFill="1" applyAlignment="1">
      <alignment horizontal="center" vertical="center"/>
    </xf>
    <xf numFmtId="1" fontId="41" fillId="36" borderId="0" xfId="43" applyNumberFormat="1" applyFont="1" applyFill="1" applyAlignment="1">
      <alignment horizontal="center" vertical="center"/>
    </xf>
    <xf numFmtId="0" fontId="63" fillId="62" borderId="0" xfId="0" applyFont="1" applyFill="1" applyAlignment="1">
      <alignment horizontal="center"/>
    </xf>
    <xf numFmtId="0" fontId="73" fillId="38" borderId="0" xfId="0" applyFont="1" applyFill="1" applyAlignment="1">
      <alignment horizontal="center" vertical="center"/>
    </xf>
    <xf numFmtId="0" fontId="64" fillId="35" borderId="0" xfId="0" applyFont="1" applyFill="1" applyAlignment="1">
      <alignment horizontal="center" vertical="center"/>
    </xf>
    <xf numFmtId="0" fontId="43" fillId="38" borderId="0" xfId="0" applyFont="1" applyFill="1" applyAlignment="1">
      <alignment horizontal="center" vertical="top"/>
    </xf>
    <xf numFmtId="0" fontId="68" fillId="38" borderId="0" xfId="0" applyFont="1" applyFill="1" applyAlignment="1">
      <alignment horizontal="center" vertical="center"/>
    </xf>
    <xf numFmtId="1" fontId="43" fillId="38" borderId="0" xfId="0" applyNumberFormat="1" applyFont="1" applyFill="1" applyAlignment="1">
      <alignment horizontal="center"/>
    </xf>
    <xf numFmtId="9" fontId="41" fillId="47" borderId="0" xfId="43" applyFont="1" applyFill="1" applyAlignment="1">
      <alignment horizontal="center" vertical="center"/>
    </xf>
    <xf numFmtId="9" fontId="27" fillId="36" borderId="0" xfId="43" applyFont="1" applyFill="1" applyAlignment="1">
      <alignment horizontal="center" vertical="center"/>
    </xf>
    <xf numFmtId="0" fontId="41" fillId="58" borderId="0" xfId="43" applyNumberFormat="1" applyFont="1" applyFill="1" applyAlignment="1">
      <alignment horizontal="center" vertical="center"/>
    </xf>
    <xf numFmtId="0" fontId="27" fillId="46" borderId="0" xfId="0" applyFont="1" applyFill="1" applyAlignment="1">
      <alignment horizontal="center"/>
    </xf>
    <xf numFmtId="0" fontId="22" fillId="56" borderId="0" xfId="0" quotePrefix="1" applyFont="1" applyFill="1" applyAlignment="1">
      <alignment horizontal="center" vertical="center"/>
    </xf>
    <xf numFmtId="0" fontId="41" fillId="55" borderId="0" xfId="0" applyFont="1" applyFill="1" applyAlignment="1">
      <alignment horizontal="center" vertical="center"/>
    </xf>
    <xf numFmtId="0" fontId="57" fillId="45" borderId="0" xfId="0" quotePrefix="1" applyFont="1" applyFill="1" applyAlignment="1">
      <alignment horizontal="center" vertical="center"/>
    </xf>
    <xf numFmtId="0" fontId="42" fillId="58" borderId="0" xfId="0" applyFont="1" applyFill="1" applyAlignment="1">
      <alignment horizontal="right"/>
    </xf>
    <xf numFmtId="9" fontId="42" fillId="58" borderId="0" xfId="0" applyNumberFormat="1" applyFont="1" applyFill="1" applyAlignment="1">
      <alignment horizontal="center"/>
    </xf>
    <xf numFmtId="0" fontId="91" fillId="41" borderId="0" xfId="0" applyFont="1" applyFill="1" applyAlignment="1">
      <alignment horizontal="right"/>
    </xf>
    <xf numFmtId="9" fontId="91" fillId="41" borderId="0" xfId="0" applyNumberFormat="1" applyFont="1" applyFill="1" applyAlignment="1">
      <alignment horizontal="center"/>
    </xf>
    <xf numFmtId="0" fontId="92" fillId="38" borderId="0" xfId="0" applyFont="1" applyFill="1" applyAlignment="1">
      <alignment horizontal="center"/>
    </xf>
    <xf numFmtId="0" fontId="91" fillId="61" borderId="0" xfId="0" applyFont="1" applyFill="1" applyAlignment="1">
      <alignment horizontal="right"/>
    </xf>
    <xf numFmtId="9" fontId="91" fillId="61" borderId="0" xfId="0" applyNumberFormat="1" applyFont="1" applyFill="1" applyAlignment="1">
      <alignment horizontal="center"/>
    </xf>
    <xf numFmtId="17" fontId="27" fillId="39" borderId="0" xfId="0" applyNumberFormat="1" applyFont="1" applyFill="1" applyAlignment="1">
      <alignment horizontal="center" vertical="center"/>
    </xf>
    <xf numFmtId="0" fontId="0" fillId="0" borderId="0" xfId="0" applyNumberFormat="1" applyAlignment="1">
      <alignment horizontal="center"/>
    </xf>
    <xf numFmtId="171" fontId="0" fillId="0" borderId="0" xfId="42" applyNumberFormat="1" applyFont="1"/>
    <xf numFmtId="6" fontId="0" fillId="0" borderId="0" xfId="42" applyNumberFormat="1" applyFont="1"/>
    <xf numFmtId="6" fontId="0" fillId="0" borderId="0" xfId="0" applyNumberFormat="1"/>
    <xf numFmtId="6" fontId="0" fillId="34" borderId="10" xfId="0" applyNumberFormat="1" applyFill="1" applyBorder="1"/>
    <xf numFmtId="6" fontId="0" fillId="0" borderId="10" xfId="0" applyNumberFormat="1" applyBorder="1"/>
    <xf numFmtId="6" fontId="0" fillId="34" borderId="12" xfId="0" applyNumberFormat="1" applyFill="1" applyBorder="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59">
    <dxf>
      <font>
        <b val="0"/>
        <i val="0"/>
        <strike val="0"/>
        <condense val="0"/>
        <extend val="0"/>
        <outline val="0"/>
        <shadow val="0"/>
        <u val="none"/>
        <vertAlign val="baseline"/>
        <sz val="12"/>
        <color theme="1"/>
        <name val="Aptos Narrow"/>
        <family val="2"/>
        <scheme val="minor"/>
      </font>
      <numFmt numFmtId="10" formatCode="&quot;$&quot;#,##0_);[Red]\(&quot;$&quot;#,##0\)"/>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Aptos Narrow"/>
        <family val="2"/>
        <scheme val="minor"/>
      </font>
      <numFmt numFmtId="10" formatCode="&quot;$&quot;#,##0_);[Red]\(&quot;$&quot;#,##0\)"/>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color rgb="FF9C0006"/>
      </font>
      <fill>
        <patternFill>
          <bgColor rgb="FFFFC7CE"/>
        </patternFill>
      </fill>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numFmt numFmtId="10" formatCode="&quot;$&quot;#,##0_);[Red]\(&quot;$&quot;#,##0\)"/>
    </dxf>
    <dxf>
      <numFmt numFmtId="10" formatCode="&quot;$&quot;#,##0_);[Red]\(&quot;$&quot;#,##0\)"/>
    </dxf>
    <dxf>
      <numFmt numFmtId="10" formatCode="&quot;$&quot;#,##0_);[Red]\(&quot;$&quot;#,##0\)"/>
    </dxf>
    <dxf>
      <fill>
        <patternFill patternType="solid">
          <bgColor theme="1"/>
        </patternFill>
      </fill>
    </dxf>
    <dxf>
      <fill>
        <patternFill patternType="solid">
          <bgColor theme="1"/>
        </patternFill>
      </fill>
    </dxf>
    <dxf>
      <font>
        <color theme="0"/>
      </font>
    </dxf>
    <dxf>
      <font>
        <color theme="0"/>
      </font>
    </dxf>
    <dxf>
      <font>
        <sz val="14"/>
      </font>
    </dxf>
    <dxf>
      <font>
        <sz val="14"/>
      </font>
    </dxf>
    <dxf>
      <alignment horizontal="center"/>
    </dxf>
    <dxf>
      <alignment horizontal="center"/>
    </dxf>
    <dxf>
      <fill>
        <patternFill>
          <bgColor theme="3" tint="0.249977111117893"/>
        </patternFill>
      </fill>
    </dxf>
    <dxf>
      <fill>
        <patternFill>
          <bgColor theme="3" tint="0.249977111117893"/>
        </patternFill>
      </fill>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ill>
        <patternFill patternType="solid">
          <bgColor theme="5" tint="-0.249977111117893"/>
        </patternFill>
      </fill>
    </dxf>
    <dxf>
      <fill>
        <patternFill patternType="solid">
          <bgColor theme="5" tint="-0.249977111117893"/>
        </patternFill>
      </fill>
    </dxf>
    <dxf>
      <fill>
        <patternFill patternType="solid">
          <bgColor theme="5" tint="0.59999389629810485"/>
        </patternFill>
      </fill>
    </dxf>
    <dxf>
      <fill>
        <patternFill patternType="solid">
          <bgColor theme="5" tint="0.59999389629810485"/>
        </patternFill>
      </fill>
    </dxf>
    <dxf>
      <fill>
        <patternFill patternType="solid">
          <bgColor theme="5" tint="-0.499984740745262"/>
        </patternFill>
      </fill>
    </dxf>
    <dxf>
      <fill>
        <patternFill patternType="solid">
          <bgColor theme="5" tint="-0.499984740745262"/>
        </patternFill>
      </fill>
    </dxf>
    <dxf>
      <fill>
        <patternFill patternType="solid">
          <bgColor theme="1"/>
        </patternFill>
      </fill>
    </dxf>
    <dxf>
      <alignment horizontal="right"/>
    </dxf>
    <dxf>
      <alignment horizontal="center"/>
    </dxf>
    <dxf>
      <fill>
        <patternFill patternType="solid">
          <bgColor theme="9" tint="0.59999389629810485"/>
        </patternFill>
      </fill>
    </dxf>
    <dxf>
      <alignment horizontal="center"/>
    </dxf>
    <dxf>
      <font>
        <b/>
      </font>
    </dxf>
    <dxf>
      <font>
        <color theme="0" tint="-0.499984740745262"/>
      </font>
    </dxf>
    <dxf>
      <font>
        <sz val="14"/>
      </font>
    </dxf>
    <dxf>
      <font>
        <sz val="14"/>
      </font>
    </dxf>
    <dxf>
      <font>
        <color theme="0"/>
      </font>
    </dxf>
    <dxf>
      <font>
        <color theme="0"/>
      </font>
    </dxf>
    <dxf>
      <fill>
        <patternFill patternType="solid">
          <bgColor theme="1"/>
        </patternFill>
      </fill>
    </dxf>
    <dxf>
      <fill>
        <patternFill patternType="solid">
          <bgColor theme="1"/>
        </patternFill>
      </fill>
    </dxf>
    <dxf>
      <font>
        <sz val="14"/>
      </font>
    </dxf>
    <dxf>
      <font>
        <sz val="14"/>
      </font>
    </dxf>
    <dxf>
      <font>
        <color theme="0" tint="-0.249977111117893"/>
      </font>
    </dxf>
    <dxf>
      <font>
        <sz val="16"/>
      </font>
    </dxf>
    <dxf>
      <font>
        <b/>
      </font>
    </dxf>
    <dxf>
      <font>
        <sz val="18"/>
      </font>
    </dxf>
    <dxf>
      <font>
        <b/>
      </font>
    </dxf>
    <dxf>
      <font>
        <sz val="20"/>
      </font>
    </dxf>
    <dxf>
      <fill>
        <patternFill>
          <bgColor theme="0"/>
        </patternFill>
      </fill>
    </dxf>
    <dxf>
      <fill>
        <patternFill>
          <bgColor theme="0"/>
        </patternFill>
      </fill>
    </dxf>
    <dxf>
      <font>
        <color theme="1"/>
      </font>
    </dxf>
    <dxf>
      <font>
        <color theme="1"/>
      </font>
    </dxf>
    <dxf>
      <alignment horizontal="center"/>
    </dxf>
    <dxf>
      <fill>
        <patternFill>
          <bgColor theme="9" tint="0.59999389629810485"/>
        </patternFill>
      </fill>
    </dxf>
    <dxf>
      <font>
        <color theme="0"/>
      </font>
    </dxf>
    <dxf>
      <fill>
        <patternFill patternType="solid">
          <bgColor theme="1"/>
        </patternFill>
      </fill>
    </dxf>
    <dxf>
      <alignment horizontal="center"/>
    </dxf>
    <dxf>
      <alignment horizontal="center"/>
    </dxf>
    <dxf>
      <alignment horizontal="center"/>
    </dxf>
    <dxf>
      <fill>
        <patternFill>
          <bgColor rgb="FFFFFF00"/>
        </patternFill>
      </fill>
    </dxf>
    <dxf>
      <fill>
        <patternFill>
          <bgColor rgb="FFFFFF00"/>
        </patternFill>
      </fill>
    </dxf>
    <dxf>
      <fill>
        <patternFill>
          <bgColor rgb="FFFFFF00"/>
        </patternFill>
      </fill>
    </dxf>
    <dxf>
      <font>
        <color theme="0"/>
      </font>
    </dxf>
    <dxf>
      <font>
        <color theme="0"/>
      </font>
    </dxf>
    <dxf>
      <fill>
        <patternFill>
          <bgColor theme="1"/>
        </patternFill>
      </fill>
    </dxf>
    <dxf>
      <fill>
        <patternFill>
          <bgColor theme="1"/>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2" tint="-0.249977111117893"/>
        </patternFill>
      </fill>
    </dxf>
    <dxf>
      <fill>
        <patternFill patternType="solid">
          <bgColor theme="2" tint="-0.249977111117893"/>
        </patternFill>
      </fill>
    </dxf>
    <dxf>
      <font>
        <b/>
      </font>
    </dxf>
    <dxf>
      <font>
        <b/>
      </font>
    </dxf>
    <dxf>
      <font>
        <sz val="16"/>
      </font>
    </dxf>
    <dxf>
      <font>
        <sz val="16"/>
      </font>
    </dxf>
    <dxf>
      <font>
        <sz val="16"/>
      </font>
    </dxf>
    <dxf>
      <font>
        <sz val="20"/>
      </font>
    </dxf>
    <dxf>
      <font>
        <sz val="26"/>
      </font>
    </dxf>
    <dxf>
      <font>
        <b/>
      </font>
    </dxf>
    <dxf>
      <font>
        <sz val="26"/>
      </font>
      <fill>
        <patternFill patternType="solid">
          <fgColor indexed="64"/>
          <bgColor theme="3" tint="0.749992370372631"/>
        </patternFill>
      </fill>
      <alignment horizontal="center"/>
    </dxf>
    <dxf>
      <font>
        <sz val="26"/>
      </font>
      <fill>
        <patternFill patternType="solid">
          <fgColor indexed="64"/>
          <bgColor theme="3" tint="0.749992370372631"/>
        </patternFill>
      </fill>
      <alignment horizontal="center"/>
    </dxf>
    <dxf>
      <alignment horizontal="center"/>
    </dxf>
    <dxf>
      <font>
        <b/>
        <sz val="26"/>
      </font>
      <alignment horizontal="right"/>
    </dxf>
    <dxf>
      <alignment horizontal="center"/>
    </dxf>
    <dxf>
      <font>
        <b/>
        <sz val="26"/>
      </font>
      <alignment horizontal="left"/>
    </dxf>
    <dxf>
      <font>
        <b/>
        <sz val="26"/>
      </font>
      <alignment horizontal="right"/>
    </dxf>
    <dxf>
      <numFmt numFmtId="13" formatCode="0%"/>
    </dxf>
    <dxf>
      <numFmt numFmtId="13" formatCode="0%"/>
    </dxf>
    <dxf>
      <font>
        <color theme="3" tint="0.749992370372631"/>
      </font>
    </dxf>
    <dxf>
      <fill>
        <patternFill patternType="solid">
          <bgColor theme="3" tint="0.749992370372631"/>
        </patternFill>
      </fill>
    </dxf>
    <dxf>
      <fill>
        <patternFill patternType="solid">
          <bgColor theme="3" tint="0.749992370372631"/>
        </patternFill>
      </fill>
    </dxf>
    <dxf>
      <alignment horizontal="center"/>
    </dxf>
    <dxf>
      <alignment horizontal="center"/>
    </dxf>
    <dxf>
      <font>
        <sz val="26"/>
      </font>
    </dxf>
    <dxf>
      <alignment horizontal="right"/>
    </dxf>
    <dxf>
      <font>
        <b/>
        <sz val="26"/>
      </font>
      <alignment horizontal="left"/>
    </dxf>
    <dxf>
      <font>
        <sz val="20"/>
      </font>
    </dxf>
    <dxf>
      <font>
        <sz val="20"/>
      </font>
    </dxf>
    <dxf>
      <font>
        <sz val="26"/>
      </font>
    </dxf>
    <dxf>
      <font>
        <sz val="26"/>
      </font>
    </dxf>
    <dxf>
      <font>
        <b/>
      </font>
    </dxf>
    <dxf>
      <numFmt numFmtId="13" formatCode="0%"/>
    </dxf>
    <dxf>
      <font>
        <color theme="3" tint="0.749992370372631"/>
      </font>
    </dxf>
    <dxf>
      <fill>
        <patternFill patternType="solid">
          <bgColor theme="3" tint="0.749992370372631"/>
        </patternFill>
      </fill>
    </dxf>
    <dxf>
      <fill>
        <patternFill patternType="solid">
          <bgColor theme="3" tint="0.749992370372631"/>
        </patternFill>
      </fill>
    </dxf>
    <dxf>
      <alignment horizontal="center"/>
    </dxf>
    <dxf>
      <font>
        <sz val="26"/>
      </font>
    </dxf>
    <dxf>
      <alignment horizontal="center"/>
    </dxf>
    <dxf>
      <font>
        <sz val="20"/>
      </font>
    </dxf>
    <dxf>
      <font>
        <sz val="20"/>
      </font>
    </dxf>
    <dxf>
      <font>
        <b/>
        <sz val="26"/>
      </font>
    </dxf>
    <dxf>
      <font>
        <b/>
        <sz val="26"/>
      </font>
    </dxf>
    <dxf>
      <font>
        <b/>
      </font>
    </dxf>
    <dxf>
      <alignment horizontal="left"/>
    </dxf>
    <dxf>
      <fill>
        <patternFill>
          <bgColor theme="3" tint="0.89999084444715716"/>
        </patternFill>
      </fill>
    </dxf>
    <dxf>
      <font>
        <b/>
      </font>
    </dxf>
    <dxf>
      <font>
        <sz val="28"/>
      </font>
    </dxf>
    <dxf>
      <font>
        <b/>
      </font>
    </dxf>
    <dxf>
      <font>
        <sz val="28"/>
      </font>
    </dxf>
    <dxf>
      <fill>
        <patternFill patternType="solid">
          <bgColor theme="1"/>
        </patternFill>
      </fill>
    </dxf>
    <dxf>
      <font>
        <sz val="28"/>
      </font>
    </dxf>
    <dxf>
      <font>
        <sz val="28"/>
      </font>
    </dxf>
    <dxf>
      <font>
        <sz val="28"/>
      </font>
    </dxf>
    <dxf>
      <font>
        <sz val="28"/>
      </font>
    </dxf>
    <dxf>
      <font>
        <sz val="28"/>
      </font>
    </dxf>
    <dxf>
      <alignment horizontal="right"/>
    </dxf>
    <dxf>
      <alignment horizontal="center"/>
    </dxf>
    <dxf>
      <fill>
        <patternFill patternType="solid">
          <bgColor theme="9" tint="0.59999389629810485"/>
        </patternFill>
      </fill>
    </dxf>
    <dxf>
      <alignment horizontal="center"/>
    </dxf>
    <dxf>
      <font>
        <b/>
      </font>
    </dxf>
    <dxf>
      <font>
        <color theme="0" tint="-0.499984740745262"/>
      </font>
    </dxf>
    <dxf>
      <font>
        <sz val="14"/>
      </font>
    </dxf>
    <dxf>
      <font>
        <color theme="0"/>
      </font>
    </dxf>
    <dxf>
      <font>
        <color theme="0"/>
      </font>
    </dxf>
    <dxf>
      <fill>
        <patternFill patternType="solid">
          <bgColor theme="1"/>
        </patternFill>
      </fill>
    </dxf>
    <dxf>
      <fill>
        <patternFill patternType="solid">
          <bgColor theme="1"/>
        </patternFill>
      </fill>
    </dxf>
    <dxf>
      <font>
        <sz val="14"/>
      </font>
    </dxf>
    <dxf>
      <font>
        <color theme="0" tint="-0.249977111117893"/>
      </font>
    </dxf>
    <dxf>
      <font>
        <sz val="16"/>
      </font>
    </dxf>
    <dxf>
      <font>
        <b/>
      </font>
    </dxf>
    <dxf>
      <font>
        <sz val="18"/>
      </font>
    </dxf>
    <dxf>
      <font>
        <b/>
      </font>
    </dxf>
    <dxf>
      <fill>
        <patternFill>
          <bgColor rgb="FFFFB648"/>
        </patternFill>
      </fill>
    </dxf>
    <dxf>
      <fill>
        <patternFill>
          <bgColor rgb="FFFFB648"/>
        </patternFill>
      </fill>
    </dxf>
    <dxf>
      <alignment horizontal="center"/>
    </dxf>
    <dxf>
      <font>
        <sz val="28"/>
      </font>
    </dxf>
    <dxf>
      <font>
        <sz val="28"/>
      </font>
    </dxf>
    <dxf>
      <font>
        <sz val="28"/>
      </font>
    </dxf>
    <dxf>
      <font>
        <sz val="28"/>
      </font>
    </dxf>
    <dxf>
      <font>
        <sz val="18"/>
      </font>
    </dxf>
    <dxf>
      <font>
        <sz val="18"/>
      </font>
    </dxf>
    <dxf>
      <alignment horizontal="center"/>
    </dxf>
    <dxf>
      <alignment horizontal="left"/>
    </dxf>
    <dxf>
      <alignment horizontal="left"/>
    </dxf>
    <dxf>
      <alignment horizontal="center"/>
    </dxf>
    <dxf>
      <alignment horizontal="center"/>
    </dxf>
    <dxf>
      <alignment horizontal="center"/>
    </dxf>
    <dxf>
      <font>
        <b val="0"/>
      </font>
    </dxf>
    <dxf>
      <font>
        <sz val="16"/>
      </font>
    </dxf>
    <dxf>
      <font>
        <sz val="16"/>
      </font>
    </dxf>
    <dxf>
      <font>
        <sz val="16"/>
      </font>
    </dxf>
    <dxf>
      <font>
        <sz val="16"/>
      </font>
    </dxf>
    <dxf>
      <fill>
        <patternFill patternType="solid">
          <bgColor theme="1"/>
        </patternFill>
      </fill>
    </dxf>
    <dxf>
      <fill>
        <patternFill patternType="solid">
          <bgColor theme="1"/>
        </patternFill>
      </fill>
    </dxf>
    <dxf>
      <font>
        <color theme="0"/>
      </font>
    </dxf>
    <dxf>
      <font>
        <color theme="0"/>
      </font>
    </dxf>
    <dxf>
      <font>
        <b/>
      </font>
    </dxf>
    <dxf>
      <font>
        <b/>
      </font>
    </dxf>
    <dxf>
      <font>
        <b/>
      </font>
    </dxf>
    <dxf>
      <font>
        <b/>
      </font>
    </dxf>
    <dxf>
      <font>
        <b/>
      </font>
    </dxf>
    <dxf>
      <fill>
        <patternFill patternType="solid">
          <bgColor rgb="FFEBFF56"/>
        </patternFill>
      </fill>
    </dxf>
    <dxf>
      <fill>
        <patternFill patternType="solid">
          <bgColor rgb="FFEBFF56"/>
        </patternFill>
      </fill>
    </dxf>
    <dxf>
      <fill>
        <patternFill>
          <bgColor theme="9" tint="0.59999389629810485"/>
        </patternFill>
      </fill>
    </dxf>
    <dxf>
      <fill>
        <patternFill patternType="solid">
          <bgColor rgb="FFEBFF56"/>
        </patternFill>
      </fill>
    </dxf>
    <dxf>
      <fill>
        <patternFill patternType="solid">
          <bgColor rgb="FFEBFF56"/>
        </patternFill>
      </fill>
    </dxf>
    <dxf>
      <fill>
        <patternFill patternType="solid">
          <bgColor rgb="FF92D050"/>
        </patternFill>
      </fill>
    </dxf>
    <dxf>
      <numFmt numFmtId="13" formatCode="0%"/>
    </dxf>
    <dxf>
      <numFmt numFmtId="13" formatCode="0%"/>
    </dxf>
    <dxf>
      <numFmt numFmtId="13" formatCode="0%"/>
    </dxf>
    <dxf>
      <font>
        <sz val="28"/>
      </font>
    </dxf>
    <dxf>
      <font>
        <sz val="28"/>
      </font>
    </dxf>
    <dxf>
      <font>
        <sz val="28"/>
      </font>
    </dxf>
    <dxf>
      <font>
        <sz val="28"/>
      </font>
    </dxf>
    <dxf>
      <font>
        <sz val="28"/>
      </font>
    </dxf>
    <dxf>
      <font>
        <sz val="28"/>
      </font>
    </dxf>
    <dxf>
      <fill>
        <patternFill>
          <bgColor theme="8" tint="0.39997558519241921"/>
        </patternFill>
      </fill>
    </dxf>
    <dxf>
      <font>
        <b/>
      </font>
    </dxf>
    <dxf>
      <font>
        <sz val="20"/>
      </font>
    </dxf>
    <dxf>
      <font>
        <sz val="20"/>
      </font>
    </dxf>
    <dxf>
      <font>
        <b/>
      </font>
    </dxf>
    <dxf>
      <font>
        <b/>
      </font>
    </dxf>
    <dxf>
      <font>
        <color theme="0"/>
      </font>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sz val="16"/>
      </font>
    </dxf>
    <dxf>
      <font>
        <b/>
      </font>
    </dxf>
    <dxf>
      <fill>
        <patternFill patternType="solid">
          <bgColor rgb="FFFF635A"/>
        </patternFill>
      </fill>
    </dxf>
    <dxf>
      <fill>
        <patternFill patternType="solid">
          <bgColor rgb="FFEBFF56"/>
        </patternFill>
      </fill>
    </dxf>
    <dxf>
      <fill>
        <patternFill patternType="solid">
          <bgColor theme="9" tint="0.59999389629810485"/>
        </patternFill>
      </fill>
    </dxf>
    <dxf>
      <fill>
        <patternFill>
          <bgColor theme="8" tint="0.39997558519241921"/>
        </patternFill>
      </fill>
    </dxf>
    <dxf>
      <font>
        <sz val="14"/>
      </font>
    </dxf>
    <dxf>
      <font>
        <sz val="14"/>
      </font>
    </dxf>
    <dxf>
      <font>
        <b/>
      </font>
    </dxf>
    <dxf>
      <font>
        <sz val="20"/>
      </font>
    </dxf>
    <dxf>
      <font>
        <sz val="20"/>
      </font>
    </dxf>
    <dxf>
      <font>
        <sz val="20"/>
      </font>
    </dxf>
    <dxf>
      <font>
        <b/>
      </font>
    </dxf>
    <dxf>
      <font>
        <b/>
      </font>
    </dxf>
    <dxf>
      <font>
        <color theme="0"/>
      </font>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sz val="16"/>
      </font>
    </dxf>
    <dxf>
      <font>
        <b/>
      </font>
    </dxf>
    <dxf>
      <fill>
        <patternFill patternType="solid">
          <bgColor rgb="FFFF635A"/>
        </patternFill>
      </fill>
    </dxf>
    <dxf>
      <fill>
        <patternFill patternType="solid">
          <bgColor rgb="FFEBFF56"/>
        </patternFill>
      </fill>
    </dxf>
    <dxf>
      <fill>
        <patternFill patternType="solid">
          <bgColor theme="9" tint="0.59999389629810485"/>
        </patternFill>
      </fill>
    </dxf>
    <dxf>
      <fill>
        <patternFill>
          <bgColor rgb="FFFFB648"/>
        </patternFill>
      </fill>
    </dxf>
    <dxf>
      <font>
        <sz val="18"/>
      </font>
    </dxf>
    <dxf>
      <font>
        <sz val="18"/>
      </font>
    </dxf>
    <dxf>
      <font>
        <sz val="18"/>
      </font>
    </dxf>
    <dxf>
      <font>
        <sz val="18"/>
      </font>
    </dxf>
    <dxf>
      <alignment horizontal="center"/>
    </dxf>
    <dxf>
      <alignment horizontal="left"/>
    </dxf>
    <dxf>
      <alignment horizontal="left"/>
    </dxf>
    <dxf>
      <alignment horizontal="center"/>
    </dxf>
    <dxf>
      <alignment horizontal="center"/>
    </dxf>
    <dxf>
      <alignment horizontal="center"/>
    </dxf>
    <dxf>
      <font>
        <b val="0"/>
      </font>
    </dxf>
    <dxf>
      <font>
        <sz val="16"/>
      </font>
    </dxf>
    <dxf>
      <font>
        <sz val="16"/>
      </font>
    </dxf>
    <dxf>
      <font>
        <sz val="16"/>
      </font>
    </dxf>
    <dxf>
      <font>
        <sz val="16"/>
      </font>
    </dxf>
    <dxf>
      <fill>
        <patternFill patternType="solid">
          <bgColor theme="1"/>
        </patternFill>
      </fill>
    </dxf>
    <dxf>
      <fill>
        <patternFill patternType="solid">
          <bgColor theme="1"/>
        </patternFill>
      </fill>
    </dxf>
    <dxf>
      <font>
        <color theme="0"/>
      </font>
    </dxf>
    <dxf>
      <font>
        <color theme="0"/>
      </font>
    </dxf>
    <dxf>
      <font>
        <b/>
      </font>
    </dxf>
    <dxf>
      <font>
        <b/>
      </font>
    </dxf>
    <dxf>
      <font>
        <b/>
      </font>
    </dxf>
    <dxf>
      <font>
        <b/>
      </font>
    </dxf>
    <dxf>
      <font>
        <b/>
      </font>
    </dxf>
    <dxf>
      <fill>
        <patternFill patternType="solid">
          <bgColor rgb="FFEBFF56"/>
        </patternFill>
      </fill>
    </dxf>
    <dxf>
      <fill>
        <patternFill patternType="solid">
          <bgColor rgb="FFEBFF56"/>
        </patternFill>
      </fill>
    </dxf>
    <dxf>
      <fill>
        <patternFill>
          <bgColor theme="9" tint="0.59999389629810485"/>
        </patternFill>
      </fill>
    </dxf>
    <dxf>
      <fill>
        <patternFill patternType="solid">
          <bgColor rgb="FFEBFF56"/>
        </patternFill>
      </fill>
    </dxf>
    <dxf>
      <fill>
        <patternFill patternType="solid">
          <bgColor rgb="FFEBFF56"/>
        </patternFill>
      </fill>
    </dxf>
    <dxf>
      <fill>
        <patternFill patternType="solid">
          <bgColor rgb="FF92D050"/>
        </patternFill>
      </fill>
    </dxf>
    <dxf>
      <numFmt numFmtId="13" formatCode="0%"/>
    </dxf>
    <dxf>
      <numFmt numFmtId="13" formatCode="0%"/>
    </dxf>
    <dxf>
      <numFmt numFmtId="13" formatCode="0%"/>
    </dxf>
    <dxf>
      <fill>
        <patternFill>
          <bgColor theme="0"/>
        </patternFill>
      </fill>
    </dxf>
    <dxf>
      <fill>
        <patternFill>
          <bgColor theme="0"/>
        </patternFill>
      </fill>
    </dxf>
    <dxf>
      <font>
        <color theme="1"/>
      </font>
    </dxf>
    <dxf>
      <font>
        <color theme="1"/>
      </font>
    </dxf>
    <dxf>
      <alignment horizontal="center"/>
    </dxf>
    <dxf>
      <fill>
        <patternFill>
          <bgColor theme="9" tint="0.59999389629810485"/>
        </patternFill>
      </fill>
    </dxf>
    <dxf>
      <font>
        <color theme="0"/>
      </font>
    </dxf>
    <dxf>
      <fill>
        <patternFill patternType="solid">
          <bgColor theme="1"/>
        </patternFill>
      </fill>
    </dxf>
    <dxf>
      <alignment horizontal="center"/>
    </dxf>
    <dxf>
      <alignment horizontal="center"/>
    </dxf>
    <dxf>
      <alignment horizontal="center"/>
    </dxf>
    <dxf>
      <fill>
        <patternFill>
          <bgColor rgb="FFFFFF00"/>
        </patternFill>
      </fill>
    </dxf>
    <dxf>
      <fill>
        <patternFill>
          <bgColor rgb="FFFFFF00"/>
        </patternFill>
      </fill>
    </dxf>
    <dxf>
      <fill>
        <patternFill>
          <bgColor rgb="FFFFFF00"/>
        </patternFill>
      </fill>
    </dxf>
    <dxf>
      <font>
        <color theme="0"/>
      </font>
    </dxf>
    <dxf>
      <font>
        <color theme="0"/>
      </font>
    </dxf>
    <dxf>
      <fill>
        <patternFill>
          <bgColor theme="1"/>
        </patternFill>
      </fill>
    </dxf>
    <dxf>
      <fill>
        <patternFill>
          <bgColor theme="1"/>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2" tint="-0.249977111117893"/>
        </patternFill>
      </fill>
    </dxf>
    <dxf>
      <fill>
        <patternFill patternType="solid">
          <bgColor theme="2" tint="-0.249977111117893"/>
        </patternFill>
      </fill>
    </dxf>
    <dxf>
      <font>
        <b/>
      </font>
    </dxf>
    <dxf>
      <font>
        <b/>
      </font>
    </dxf>
    <dxf>
      <font>
        <sz val="16"/>
      </font>
    </dxf>
    <dxf>
      <font>
        <sz val="16"/>
      </font>
    </dxf>
    <dxf>
      <font>
        <sz val="16"/>
      </font>
    </dxf>
    <dxf>
      <font>
        <sz val="20"/>
      </font>
    </dxf>
    <dxf>
      <font>
        <sz val="26"/>
      </font>
    </dxf>
    <dxf>
      <font>
        <b/>
      </font>
    </dxf>
    <dxf>
      <numFmt numFmtId="13" formatCode="0%"/>
    </dxf>
    <dxf>
      <alignment horizontal="right"/>
    </dxf>
    <dxf>
      <alignment horizontal="center"/>
    </dxf>
    <dxf>
      <fill>
        <patternFill patternType="solid">
          <bgColor theme="9" tint="0.59999389629810485"/>
        </patternFill>
      </fill>
    </dxf>
    <dxf>
      <alignment horizontal="center"/>
    </dxf>
    <dxf>
      <font>
        <b/>
      </font>
    </dxf>
    <dxf>
      <font>
        <color theme="0" tint="-0.499984740745262"/>
      </font>
    </dxf>
    <dxf>
      <font>
        <sz val="14"/>
      </font>
    </dxf>
    <dxf>
      <font>
        <sz val="14"/>
      </font>
    </dxf>
    <dxf>
      <font>
        <color theme="0"/>
      </font>
    </dxf>
    <dxf>
      <font>
        <color theme="0"/>
      </font>
    </dxf>
    <dxf>
      <fill>
        <patternFill patternType="solid">
          <bgColor theme="1"/>
        </patternFill>
      </fill>
    </dxf>
    <dxf>
      <fill>
        <patternFill patternType="solid">
          <bgColor theme="1"/>
        </patternFill>
      </fill>
    </dxf>
    <dxf>
      <font>
        <sz val="14"/>
      </font>
    </dxf>
    <dxf>
      <font>
        <sz val="14"/>
      </font>
    </dxf>
    <dxf>
      <font>
        <color theme="0" tint="-0.249977111117893"/>
      </font>
    </dxf>
    <dxf>
      <font>
        <sz val="16"/>
      </font>
    </dxf>
    <dxf>
      <font>
        <b/>
      </font>
    </dxf>
    <dxf>
      <font>
        <sz val="18"/>
      </font>
    </dxf>
    <dxf>
      <font>
        <b/>
      </font>
    </dxf>
    <dxf>
      <font>
        <sz val="20"/>
      </font>
    </dxf>
    <dxf>
      <font>
        <sz val="18"/>
      </font>
    </dxf>
    <dxf>
      <font>
        <sz val="18"/>
      </font>
    </dxf>
    <dxf>
      <font>
        <sz val="18"/>
      </font>
    </dxf>
    <dxf>
      <font>
        <sz val="18"/>
      </font>
    </dxf>
    <dxf>
      <alignment horizontal="center"/>
    </dxf>
    <dxf>
      <alignment horizontal="left"/>
    </dxf>
    <dxf>
      <alignment horizontal="left"/>
    </dxf>
    <dxf>
      <alignment horizontal="center"/>
    </dxf>
    <dxf>
      <alignment horizontal="center"/>
    </dxf>
    <dxf>
      <alignment horizontal="center"/>
    </dxf>
    <dxf>
      <font>
        <b val="0"/>
      </font>
    </dxf>
    <dxf>
      <font>
        <sz val="16"/>
      </font>
    </dxf>
    <dxf>
      <font>
        <sz val="16"/>
      </font>
    </dxf>
    <dxf>
      <font>
        <sz val="16"/>
      </font>
    </dxf>
    <dxf>
      <font>
        <sz val="16"/>
      </font>
    </dxf>
    <dxf>
      <fill>
        <patternFill patternType="solid">
          <bgColor theme="1"/>
        </patternFill>
      </fill>
    </dxf>
    <dxf>
      <fill>
        <patternFill patternType="solid">
          <bgColor theme="1"/>
        </patternFill>
      </fill>
    </dxf>
    <dxf>
      <font>
        <color theme="0"/>
      </font>
    </dxf>
    <dxf>
      <font>
        <color theme="0"/>
      </font>
    </dxf>
    <dxf>
      <font>
        <b/>
      </font>
    </dxf>
    <dxf>
      <font>
        <b/>
      </font>
    </dxf>
    <dxf>
      <font>
        <b/>
      </font>
    </dxf>
    <dxf>
      <font>
        <b/>
      </font>
    </dxf>
    <dxf>
      <font>
        <b/>
      </font>
    </dxf>
    <dxf>
      <fill>
        <patternFill patternType="solid">
          <bgColor rgb="FFEBFF56"/>
        </patternFill>
      </fill>
    </dxf>
    <dxf>
      <fill>
        <patternFill patternType="solid">
          <bgColor rgb="FFEBFF56"/>
        </patternFill>
      </fill>
    </dxf>
    <dxf>
      <fill>
        <patternFill>
          <bgColor theme="9" tint="0.59999389629810485"/>
        </patternFill>
      </fill>
    </dxf>
    <dxf>
      <fill>
        <patternFill patternType="solid">
          <bgColor rgb="FFEBFF56"/>
        </patternFill>
      </fill>
    </dxf>
    <dxf>
      <fill>
        <patternFill patternType="solid">
          <bgColor rgb="FFEBFF56"/>
        </patternFill>
      </fill>
    </dxf>
    <dxf>
      <fill>
        <patternFill patternType="solid">
          <bgColor rgb="FF92D050"/>
        </patternFill>
      </fill>
    </dxf>
    <dxf>
      <numFmt numFmtId="13" formatCode="0%"/>
    </dxf>
    <dxf>
      <numFmt numFmtId="13" formatCode="0%"/>
    </dxf>
    <dxf>
      <numFmt numFmtId="13" formatCode="0%"/>
    </dxf>
    <dxf>
      <font>
        <sz val="16"/>
      </font>
    </dxf>
    <dxf>
      <fill>
        <patternFill>
          <bgColor theme="8" tint="0.39997558519241921"/>
        </patternFill>
      </fill>
    </dxf>
    <dxf>
      <font>
        <sz val="14"/>
      </font>
    </dxf>
    <dxf>
      <font>
        <b/>
      </font>
    </dxf>
    <dxf>
      <font>
        <sz val="20"/>
      </font>
    </dxf>
    <dxf>
      <font>
        <sz val="20"/>
      </font>
    </dxf>
    <dxf>
      <font>
        <sz val="20"/>
      </font>
    </dxf>
    <dxf>
      <font>
        <b/>
      </font>
    </dxf>
    <dxf>
      <font>
        <b/>
      </font>
    </dxf>
    <dxf>
      <font>
        <color theme="0"/>
      </font>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font>
        <sz val="16"/>
      </font>
    </dxf>
    <dxf>
      <font>
        <b/>
      </font>
    </dxf>
    <dxf>
      <fill>
        <patternFill patternType="solid">
          <bgColor rgb="FFFF635A"/>
        </patternFill>
      </fill>
    </dxf>
    <dxf>
      <fill>
        <patternFill patternType="solid">
          <bgColor rgb="FFEBFF56"/>
        </patternFill>
      </fill>
    </dxf>
    <dxf>
      <fill>
        <patternFill patternType="solid">
          <bgColor theme="9" tint="0.59999389629810485"/>
        </patternFill>
      </fill>
    </dxf>
    <dxf>
      <font>
        <sz val="18"/>
      </font>
    </dxf>
    <dxf>
      <font>
        <sz val="18"/>
      </font>
    </dxf>
    <dxf>
      <font>
        <sz val="18"/>
      </font>
    </dxf>
    <dxf>
      <font>
        <sz val="18"/>
      </font>
    </dxf>
    <dxf>
      <alignment horizontal="center"/>
    </dxf>
    <dxf>
      <alignment horizontal="left"/>
    </dxf>
    <dxf>
      <alignment horizontal="left"/>
    </dxf>
    <dxf>
      <alignment horizontal="center"/>
    </dxf>
    <dxf>
      <alignment horizontal="center"/>
    </dxf>
    <dxf>
      <alignment horizontal="center"/>
    </dxf>
    <dxf>
      <font>
        <b val="0"/>
      </font>
    </dxf>
    <dxf>
      <font>
        <sz val="16"/>
      </font>
    </dxf>
    <dxf>
      <font>
        <sz val="16"/>
      </font>
    </dxf>
    <dxf>
      <font>
        <sz val="16"/>
      </font>
    </dxf>
    <dxf>
      <font>
        <sz val="16"/>
      </font>
    </dxf>
    <dxf>
      <fill>
        <patternFill patternType="solid">
          <bgColor theme="1"/>
        </patternFill>
      </fill>
    </dxf>
    <dxf>
      <fill>
        <patternFill patternType="solid">
          <bgColor theme="1"/>
        </patternFill>
      </fill>
    </dxf>
    <dxf>
      <font>
        <color theme="0"/>
      </font>
    </dxf>
    <dxf>
      <font>
        <color theme="0"/>
      </font>
    </dxf>
    <dxf>
      <font>
        <b/>
      </font>
    </dxf>
    <dxf>
      <font>
        <b/>
      </font>
    </dxf>
    <dxf>
      <font>
        <b/>
      </font>
    </dxf>
    <dxf>
      <font>
        <b/>
      </font>
    </dxf>
    <dxf>
      <font>
        <b/>
      </font>
    </dxf>
    <dxf>
      <fill>
        <patternFill patternType="solid">
          <bgColor rgb="FFEBFF56"/>
        </patternFill>
      </fill>
    </dxf>
    <dxf>
      <fill>
        <patternFill patternType="solid">
          <bgColor rgb="FFEBFF56"/>
        </patternFill>
      </fill>
    </dxf>
    <dxf>
      <fill>
        <patternFill>
          <bgColor theme="9" tint="0.59999389629810485"/>
        </patternFill>
      </fill>
    </dxf>
    <dxf>
      <fill>
        <patternFill patternType="solid">
          <bgColor rgb="FFEBFF56"/>
        </patternFill>
      </fill>
    </dxf>
    <dxf>
      <fill>
        <patternFill patternType="solid">
          <bgColor rgb="FFEBFF56"/>
        </patternFill>
      </fill>
    </dxf>
    <dxf>
      <fill>
        <patternFill patternType="solid">
          <bgColor rgb="FF92D050"/>
        </patternFill>
      </fill>
    </dxf>
    <dxf>
      <numFmt numFmtId="13" formatCode="0%"/>
    </dxf>
    <dxf>
      <numFmt numFmtId="13" formatCode="0%"/>
    </dxf>
    <dxf>
      <numFmt numFmtId="13" formatCode="0%"/>
    </dxf>
    <dxf>
      <fill>
        <patternFill>
          <bgColor theme="0"/>
        </patternFill>
      </fill>
    </dxf>
    <dxf>
      <fill>
        <patternFill>
          <bgColor theme="0"/>
        </patternFill>
      </fill>
    </dxf>
    <dxf>
      <font>
        <color theme="1"/>
      </font>
    </dxf>
    <dxf>
      <font>
        <color theme="1"/>
      </font>
    </dxf>
    <dxf>
      <alignment horizontal="center"/>
    </dxf>
    <dxf>
      <fill>
        <patternFill>
          <bgColor theme="9" tint="0.59999389629810485"/>
        </patternFill>
      </fill>
    </dxf>
    <dxf>
      <font>
        <color theme="0"/>
      </font>
    </dxf>
    <dxf>
      <fill>
        <patternFill patternType="solid">
          <bgColor theme="1"/>
        </patternFill>
      </fill>
    </dxf>
    <dxf>
      <alignment horizontal="center"/>
    </dxf>
    <dxf>
      <alignment horizontal="center"/>
    </dxf>
    <dxf>
      <alignment horizontal="center"/>
    </dxf>
    <dxf>
      <fill>
        <patternFill>
          <bgColor rgb="FFFFFF00"/>
        </patternFill>
      </fill>
    </dxf>
    <dxf>
      <fill>
        <patternFill>
          <bgColor rgb="FFFFFF00"/>
        </patternFill>
      </fill>
    </dxf>
    <dxf>
      <fill>
        <patternFill>
          <bgColor rgb="FFFFFF00"/>
        </patternFill>
      </fill>
    </dxf>
    <dxf>
      <font>
        <color theme="0"/>
      </font>
    </dxf>
    <dxf>
      <font>
        <color theme="0"/>
      </font>
    </dxf>
    <dxf>
      <fill>
        <patternFill>
          <bgColor theme="1"/>
        </patternFill>
      </fill>
    </dxf>
    <dxf>
      <fill>
        <patternFill>
          <bgColor theme="1"/>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2" tint="-0.249977111117893"/>
        </patternFill>
      </fill>
    </dxf>
    <dxf>
      <fill>
        <patternFill patternType="solid">
          <bgColor theme="2" tint="-0.249977111117893"/>
        </patternFill>
      </fill>
    </dxf>
    <dxf>
      <font>
        <b/>
      </font>
    </dxf>
    <dxf>
      <font>
        <b/>
      </font>
    </dxf>
    <dxf>
      <font>
        <sz val="16"/>
      </font>
    </dxf>
    <dxf>
      <font>
        <sz val="16"/>
      </font>
    </dxf>
    <dxf>
      <font>
        <sz val="16"/>
      </font>
    </dxf>
    <dxf>
      <font>
        <sz val="20"/>
      </font>
    </dxf>
    <dxf>
      <font>
        <sz val="26"/>
      </font>
    </dxf>
    <dxf>
      <font>
        <b/>
      </font>
    </dxf>
    <dxf>
      <font>
        <b val="0"/>
        <i val="0"/>
        <strike val="0"/>
        <condense val="0"/>
        <extend val="0"/>
        <outline val="0"/>
        <shadow val="0"/>
        <u val="none"/>
        <vertAlign val="baseline"/>
        <sz val="12"/>
        <color theme="1"/>
        <name val="Aptos Narrow"/>
        <family val="2"/>
        <scheme val="minor"/>
      </font>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164" formatCode="_(&quot;$&quot;* #,##0_);_(&quot;$&quot;* \(#,##0\);_(&quot;$&quot;* &quot;-&quot;??_);_(@_)"/>
    </dxf>
    <dxf>
      <numFmt numFmtId="0" formatCode="General"/>
    </dxf>
    <dxf>
      <numFmt numFmtId="0" formatCode="General"/>
      <alignment horizontal="right" vertical="bottom" textRotation="0" wrapText="0" indent="0" justifyLastLine="0" shrinkToFit="0" readingOrder="0"/>
    </dxf>
    <dxf>
      <numFmt numFmtId="0" formatCode="General"/>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numFmt numFmtId="165" formatCode="[$-F400]h:mm:ss\ AM/PM"/>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0" formatCode="General"/>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s>
  <tableStyles count="0" defaultTableStyle="TableStyleMedium2" defaultPivotStyle="PivotStyleLight16"/>
  <colors>
    <mruColors>
      <color rgb="FFFFB648"/>
      <color rgb="FFEBFF56"/>
      <color rgb="FFFFF4B2"/>
      <color rgb="FFC7C600"/>
      <color rgb="FFE9E800"/>
      <color rgb="FFFF635A"/>
      <color rgb="FFB5B400"/>
      <color rgb="FFFFD576"/>
      <color rgb="FFBA8A3B"/>
      <color rgb="FFE0A3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3016938777237307"/>
          <c:y val="6.0988358648489109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w="19050">
            <a:noFill/>
          </a:ln>
          <a:effectLst/>
        </c:spPr>
        <c:dLbl>
          <c:idx val="0"/>
          <c:layout>
            <c:manualLayout>
              <c:x val="0.13534368783139464"/>
              <c:y val="-0.10260818843599608"/>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8DC753"/>
          </a:solidFill>
          <a:ln w="19050">
            <a:solidFill>
              <a:schemeClr val="lt1"/>
            </a:solidFill>
          </a:ln>
          <a:effectLst/>
        </c:spPr>
        <c:dLbl>
          <c:idx val="0"/>
          <c:layout>
            <c:manualLayout>
              <c:x val="-0.17723956072234334"/>
              <c:y val="-1.5106124708077959E-3"/>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BFF56"/>
          </a:solidFill>
          <a:ln w="19050">
            <a:noFill/>
          </a:ln>
          <a:effectLst/>
        </c:spPr>
        <c:dLbl>
          <c:idx val="0"/>
          <c:layout>
            <c:manualLayout>
              <c:x val="7.4529903430467434E-2"/>
              <c:y val="0.1731600456456613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8DC753"/>
          </a:solidFill>
          <a:ln w="19050">
            <a:solidFill>
              <a:schemeClr val="lt1"/>
            </a:solidFill>
          </a:ln>
          <a:effectLst/>
        </c:spPr>
        <c:dLbl>
          <c:idx val="0"/>
          <c:layout>
            <c:manualLayout>
              <c:x val="-0.17723956072234334"/>
              <c:y val="-1.5106124708077959E-3"/>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40000"/>
              <a:lumOff val="60000"/>
            </a:schemeClr>
          </a:solidFill>
          <a:ln w="19050">
            <a:noFill/>
          </a:ln>
          <a:effectLst/>
        </c:spPr>
        <c:dLbl>
          <c:idx val="0"/>
          <c:layout>
            <c:manualLayout>
              <c:x val="0.13534368783139464"/>
              <c:y val="-0.10260818843599608"/>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EBFF56"/>
          </a:solidFill>
          <a:ln w="19050">
            <a:noFill/>
          </a:ln>
          <a:effectLst/>
        </c:spPr>
        <c:dLbl>
          <c:idx val="0"/>
          <c:layout>
            <c:manualLayout>
              <c:x val="7.4529903430467434E-2"/>
              <c:y val="0.1731600456456613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8DC753"/>
          </a:solidFill>
          <a:ln w="19050">
            <a:solidFill>
              <a:schemeClr val="lt1"/>
            </a:solidFill>
          </a:ln>
          <a:effectLst/>
        </c:spPr>
        <c:dLbl>
          <c:idx val="0"/>
          <c:layout>
            <c:manualLayout>
              <c:x val="-0.12892433294424194"/>
              <c:y val="7.7261609424127183E-3"/>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40000"/>
              <a:lumOff val="60000"/>
            </a:schemeClr>
          </a:solidFill>
          <a:ln w="19050">
            <a:noFill/>
          </a:ln>
          <a:effectLst/>
        </c:spPr>
        <c:dLbl>
          <c:idx val="0"/>
          <c:layout>
            <c:manualLayout>
              <c:x val="9.333049275113961E-2"/>
              <c:y val="-0.12570012196904745"/>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EBFF56"/>
          </a:solidFill>
          <a:ln w="19050">
            <a:noFill/>
          </a:ln>
          <a:effectLst/>
        </c:spPr>
        <c:dLbl>
          <c:idx val="0"/>
          <c:layout>
            <c:manualLayout>
              <c:x val="4.7221260566792086E-2"/>
              <c:y val="0.14544972540599979"/>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v>View %</c:v>
          </c:tx>
          <c:dPt>
            <c:idx val="0"/>
            <c:bubble3D val="0"/>
            <c:spPr>
              <a:solidFill>
                <a:srgbClr val="8DC753"/>
              </a:solidFill>
              <a:ln w="19050">
                <a:solidFill>
                  <a:schemeClr val="lt1"/>
                </a:solidFill>
              </a:ln>
              <a:effectLst/>
            </c:spPr>
            <c:extLst>
              <c:ext xmlns:c16="http://schemas.microsoft.com/office/drawing/2014/chart" uri="{C3380CC4-5D6E-409C-BE32-E72D297353CC}">
                <c16:uniqueId val="{00000001-BDBA-7341-8A92-88E0A0ABFC02}"/>
              </c:ext>
            </c:extLst>
          </c:dPt>
          <c:dPt>
            <c:idx val="1"/>
            <c:bubble3D val="0"/>
            <c:spPr>
              <a:solidFill>
                <a:schemeClr val="accent6">
                  <a:lumMod val="40000"/>
                  <a:lumOff val="60000"/>
                </a:schemeClr>
              </a:solidFill>
              <a:ln w="19050">
                <a:noFill/>
              </a:ln>
              <a:effectLst/>
            </c:spPr>
            <c:extLst>
              <c:ext xmlns:c16="http://schemas.microsoft.com/office/drawing/2014/chart" uri="{C3380CC4-5D6E-409C-BE32-E72D297353CC}">
                <c16:uniqueId val="{00000003-BDBA-7341-8A92-88E0A0ABFC02}"/>
              </c:ext>
            </c:extLst>
          </c:dPt>
          <c:dPt>
            <c:idx val="2"/>
            <c:bubble3D val="0"/>
            <c:spPr>
              <a:solidFill>
                <a:srgbClr val="EBFF56"/>
              </a:solidFill>
              <a:ln w="19050">
                <a:noFill/>
              </a:ln>
              <a:effectLst/>
            </c:spPr>
            <c:extLst>
              <c:ext xmlns:c16="http://schemas.microsoft.com/office/drawing/2014/chart" uri="{C3380CC4-5D6E-409C-BE32-E72D297353CC}">
                <c16:uniqueId val="{00000005-BDBA-7341-8A92-88E0A0ABFC02}"/>
              </c:ext>
            </c:extLst>
          </c:dPt>
          <c:dLbls>
            <c:dLbl>
              <c:idx val="0"/>
              <c:layout>
                <c:manualLayout>
                  <c:x val="-0.12892433294424194"/>
                  <c:y val="7.7261609424127183E-3"/>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DBA-7341-8A92-88E0A0ABFC02}"/>
                </c:ext>
              </c:extLst>
            </c:dLbl>
            <c:dLbl>
              <c:idx val="1"/>
              <c:layout>
                <c:manualLayout>
                  <c:x val="9.333049275113961E-2"/>
                  <c:y val="-0.12570012196904745"/>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DBA-7341-8A92-88E0A0ABFC02}"/>
                </c:ext>
              </c:extLst>
            </c:dLbl>
            <c:dLbl>
              <c:idx val="2"/>
              <c:layout>
                <c:manualLayout>
                  <c:x val="4.7221260566792086E-2"/>
                  <c:y val="0.14544972540599979"/>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DBA-7341-8A92-88E0A0ABFC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4 - 5</c:v>
              </c:pt>
              <c:pt idx="1">
                <c:v>0 - 2.9</c:v>
              </c:pt>
              <c:pt idx="2">
                <c:v>3 - 3.9</c:v>
              </c:pt>
            </c:strLit>
          </c:cat>
          <c:val>
            <c:numLit>
              <c:formatCode>General</c:formatCode>
              <c:ptCount val="3"/>
              <c:pt idx="0">
                <c:v>0.48281249999999998</c:v>
              </c:pt>
              <c:pt idx="1">
                <c:v>0.39687499999999998</c:v>
              </c:pt>
              <c:pt idx="2">
                <c:v>0.1203125</c:v>
              </c:pt>
            </c:numLit>
          </c:val>
          <c:extLst>
            <c:ext xmlns:c16="http://schemas.microsoft.com/office/drawing/2014/chart" uri="{C3380CC4-5D6E-409C-BE32-E72D297353CC}">
              <c16:uniqueId val="{00000006-BDBA-7341-8A92-88E0A0ABFC02}"/>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BDBA-7341-8A92-88E0A0ABFC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BDBA-7341-8A92-88E0A0ABFC0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BDBA-7341-8A92-88E0A0ABFC02}"/>
              </c:ext>
            </c:extLst>
          </c:dPt>
          <c:cat>
            <c:strLit>
              <c:ptCount val="3"/>
              <c:pt idx="0">
                <c:v>4 - 5</c:v>
              </c:pt>
              <c:pt idx="1">
                <c:v>0 - 2.9</c:v>
              </c:pt>
              <c:pt idx="2">
                <c:v>3 - 3.9</c:v>
              </c:pt>
            </c:strLit>
          </c:cat>
          <c:val>
            <c:numLit>
              <c:formatCode>General</c:formatCode>
              <c:ptCount val="3"/>
              <c:pt idx="0">
                <c:v>309</c:v>
              </c:pt>
              <c:pt idx="1">
                <c:v>254</c:v>
              </c:pt>
              <c:pt idx="2">
                <c:v>77</c:v>
              </c:pt>
            </c:numLit>
          </c:val>
          <c:extLst>
            <c:ext xmlns:c16="http://schemas.microsoft.com/office/drawing/2014/chart" uri="{C3380CC4-5D6E-409C-BE32-E72D297353CC}">
              <c16:uniqueId val="{0000000D-BDBA-7341-8A92-88E0A0ABFC0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594284966975291"/>
          <c:y val="0.4313587730073844"/>
          <c:w val="0.14234609582002611"/>
          <c:h val="0.28754148365854776"/>
        </c:manualLayout>
      </c:layout>
      <c:overlay val="0"/>
      <c:spPr>
        <a:noFill/>
        <a:ln>
          <a:noFill/>
        </a:ln>
        <a:effectLst/>
      </c:spPr>
      <c:txPr>
        <a:bodyPr rot="0" spcFirstLastPara="1" vertOverflow="ellipsis" vert="horz" wrap="square" anchor="ctr" anchorCtr="1"/>
        <a:lstStyle/>
        <a:p>
          <a:pPr>
            <a:defRPr sz="1200" b="1" i="0" u="none" strike="noStrike" kern="1200" baseline="0">
              <a:ln>
                <a:noFill/>
              </a:ln>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r>
              <a:rPr lang="en-US" sz="1800" b="1" i="0" baseline="0">
                <a:solidFill>
                  <a:schemeClr val="bg1"/>
                </a:solidFill>
              </a:rPr>
              <a:t>SALES_GROUP VIEW %</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6">
                <a:lumMod val="60000"/>
                <a:lumOff val="40000"/>
              </a:schemeClr>
            </a:solidFill>
            <a:ln>
              <a:noFill/>
            </a:ln>
            <a:effectLst/>
          </c:spPr>
          <c:invertIfNegative val="0"/>
          <c:dLbls>
            <c:dLbl>
              <c:idx val="0"/>
              <c:tx>
                <c:rich>
                  <a:bodyPr/>
                  <a:lstStyle/>
                  <a:p>
                    <a:r>
                      <a:rPr lang="en-US"/>
                      <a:t>51 %</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80F5-084F-B890-5148E1196B1F}"/>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80F5-084F-B890-5148E1196B1F}"/>
            </c:ext>
          </c:extLst>
        </c:ser>
        <c:ser>
          <c:idx val="1"/>
          <c:order val="1"/>
          <c:spPr>
            <a:solidFill>
              <a:srgbClr val="EBFF5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1-80F5-084F-B890-5148E1196B1F}"/>
            </c:ext>
          </c:extLst>
        </c:ser>
        <c:ser>
          <c:idx val="2"/>
          <c:order val="2"/>
          <c:spPr>
            <a:solidFill>
              <a:srgbClr val="FF635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2-80F5-084F-B890-5148E1196B1F}"/>
            </c:ext>
          </c:extLst>
        </c:ser>
        <c:ser>
          <c:idx val="3"/>
          <c:order val="3"/>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3-80F5-084F-B890-5148E1196B1F}"/>
            </c:ext>
          </c:extLst>
        </c:ser>
        <c:dLbls>
          <c:showLegendKey val="0"/>
          <c:showVal val="0"/>
          <c:showCatName val="0"/>
          <c:showSerName val="0"/>
          <c:showPercent val="0"/>
          <c:showBubbleSize val="0"/>
        </c:dLbls>
        <c:gapWidth val="192"/>
        <c:axId val="1477533791"/>
        <c:axId val="1392971695"/>
      </c:barChart>
      <c:catAx>
        <c:axId val="1477533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1" i="0" u="none" strike="noStrike" kern="1200" baseline="0">
                <a:solidFill>
                  <a:schemeClr val="bg1"/>
                </a:solidFill>
                <a:latin typeface="+mn-lt"/>
                <a:ea typeface="+mn-ea"/>
                <a:cs typeface="+mn-cs"/>
              </a:defRPr>
            </a:pPr>
            <a:endParaRPr lang="en-US"/>
          </a:p>
        </c:txPr>
        <c:crossAx val="1392971695"/>
        <c:crosses val="autoZero"/>
        <c:auto val="1"/>
        <c:lblAlgn val="ctr"/>
        <c:lblOffset val="100"/>
        <c:noMultiLvlLbl val="0"/>
      </c:catAx>
      <c:valAx>
        <c:axId val="1392971695"/>
        <c:scaling>
          <c:orientation val="minMax"/>
        </c:scaling>
        <c:delete val="0"/>
        <c:axPos val="l"/>
        <c:majorGridlines>
          <c:spPr>
            <a:ln w="9525" cap="flat" cmpd="sng" algn="ctr">
              <a:solidFill>
                <a:schemeClr val="accent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477533791"/>
        <c:crosses val="autoZero"/>
        <c:crossBetween val="between"/>
      </c:valAx>
      <c:spPr>
        <a:noFill/>
        <a:ln>
          <a:noFill/>
        </a:ln>
        <a:effectLst/>
      </c:spPr>
    </c:plotArea>
    <c:legend>
      <c:legendPos val="b"/>
      <c:overlay val="0"/>
      <c:spPr>
        <a:noFill/>
        <a:ln>
          <a:noFill/>
        </a:ln>
        <a:effectLst>
          <a:softEdge rad="0"/>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lumMod val="85000"/>
        <a:lumOff val="1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Vs Nike analysis.xlsx]g.nike.input!PivotTable3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a:t>
            </a:r>
            <a:r>
              <a:rPr lang="en-US" baseline="0"/>
              <a:t> product by rate_group </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spPr>
          <a:solidFill>
            <a:schemeClr val="accent2">
              <a:lumMod val="50000"/>
            </a:schemeClr>
          </a:solidFill>
          <a:ln w="19050">
            <a:solidFill>
              <a:schemeClr val="lt1"/>
            </a:solidFill>
          </a:ln>
          <a:effectLst/>
        </c:spPr>
        <c:dLbl>
          <c:idx val="0"/>
          <c:layout>
            <c:manualLayout>
              <c:x val="-0.16066469704202607"/>
              <c:y val="1.5365811905324335E-2"/>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w="19050">
            <a:solidFill>
              <a:schemeClr val="lt1"/>
            </a:solidFill>
          </a:ln>
          <a:effectLst/>
        </c:spPr>
        <c:dLbl>
          <c:idx val="0"/>
          <c:layout>
            <c:manualLayout>
              <c:x val="8.7851021203008514E-2"/>
              <c:y val="0.159183320852855"/>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w="19050">
            <a:solidFill>
              <a:schemeClr val="lt1"/>
            </a:solidFill>
          </a:ln>
          <a:effectLst/>
        </c:spPr>
        <c:dLbl>
          <c:idx val="0"/>
          <c:layout>
            <c:manualLayout>
              <c:x val="0.14657728362992459"/>
              <c:y val="-9.3594661479378199E-2"/>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3"/>
          </a:solidFill>
          <a:ln w="19050">
            <a:solidFill>
              <a:schemeClr val="lt1"/>
            </a:solidFill>
          </a:ln>
          <a:effectLst/>
        </c:spPr>
      </c:pivotFmt>
    </c:pivotFmts>
    <c:plotArea>
      <c:layout/>
      <c:pieChart>
        <c:varyColors val="1"/>
        <c:ser>
          <c:idx val="0"/>
          <c:order val="0"/>
          <c:tx>
            <c:strRef>
              <c:f>'g.nike.input'!$E$38</c:f>
              <c:strCache>
                <c:ptCount val="1"/>
                <c:pt idx="0">
                  <c:v>Count of Product</c:v>
                </c:pt>
              </c:strCache>
            </c:strRef>
          </c:tx>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5-60B4-CC4D-9B29-D52E04C097A3}"/>
              </c:ext>
            </c:extLst>
          </c:dPt>
          <c:dPt>
            <c:idx val="1"/>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4-60B4-CC4D-9B29-D52E04C097A3}"/>
              </c:ext>
            </c:extLst>
          </c:dPt>
          <c:dPt>
            <c:idx val="2"/>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60B4-CC4D-9B29-D52E04C097A3}"/>
              </c:ext>
            </c:extLst>
          </c:dPt>
          <c:dLbls>
            <c:dLbl>
              <c:idx val="0"/>
              <c:layout>
                <c:manualLayout>
                  <c:x val="-0.16066469704202607"/>
                  <c:y val="1.5365811905324335E-2"/>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0B4-CC4D-9B29-D52E04C097A3}"/>
                </c:ext>
              </c:extLst>
            </c:dLbl>
            <c:dLbl>
              <c:idx val="1"/>
              <c:layout>
                <c:manualLayout>
                  <c:x val="0.14657728362992459"/>
                  <c:y val="-9.35946614793781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0B4-CC4D-9B29-D52E04C097A3}"/>
                </c:ext>
              </c:extLst>
            </c:dLbl>
            <c:dLbl>
              <c:idx val="2"/>
              <c:layout>
                <c:manualLayout>
                  <c:x val="8.7851021203008514E-2"/>
                  <c:y val="0.159183320852855"/>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0B4-CC4D-9B29-D52E04C097A3}"/>
                </c:ext>
              </c:extLst>
            </c:dLbl>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'g.nike.input'!$D$39:$D$41</c:f>
              <c:strCache>
                <c:ptCount val="3"/>
                <c:pt idx="0">
                  <c:v>4 - 5</c:v>
                </c:pt>
                <c:pt idx="1">
                  <c:v>0 - 2.9</c:v>
                </c:pt>
                <c:pt idx="2">
                  <c:v>3 - 3.9</c:v>
                </c:pt>
              </c:strCache>
            </c:strRef>
          </c:cat>
          <c:val>
            <c:numRef>
              <c:f>'g.nike.input'!$E$39:$E$41</c:f>
              <c:numCache>
                <c:formatCode>0%</c:formatCode>
                <c:ptCount val="3"/>
                <c:pt idx="0">
                  <c:v>0.515625</c:v>
                </c:pt>
                <c:pt idx="1">
                  <c:v>0.328125</c:v>
                </c:pt>
                <c:pt idx="2">
                  <c:v>0.15625</c:v>
                </c:pt>
              </c:numCache>
            </c:numRef>
          </c:val>
          <c:extLst>
            <c:ext xmlns:c16="http://schemas.microsoft.com/office/drawing/2014/chart" uri="{C3380CC4-5D6E-409C-BE32-E72D297353CC}">
              <c16:uniqueId val="{00000000-60B4-CC4D-9B29-D52E04C097A3}"/>
            </c:ext>
          </c:extLst>
        </c:ser>
        <c:ser>
          <c:idx val="1"/>
          <c:order val="1"/>
          <c:tx>
            <c:strRef>
              <c:f>'g.nike.input'!$F$38</c:f>
              <c:strCache>
                <c:ptCount val="1"/>
                <c:pt idx="0">
                  <c:v>Count of Product2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C98F-1047-ADFC-2B6AEFA380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C98F-1047-ADFC-2B6AEFA380D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C98F-1047-ADFC-2B6AEFA380DA}"/>
              </c:ext>
            </c:extLst>
          </c:dPt>
          <c:cat>
            <c:strRef>
              <c:f>'g.nike.input'!$D$39:$D$41</c:f>
              <c:strCache>
                <c:ptCount val="3"/>
                <c:pt idx="0">
                  <c:v>4 - 5</c:v>
                </c:pt>
                <c:pt idx="1">
                  <c:v>0 - 2.9</c:v>
                </c:pt>
                <c:pt idx="2">
                  <c:v>3 - 3.9</c:v>
                </c:pt>
              </c:strCache>
            </c:strRef>
          </c:cat>
          <c:val>
            <c:numRef>
              <c:f>'g.nike.input'!$F$39:$F$41</c:f>
              <c:numCache>
                <c:formatCode>General</c:formatCode>
                <c:ptCount val="3"/>
                <c:pt idx="0">
                  <c:v>99</c:v>
                </c:pt>
                <c:pt idx="1">
                  <c:v>63</c:v>
                </c:pt>
                <c:pt idx="2">
                  <c:v>30</c:v>
                </c:pt>
              </c:numCache>
            </c:numRef>
          </c:val>
          <c:extLst>
            <c:ext xmlns:c16="http://schemas.microsoft.com/office/drawing/2014/chart" uri="{C3380CC4-5D6E-409C-BE32-E72D297353CC}">
              <c16:uniqueId val="{00000001-60B4-CC4D-9B29-D52E04C097A3}"/>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cap="all" spc="50" baseline="0">
                <a:solidFill>
                  <a:schemeClr val="tx1">
                    <a:lumMod val="65000"/>
                    <a:lumOff val="35000"/>
                  </a:schemeClr>
                </a:solidFill>
                <a:latin typeface="+mn-lt"/>
                <a:ea typeface="+mn-ea"/>
                <a:cs typeface="+mn-cs"/>
              </a:defRPr>
            </a:pPr>
            <a:r>
              <a:rPr lang="en-US" sz="1100">
                <a:solidFill>
                  <a:schemeClr val="bg1"/>
                </a:solidFill>
              </a:rPr>
              <a:t>DISCOUNT</a:t>
            </a:r>
            <a:r>
              <a:rPr lang="en-US" sz="1100" baseline="0">
                <a:solidFill>
                  <a:schemeClr val="bg1"/>
                </a:solidFill>
              </a:rPr>
              <a:t> PRODUCTS</a:t>
            </a:r>
            <a:endParaRPr lang="en-US" sz="1100">
              <a:solidFill>
                <a:schemeClr val="bg1"/>
              </a:solidFill>
            </a:endParaRPr>
          </a:p>
        </c:rich>
      </c:tx>
      <c:layout>
        <c:manualLayout>
          <c:xMode val="edge"/>
          <c:yMode val="edge"/>
          <c:x val="0.30186515555005056"/>
          <c:y val="0.81797874274982718"/>
        </c:manualLayout>
      </c:layout>
      <c:overlay val="0"/>
      <c:spPr>
        <a:noFill/>
        <a:ln>
          <a:noFill/>
        </a:ln>
        <a:effectLst/>
      </c:spPr>
      <c:txPr>
        <a:bodyPr rot="0" spcFirstLastPara="1" vertOverflow="ellipsis" vert="horz" wrap="square" anchor="ctr" anchorCtr="1"/>
        <a:lstStyle/>
        <a:p>
          <a:pPr>
            <a:defRPr sz="11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997458517107529"/>
          <c:y val="0.13213839487102377"/>
          <c:w val="0.54708252773907573"/>
          <c:h val="0.58593359124027722"/>
        </c:manualLayout>
      </c:layout>
      <c:doughnutChart>
        <c:varyColors val="1"/>
        <c:ser>
          <c:idx val="0"/>
          <c:order val="0"/>
          <c:dPt>
            <c:idx val="0"/>
            <c:bubble3D val="0"/>
            <c:spPr>
              <a:solidFill>
                <a:schemeClr val="tx2">
                  <a:lumMod val="75000"/>
                  <a:lumOff val="2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DEB-6248-8B71-A66BF4F0946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DEB-6248-8B71-A66BF4F09466}"/>
              </c:ext>
            </c:extLst>
          </c:dPt>
          <c:dLbls>
            <c:dLbl>
              <c:idx val="0"/>
              <c:delete val="1"/>
              <c:extLst>
                <c:ext xmlns:c15="http://schemas.microsoft.com/office/drawing/2012/chart" uri="{CE6537A1-D6FC-4f65-9D91-7224C49458BB}"/>
                <c:ext xmlns:c16="http://schemas.microsoft.com/office/drawing/2014/chart" uri="{C3380CC4-5D6E-409C-BE32-E72D297353CC}">
                  <c16:uniqueId val="{00000001-BDEB-6248-8B71-A66BF4F09466}"/>
                </c:ext>
              </c:extLst>
            </c:dLbl>
            <c:dLbl>
              <c:idx val="1"/>
              <c:layout>
                <c:manualLayout>
                  <c:x val="0.14138464968208744"/>
                  <c:y val="0.11628939441215244"/>
                </c:manualLayout>
              </c:layout>
              <c:tx>
                <c:rich>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fld id="{E86D2A18-A71B-FC46-93AF-3967166631C5}" type="PERCENTAGE">
                      <a:rPr lang="en-US" sz="2800" baseline="0"/>
                      <a:pPr>
                        <a:defRPr sz="2800"/>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1485776805251636"/>
                      <c:h val="0.37087155963302748"/>
                    </c:manualLayout>
                  </c15:layout>
                  <c15:dlblFieldTable/>
                  <c15:showDataLabelsRange val="0"/>
                </c:ext>
                <c:ext xmlns:c16="http://schemas.microsoft.com/office/drawing/2014/chart" uri="{C3380CC4-5D6E-409C-BE32-E72D297353CC}">
                  <c16:uniqueId val="{00000003-BDEB-6248-8B71-A66BF4F09466}"/>
                </c:ext>
              </c:extLst>
            </c:dLbl>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'g.nike.input'!$D$23:$D$24</c:f>
              <c:strCache>
                <c:ptCount val="2"/>
                <c:pt idx="0">
                  <c:v>No Discount</c:v>
                </c:pt>
                <c:pt idx="1">
                  <c:v>Discount</c:v>
                </c:pt>
              </c:strCache>
            </c:strRef>
          </c:cat>
          <c:val>
            <c:numRef>
              <c:f>'g.nike.input'!$E$23:$E$24</c:f>
              <c:numCache>
                <c:formatCode>0%</c:formatCode>
                <c:ptCount val="2"/>
                <c:pt idx="0">
                  <c:v>0.65280289330922248</c:v>
                </c:pt>
                <c:pt idx="1">
                  <c:v>0.34719710669077758</c:v>
                </c:pt>
              </c:numCache>
            </c:numRef>
          </c:val>
          <c:extLst>
            <c:ext xmlns:c16="http://schemas.microsoft.com/office/drawing/2014/chart" uri="{C3380CC4-5D6E-409C-BE32-E72D297353CC}">
              <c16:uniqueId val="{00000004-BDEB-6248-8B71-A66BF4F09466}"/>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cap="all" spc="50" baseline="0">
                <a:solidFill>
                  <a:schemeClr val="bg1"/>
                </a:solidFill>
                <a:latin typeface="+mn-lt"/>
                <a:ea typeface="+mn-ea"/>
                <a:cs typeface="+mn-cs"/>
              </a:defRPr>
            </a:pPr>
            <a:r>
              <a:rPr lang="en-US" sz="1100" baseline="0">
                <a:solidFill>
                  <a:schemeClr val="bg1"/>
                </a:solidFill>
              </a:rPr>
              <a:t>DISCOUNT VIEW</a:t>
            </a:r>
          </a:p>
          <a:p>
            <a:pPr>
              <a:defRPr sz="1100">
                <a:solidFill>
                  <a:schemeClr val="bg1"/>
                </a:solidFill>
              </a:defRPr>
            </a:pPr>
            <a:endParaRPr lang="en-US" sz="1100" baseline="0">
              <a:solidFill>
                <a:schemeClr val="bg1"/>
              </a:solidFill>
            </a:endParaRPr>
          </a:p>
        </c:rich>
      </c:tx>
      <c:layout>
        <c:manualLayout>
          <c:xMode val="edge"/>
          <c:yMode val="edge"/>
          <c:x val="0.30536752604517858"/>
          <c:y val="0.75964399504225988"/>
        </c:manualLayout>
      </c:layout>
      <c:overlay val="0"/>
      <c:spPr>
        <a:noFill/>
        <a:ln>
          <a:noFill/>
        </a:ln>
        <a:effectLst/>
      </c:spPr>
      <c:txPr>
        <a:bodyPr rot="0" spcFirstLastPara="1" vertOverflow="ellipsis" vert="horz" wrap="square" anchor="ctr" anchorCtr="1"/>
        <a:lstStyle/>
        <a:p>
          <a:pPr>
            <a:defRPr sz="1100" b="1" i="0" u="none" strike="noStrike" kern="1200" cap="all" spc="50" baseline="0">
              <a:solidFill>
                <a:schemeClr val="bg1"/>
              </a:solidFill>
              <a:latin typeface="+mn-lt"/>
              <a:ea typeface="+mn-ea"/>
              <a:cs typeface="+mn-cs"/>
            </a:defRPr>
          </a:pPr>
          <a:endParaRPr lang="en-US"/>
        </a:p>
      </c:txPr>
    </c:title>
    <c:autoTitleDeleted val="0"/>
    <c:plotArea>
      <c:layout>
        <c:manualLayout>
          <c:layoutTarget val="inner"/>
          <c:xMode val="edge"/>
          <c:yMode val="edge"/>
          <c:x val="0.22397223108517034"/>
          <c:y val="0.15213057562920509"/>
          <c:w val="0.55205604589674862"/>
          <c:h val="0.58862013672954205"/>
        </c:manualLayout>
      </c:layout>
      <c:doughnutChart>
        <c:varyColors val="1"/>
        <c:ser>
          <c:idx val="0"/>
          <c:order val="0"/>
          <c:dPt>
            <c:idx val="0"/>
            <c:bubble3D val="0"/>
            <c:spPr>
              <a:solidFill>
                <a:schemeClr val="tx2">
                  <a:lumMod val="75000"/>
                  <a:lumOff val="2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F7B-1C47-83E3-A954CAB305E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F7B-1C47-83E3-A954CAB305EE}"/>
              </c:ext>
            </c:extLst>
          </c:dPt>
          <c:dLbls>
            <c:dLbl>
              <c:idx val="0"/>
              <c:delete val="1"/>
              <c:extLst>
                <c:ext xmlns:c15="http://schemas.microsoft.com/office/drawing/2012/chart" uri="{CE6537A1-D6FC-4f65-9D91-7224C49458BB}"/>
                <c:ext xmlns:c16="http://schemas.microsoft.com/office/drawing/2014/chart" uri="{C3380CC4-5D6E-409C-BE32-E72D297353CC}">
                  <c16:uniqueId val="{00000001-EF7B-1C47-83E3-A954CAB305EE}"/>
                </c:ext>
              </c:extLst>
            </c:dLbl>
            <c:dLbl>
              <c:idx val="1"/>
              <c:layout>
                <c:manualLayout>
                  <c:x val="0.19445948162729659"/>
                  <c:y val="8.5937382721870029E-2"/>
                </c:manualLayout>
              </c:layout>
              <c:tx>
                <c:rich>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fld id="{D2F6AE30-0659-CF49-AE5B-1F5AF8894385}" type="VALUE">
                      <a:rPr lang="en-US" sz="2800"/>
                      <a:pPr>
                        <a:defRPr sz="28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1076738150314709"/>
                      <c:h val="0.35805547814342054"/>
                    </c:manualLayout>
                  </c15:layout>
                  <c15:dlblFieldTable/>
                  <c15:showDataLabelsRange val="0"/>
                </c:ext>
                <c:ext xmlns:c16="http://schemas.microsoft.com/office/drawing/2014/chart" uri="{C3380CC4-5D6E-409C-BE32-E72D297353CC}">
                  <c16:uniqueId val="{00000003-EF7B-1C47-83E3-A954CAB305EE}"/>
                </c:ext>
              </c:extLst>
            </c:dLbl>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'g.nike.input'!$D$28:$D$29</c:f>
              <c:strCache>
                <c:ptCount val="2"/>
                <c:pt idx="0">
                  <c:v>No Discount</c:v>
                </c:pt>
                <c:pt idx="1">
                  <c:v>Discount</c:v>
                </c:pt>
              </c:strCache>
            </c:strRef>
          </c:cat>
          <c:val>
            <c:numRef>
              <c:f>'g.nike.input'!$E$28:$E$29</c:f>
              <c:numCache>
                <c:formatCode>0%</c:formatCode>
                <c:ptCount val="2"/>
                <c:pt idx="0">
                  <c:v>0.66093749999999996</c:v>
                </c:pt>
                <c:pt idx="1">
                  <c:v>0.33906249999999999</c:v>
                </c:pt>
              </c:numCache>
            </c:numRef>
          </c:val>
          <c:extLst>
            <c:ext xmlns:c16="http://schemas.microsoft.com/office/drawing/2014/chart" uri="{C3380CC4-5D6E-409C-BE32-E72D297353CC}">
              <c16:uniqueId val="{00000004-EF7B-1C47-83E3-A954CAB305EE}"/>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'h.nike.sales.dashboard'!$P$54</c:f>
              <c:strCache>
                <c:ptCount val="1"/>
                <c:pt idx="0">
                  <c:v>$100 +</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3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'h.nike.sales.dashboard'!$O$55:$O$57</c:f>
              <c:strCache>
                <c:ptCount val="3"/>
                <c:pt idx="0">
                  <c:v>Product %</c:v>
                </c:pt>
                <c:pt idx="1">
                  <c:v>View %</c:v>
                </c:pt>
                <c:pt idx="2">
                  <c:v>Review%</c:v>
                </c:pt>
              </c:strCache>
            </c:strRef>
          </c:cat>
          <c:val>
            <c:numRef>
              <c:f>'h.nike.sales.dashboard'!$P$55:$P$57</c:f>
              <c:numCache>
                <c:formatCode>0%</c:formatCode>
                <c:ptCount val="3"/>
                <c:pt idx="0">
                  <c:v>0.51</c:v>
                </c:pt>
                <c:pt idx="1">
                  <c:v>0.49</c:v>
                </c:pt>
                <c:pt idx="2">
                  <c:v>0.62</c:v>
                </c:pt>
              </c:numCache>
            </c:numRef>
          </c:val>
          <c:extLst>
            <c:ext xmlns:c16="http://schemas.microsoft.com/office/drawing/2014/chart" uri="{C3380CC4-5D6E-409C-BE32-E72D297353CC}">
              <c16:uniqueId val="{00000000-F52D-5A42-9D74-04BD628E30B4}"/>
            </c:ext>
          </c:extLst>
        </c:ser>
        <c:ser>
          <c:idx val="1"/>
          <c:order val="1"/>
          <c:tx>
            <c:strRef>
              <c:f>'h.nike.sales.dashboard'!$Q$54</c:f>
              <c:strCache>
                <c:ptCount val="1"/>
                <c:pt idx="0">
                  <c:v>under $100</c:v>
                </c:pt>
              </c:strCache>
            </c:strRef>
          </c:tx>
          <c:spPr>
            <a:solidFill>
              <a:srgbClr val="EBFF5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'h.nike.sales.dashboard'!$O$55:$O$57</c:f>
              <c:strCache>
                <c:ptCount val="3"/>
                <c:pt idx="0">
                  <c:v>Product %</c:v>
                </c:pt>
                <c:pt idx="1">
                  <c:v>View %</c:v>
                </c:pt>
                <c:pt idx="2">
                  <c:v>Review%</c:v>
                </c:pt>
              </c:strCache>
            </c:strRef>
          </c:cat>
          <c:val>
            <c:numRef>
              <c:f>'h.nike.sales.dashboard'!$Q$55:$Q$57</c:f>
              <c:numCache>
                <c:formatCode>0%</c:formatCode>
                <c:ptCount val="3"/>
                <c:pt idx="0">
                  <c:v>0.41</c:v>
                </c:pt>
                <c:pt idx="1">
                  <c:v>0.43</c:v>
                </c:pt>
                <c:pt idx="2">
                  <c:v>0.34</c:v>
                </c:pt>
              </c:numCache>
            </c:numRef>
          </c:val>
          <c:extLst>
            <c:ext xmlns:c16="http://schemas.microsoft.com/office/drawing/2014/chart" uri="{C3380CC4-5D6E-409C-BE32-E72D297353CC}">
              <c16:uniqueId val="{00000001-F52D-5A42-9D74-04BD628E30B4}"/>
            </c:ext>
          </c:extLst>
        </c:ser>
        <c:ser>
          <c:idx val="2"/>
          <c:order val="2"/>
          <c:tx>
            <c:strRef>
              <c:f>'h.nike.sales.dashboard'!$R$54</c:f>
              <c:strCache>
                <c:ptCount val="1"/>
                <c:pt idx="0">
                  <c:v>$50 and under</c:v>
                </c:pt>
              </c:strCache>
            </c:strRef>
          </c:tx>
          <c:spPr>
            <a:solidFill>
              <a:srgbClr val="FF635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'h.nike.sales.dashboard'!$O$55:$O$57</c:f>
              <c:strCache>
                <c:ptCount val="3"/>
                <c:pt idx="0">
                  <c:v>Product %</c:v>
                </c:pt>
                <c:pt idx="1">
                  <c:v>View %</c:v>
                </c:pt>
                <c:pt idx="2">
                  <c:v>Review%</c:v>
                </c:pt>
              </c:strCache>
            </c:strRef>
          </c:cat>
          <c:val>
            <c:numRef>
              <c:f>'h.nike.sales.dashboard'!$R$55:$R$57</c:f>
              <c:numCache>
                <c:formatCode>0%</c:formatCode>
                <c:ptCount val="3"/>
                <c:pt idx="0">
                  <c:v>7.0000000000000007E-2</c:v>
                </c:pt>
                <c:pt idx="1">
                  <c:v>7.0000000000000007E-2</c:v>
                </c:pt>
                <c:pt idx="2">
                  <c:v>0.04</c:v>
                </c:pt>
              </c:numCache>
            </c:numRef>
          </c:val>
          <c:extLst>
            <c:ext xmlns:c16="http://schemas.microsoft.com/office/drawing/2014/chart" uri="{C3380CC4-5D6E-409C-BE32-E72D297353CC}">
              <c16:uniqueId val="{00000002-F52D-5A42-9D74-04BD628E30B4}"/>
            </c:ext>
          </c:extLst>
        </c:ser>
        <c:ser>
          <c:idx val="3"/>
          <c:order val="3"/>
          <c:tx>
            <c:strRef>
              <c:f>'h.nike.sales.dashboard'!$S$54</c:f>
              <c:strCache>
                <c:ptCount val="1"/>
                <c:pt idx="0">
                  <c:v>$20 and under</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'h.nike.sales.dashboard'!$O$55:$O$57</c:f>
              <c:strCache>
                <c:ptCount val="3"/>
                <c:pt idx="0">
                  <c:v>Product %</c:v>
                </c:pt>
                <c:pt idx="1">
                  <c:v>View %</c:v>
                </c:pt>
                <c:pt idx="2">
                  <c:v>Review%</c:v>
                </c:pt>
              </c:strCache>
            </c:strRef>
          </c:cat>
          <c:val>
            <c:numRef>
              <c:f>'h.nike.sales.dashboard'!$S$55:$S$57</c:f>
              <c:numCache>
                <c:formatCode>0%</c:formatCode>
                <c:ptCount val="3"/>
                <c:pt idx="0">
                  <c:v>0.01</c:v>
                </c:pt>
                <c:pt idx="1">
                  <c:v>7.7999999999999996E-3</c:v>
                </c:pt>
                <c:pt idx="2">
                  <c:v>3.3E-3</c:v>
                </c:pt>
              </c:numCache>
            </c:numRef>
          </c:val>
          <c:extLst>
            <c:ext xmlns:c16="http://schemas.microsoft.com/office/drawing/2014/chart" uri="{C3380CC4-5D6E-409C-BE32-E72D297353CC}">
              <c16:uniqueId val="{00000003-F52D-5A42-9D74-04BD628E30B4}"/>
            </c:ext>
          </c:extLst>
        </c:ser>
        <c:dLbls>
          <c:showLegendKey val="0"/>
          <c:showVal val="0"/>
          <c:showCatName val="0"/>
          <c:showSerName val="0"/>
          <c:showPercent val="0"/>
          <c:showBubbleSize val="0"/>
        </c:dLbls>
        <c:gapWidth val="100"/>
        <c:overlap val="-24"/>
        <c:axId val="894902111"/>
        <c:axId val="841852975"/>
      </c:barChart>
      <c:catAx>
        <c:axId val="8949021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3200" b="1" i="0" u="none" strike="noStrike" kern="1200" baseline="0">
                <a:solidFill>
                  <a:schemeClr val="bg1"/>
                </a:solidFill>
                <a:latin typeface="+mn-lt"/>
                <a:ea typeface="+mn-ea"/>
                <a:cs typeface="+mn-cs"/>
              </a:defRPr>
            </a:pPr>
            <a:endParaRPr lang="en-US"/>
          </a:p>
        </c:txPr>
        <c:crossAx val="841852975"/>
        <c:crosses val="autoZero"/>
        <c:auto val="1"/>
        <c:lblAlgn val="ctr"/>
        <c:lblOffset val="100"/>
        <c:noMultiLvlLbl val="0"/>
      </c:catAx>
      <c:valAx>
        <c:axId val="841852975"/>
        <c:scaling>
          <c:orientation val="minMax"/>
        </c:scaling>
        <c:delete val="0"/>
        <c:axPos val="l"/>
        <c:majorGridlines>
          <c:spPr>
            <a:ln w="9525" cap="flat" cmpd="sng" algn="ctr">
              <a:solidFill>
                <a:schemeClr val="tx2">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94902111"/>
        <c:crosses val="autoZero"/>
        <c:crossBetween val="between"/>
      </c:valAx>
      <c:spPr>
        <a:noFill/>
        <a:ln>
          <a:noFill/>
        </a:ln>
        <a:effectLst/>
      </c:spPr>
    </c:plotArea>
    <c:plotVisOnly val="1"/>
    <c:dispBlanksAs val="gap"/>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Vs Nike analysis.xlsx]h.nike.sales.dashboard!PivotTable21</c:name>
    <c:fmtId val="12"/>
  </c:pivotSource>
  <c:chart>
    <c:autoTitleDeleted val="1"/>
    <c:pivotFmts>
      <c:pivotFmt>
        <c:idx val="0"/>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B648"/>
          </a:solidFill>
          <a:ln w="19050">
            <a:solidFill>
              <a:schemeClr val="bg1"/>
            </a:solidFill>
          </a:ln>
          <a:effectLst/>
        </c:spPr>
        <c:dLbl>
          <c:idx val="0"/>
          <c:layout>
            <c:manualLayout>
              <c:x val="0.25837796929803375"/>
              <c:y val="-0.13186420791283346"/>
            </c:manualLayout>
          </c:layout>
          <c:spPr>
            <a:noFill/>
            <a:ln>
              <a:noFill/>
            </a:ln>
            <a:effectLst/>
          </c:spPr>
          <c:txPr>
            <a:bodyPr rot="0" spcFirstLastPara="1" vertOverflow="ellipsis" vert="horz" wrap="square" lIns="38100" tIns="19050" rIns="38100" bIns="19050" anchor="ctr" anchorCtr="1">
              <a:spAutoFit/>
            </a:bodyPr>
            <a:lstStyle/>
            <a:p>
              <a:pPr>
                <a:defRPr sz="85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w="19050">
            <a:solidFill>
              <a:schemeClr val="bg1"/>
            </a:solidFill>
          </a:ln>
          <a:effectLst/>
        </c:spPr>
        <c:dLbl>
          <c:idx val="0"/>
          <c:layout>
            <c:manualLayout>
              <c:x val="-0.23075694326623578"/>
              <c:y val="2.1358736407949008E-2"/>
            </c:manualLayout>
          </c:layout>
          <c:spPr>
            <a:noFill/>
            <a:ln>
              <a:noFill/>
            </a:ln>
            <a:effectLst/>
          </c:spPr>
          <c:txPr>
            <a:bodyPr rot="0" spcFirstLastPara="1" vertOverflow="ellipsis" vert="horz" wrap="square" lIns="38100" tIns="19050" rIns="38100" bIns="19050" anchor="ctr" anchorCtr="1">
              <a:spAutoFit/>
            </a:bodyPr>
            <a:lstStyle/>
            <a:p>
              <a:pPr>
                <a:defRPr sz="73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BFF56"/>
          </a:solidFill>
          <a:ln w="19050">
            <a:solidFill>
              <a:schemeClr val="bg1"/>
            </a:solidFill>
          </a:ln>
          <a:effectLst/>
        </c:spPr>
        <c:dLbl>
          <c:idx val="0"/>
          <c:layout>
            <c:manualLayout>
              <c:x val="9.8232064617142623E-2"/>
              <c:y val="0.22065722253468317"/>
            </c:manualLayout>
          </c:layout>
          <c:spPr>
            <a:noFill/>
            <a:ln>
              <a:noFill/>
            </a:ln>
            <a:effectLst/>
          </c:spPr>
          <c:txPr>
            <a:bodyPr rot="0" spcFirstLastPara="1" vertOverflow="ellipsis" vert="horz" wrap="square" lIns="38100" tIns="19050" rIns="38100" bIns="19050" anchor="ctr" anchorCtr="1">
              <a:spAutoFit/>
            </a:bodyPr>
            <a:lstStyle/>
            <a:p>
              <a:pPr>
                <a:defRPr sz="4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'h.nike.sales.dashboard'!$G$56</c:f>
              <c:strCache>
                <c:ptCount val="1"/>
                <c:pt idx="0">
                  <c:v>View %</c:v>
                </c:pt>
              </c:strCache>
            </c:strRef>
          </c:tx>
          <c:spPr>
            <a:ln>
              <a:solidFill>
                <a:schemeClr val="bg1"/>
              </a:solidFill>
            </a:ln>
          </c:spPr>
          <c:dPt>
            <c:idx val="0"/>
            <c:bubble3D val="0"/>
            <c:spPr>
              <a:solidFill>
                <a:srgbClr val="92D050"/>
              </a:solidFill>
              <a:ln w="19050">
                <a:solidFill>
                  <a:schemeClr val="bg1"/>
                </a:solidFill>
              </a:ln>
              <a:effectLst/>
            </c:spPr>
            <c:extLst>
              <c:ext xmlns:c16="http://schemas.microsoft.com/office/drawing/2014/chart" uri="{C3380CC4-5D6E-409C-BE32-E72D297353CC}">
                <c16:uniqueId val="{00000004-EC2C-1544-9D79-F59F1E75DF9C}"/>
              </c:ext>
            </c:extLst>
          </c:dPt>
          <c:dPt>
            <c:idx val="1"/>
            <c:bubble3D val="0"/>
            <c:spPr>
              <a:solidFill>
                <a:srgbClr val="FFB648"/>
              </a:solidFill>
              <a:ln w="19050">
                <a:solidFill>
                  <a:schemeClr val="bg1"/>
                </a:solidFill>
              </a:ln>
              <a:effectLst/>
            </c:spPr>
            <c:extLst>
              <c:ext xmlns:c16="http://schemas.microsoft.com/office/drawing/2014/chart" uri="{C3380CC4-5D6E-409C-BE32-E72D297353CC}">
                <c16:uniqueId val="{00000003-EC2C-1544-9D79-F59F1E75DF9C}"/>
              </c:ext>
            </c:extLst>
          </c:dPt>
          <c:dPt>
            <c:idx val="2"/>
            <c:bubble3D val="0"/>
            <c:spPr>
              <a:solidFill>
                <a:srgbClr val="EBFF56"/>
              </a:solidFill>
              <a:ln w="19050">
                <a:solidFill>
                  <a:schemeClr val="bg1"/>
                </a:solidFill>
              </a:ln>
              <a:effectLst/>
            </c:spPr>
            <c:extLst>
              <c:ext xmlns:c16="http://schemas.microsoft.com/office/drawing/2014/chart" uri="{C3380CC4-5D6E-409C-BE32-E72D297353CC}">
                <c16:uniqueId val="{00000005-EC2C-1544-9D79-F59F1E75DF9C}"/>
              </c:ext>
            </c:extLst>
          </c:dPt>
          <c:dLbls>
            <c:dLbl>
              <c:idx val="0"/>
              <c:layout>
                <c:manualLayout>
                  <c:x val="-0.23075694326623578"/>
                  <c:y val="2.1358736407949008E-2"/>
                </c:manualLayout>
              </c:layout>
              <c:spPr>
                <a:noFill/>
                <a:ln>
                  <a:noFill/>
                </a:ln>
                <a:effectLst/>
              </c:spPr>
              <c:txPr>
                <a:bodyPr rot="0" spcFirstLastPara="1" vertOverflow="ellipsis" vert="horz" wrap="square" lIns="38100" tIns="19050" rIns="38100" bIns="19050" anchor="ctr" anchorCtr="1">
                  <a:spAutoFit/>
                </a:bodyPr>
                <a:lstStyle/>
                <a:p>
                  <a:pPr>
                    <a:defRPr sz="73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C2C-1544-9D79-F59F1E75DF9C}"/>
                </c:ext>
              </c:extLst>
            </c:dLbl>
            <c:dLbl>
              <c:idx val="1"/>
              <c:layout>
                <c:manualLayout>
                  <c:x val="0.25837796929803375"/>
                  <c:y val="-0.13186420791283346"/>
                </c:manualLayout>
              </c:layout>
              <c:spPr>
                <a:noFill/>
                <a:ln>
                  <a:noFill/>
                </a:ln>
                <a:effectLst/>
              </c:spPr>
              <c:txPr>
                <a:bodyPr rot="0" spcFirstLastPara="1" vertOverflow="ellipsis" vert="horz" wrap="square" lIns="38100" tIns="19050" rIns="38100" bIns="19050" anchor="ctr" anchorCtr="1">
                  <a:spAutoFit/>
                </a:bodyPr>
                <a:lstStyle/>
                <a:p>
                  <a:pPr>
                    <a:defRPr sz="85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C2C-1544-9D79-F59F1E75DF9C}"/>
                </c:ext>
              </c:extLst>
            </c:dLbl>
            <c:dLbl>
              <c:idx val="2"/>
              <c:layout>
                <c:manualLayout>
                  <c:x val="9.8232064617142623E-2"/>
                  <c:y val="0.22065722253468317"/>
                </c:manualLayout>
              </c:layout>
              <c:spPr>
                <a:noFill/>
                <a:ln>
                  <a:noFill/>
                </a:ln>
                <a:effectLst/>
              </c:spPr>
              <c:txPr>
                <a:bodyPr rot="0" spcFirstLastPara="1" vertOverflow="ellipsis" vert="horz" wrap="square" lIns="38100" tIns="19050" rIns="38100" bIns="19050" anchor="ctr" anchorCtr="1">
                  <a:spAutoFit/>
                </a:bodyPr>
                <a:lstStyle/>
                <a:p>
                  <a:pPr>
                    <a:defRPr sz="4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C2C-1544-9D79-F59F1E75DF9C}"/>
                </c:ext>
              </c:extLst>
            </c:dLbl>
            <c:spPr>
              <a:noFill/>
              <a:ln>
                <a:noFill/>
              </a:ln>
              <a:effectLst/>
            </c:spPr>
            <c:txPr>
              <a:bodyPr rot="0" spcFirstLastPara="1" vertOverflow="ellipsis" vert="horz" wrap="square" lIns="38100" tIns="19050" rIns="38100" bIns="19050" anchor="ctr" anchorCtr="1">
                <a:spAutoFit/>
              </a:bodyPr>
              <a:lstStyle/>
              <a:p>
                <a:pPr>
                  <a:defRPr sz="3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'h.nike.sales.dashboard'!$F$57:$F$59</c:f>
              <c:strCache>
                <c:ptCount val="3"/>
                <c:pt idx="0">
                  <c:v>4 - 5</c:v>
                </c:pt>
                <c:pt idx="1">
                  <c:v>0 - 2.9</c:v>
                </c:pt>
                <c:pt idx="2">
                  <c:v>3 - 3.9</c:v>
                </c:pt>
              </c:strCache>
            </c:strRef>
          </c:cat>
          <c:val>
            <c:numRef>
              <c:f>'h.nike.sales.dashboard'!$G$57:$G$59</c:f>
              <c:numCache>
                <c:formatCode>0%</c:formatCode>
                <c:ptCount val="3"/>
                <c:pt idx="0">
                  <c:v>0.48281249999999998</c:v>
                </c:pt>
                <c:pt idx="1">
                  <c:v>0.39687499999999998</c:v>
                </c:pt>
                <c:pt idx="2">
                  <c:v>0.1203125</c:v>
                </c:pt>
              </c:numCache>
            </c:numRef>
          </c:val>
          <c:extLst>
            <c:ext xmlns:c16="http://schemas.microsoft.com/office/drawing/2014/chart" uri="{C3380CC4-5D6E-409C-BE32-E72D297353CC}">
              <c16:uniqueId val="{00000000-EC2C-1544-9D79-F59F1E75DF9C}"/>
            </c:ext>
          </c:extLst>
        </c:ser>
        <c:ser>
          <c:idx val="1"/>
          <c:order val="1"/>
          <c:tx>
            <c:strRef>
              <c:f>'h.nike.sales.dashboard'!$H$56</c:f>
              <c:strCache>
                <c:ptCount val="1"/>
                <c:pt idx="0">
                  <c:v>View_Count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C622-C440-9EA1-2AF5C365C03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C622-C440-9EA1-2AF5C365C03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C622-C440-9EA1-2AF5C365C03B}"/>
              </c:ext>
            </c:extLst>
          </c:dPt>
          <c:cat>
            <c:strRef>
              <c:f>'h.nike.sales.dashboard'!$F$57:$F$59</c:f>
              <c:strCache>
                <c:ptCount val="3"/>
                <c:pt idx="0">
                  <c:v>4 - 5</c:v>
                </c:pt>
                <c:pt idx="1">
                  <c:v>0 - 2.9</c:v>
                </c:pt>
                <c:pt idx="2">
                  <c:v>3 - 3.9</c:v>
                </c:pt>
              </c:strCache>
            </c:strRef>
          </c:cat>
          <c:val>
            <c:numRef>
              <c:f>'h.nike.sales.dashboard'!$H$57:$H$59</c:f>
              <c:numCache>
                <c:formatCode>General</c:formatCode>
                <c:ptCount val="3"/>
                <c:pt idx="0">
                  <c:v>309</c:v>
                </c:pt>
                <c:pt idx="1">
                  <c:v>254</c:v>
                </c:pt>
                <c:pt idx="2">
                  <c:v>77</c:v>
                </c:pt>
              </c:numCache>
            </c:numRef>
          </c:val>
          <c:extLst>
            <c:ext xmlns:c16="http://schemas.microsoft.com/office/drawing/2014/chart" uri="{C3380CC4-5D6E-409C-BE32-E72D297353CC}">
              <c16:uniqueId val="{00000001-EC2C-1544-9D79-F59F1E75DF9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cap="all" spc="50" baseline="0">
                <a:solidFill>
                  <a:schemeClr val="tx1">
                    <a:lumMod val="65000"/>
                    <a:lumOff val="35000"/>
                  </a:schemeClr>
                </a:solidFill>
                <a:latin typeface="+mn-lt"/>
                <a:ea typeface="+mn-ea"/>
                <a:cs typeface="+mn-cs"/>
              </a:defRPr>
            </a:pPr>
            <a:r>
              <a:rPr lang="en-US" sz="2800">
                <a:solidFill>
                  <a:schemeClr val="bg1"/>
                </a:solidFill>
              </a:rPr>
              <a:t>SHOE PERCENT</a:t>
            </a:r>
          </a:p>
        </c:rich>
      </c:tx>
      <c:overlay val="0"/>
      <c:spPr>
        <a:noFill/>
        <a:ln>
          <a:noFill/>
        </a:ln>
        <a:effectLst/>
      </c:spPr>
      <c:txPr>
        <a:bodyPr rot="0" spcFirstLastPara="1" vertOverflow="ellipsis" vert="horz" wrap="square" anchor="ctr" anchorCtr="1"/>
        <a:lstStyle/>
        <a:p>
          <a:pPr>
            <a:defRPr sz="2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954881719698644"/>
          <c:y val="0.15847921067793355"/>
          <c:w val="0.57549811590572764"/>
          <c:h val="0.81076850803282785"/>
        </c:manualLayout>
      </c:layout>
      <c:doughnutChart>
        <c:varyColors val="1"/>
        <c:ser>
          <c:idx val="0"/>
          <c:order val="0"/>
          <c:dPt>
            <c:idx val="0"/>
            <c:bubble3D val="0"/>
            <c:spPr>
              <a:solidFill>
                <a:schemeClr val="tx2">
                  <a:lumMod val="75000"/>
                  <a:lumOff val="2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3B4-6F43-9CD4-1114CB0136C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3B4-6F43-9CD4-1114CB0136C4}"/>
              </c:ext>
            </c:extLst>
          </c:dPt>
          <c:dLbls>
            <c:dLbl>
              <c:idx val="0"/>
              <c:delete val="1"/>
              <c:extLst>
                <c:ext xmlns:c15="http://schemas.microsoft.com/office/drawing/2012/chart" uri="{CE6537A1-D6FC-4f65-9D91-7224C49458BB}"/>
                <c:ext xmlns:c16="http://schemas.microsoft.com/office/drawing/2014/chart" uri="{C3380CC4-5D6E-409C-BE32-E72D297353CC}">
                  <c16:uniqueId val="{00000001-83B4-6F43-9CD4-1114CB0136C4}"/>
                </c:ext>
              </c:extLst>
            </c:dLbl>
            <c:dLbl>
              <c:idx val="1"/>
              <c:layout>
                <c:manualLayout>
                  <c:x val="0.19109964116256517"/>
                  <c:y val="0.14619250528135203"/>
                </c:manualLayout>
              </c:layout>
              <c:tx>
                <c:rich>
                  <a:bodyPr/>
                  <a:lstStyle/>
                  <a:p>
                    <a:fld id="{E86D2A18-A71B-FC46-93AF-3967166631C5}" type="PERCENTAGE">
                      <a:rPr lang="en-US" baseline="0"/>
                      <a:pPr/>
                      <a:t>[PERCENTAGE]</a:t>
                    </a:fld>
                    <a:endParaRPr lang="en-US"/>
                  </a:p>
                </c:rich>
              </c:tx>
              <c:showLegendKey val="0"/>
              <c:showVal val="1"/>
              <c:showCatName val="0"/>
              <c:showSerName val="0"/>
              <c:showPercent val="1"/>
              <c:showBubbleSize val="0"/>
              <c:extLst>
                <c:ext xmlns:c15="http://schemas.microsoft.com/office/drawing/2012/chart" uri="{CE6537A1-D6FC-4f65-9D91-7224C49458BB}">
                  <c15:layout>
                    <c:manualLayout>
                      <c:w val="0.31485776805251636"/>
                      <c:h val="0.37087155963302748"/>
                    </c:manualLayout>
                  </c15:layout>
                  <c15:dlblFieldTable/>
                  <c15:showDataLabelsRange val="0"/>
                </c:ext>
                <c:ext xmlns:c16="http://schemas.microsoft.com/office/drawing/2014/chart" uri="{C3380CC4-5D6E-409C-BE32-E72D297353CC}">
                  <c16:uniqueId val="{00000003-83B4-6F43-9CD4-1114CB0136C4}"/>
                </c:ext>
              </c:extLst>
            </c:dLbl>
            <c:spPr>
              <a:noFill/>
              <a:ln>
                <a:noFill/>
              </a:ln>
              <a:effectLst/>
            </c:spPr>
            <c:txPr>
              <a:bodyPr rot="0" spcFirstLastPara="1" vertOverflow="ellipsis" vert="horz" wrap="square" lIns="38100" tIns="19050" rIns="38100" bIns="19050" anchor="ctr" anchorCtr="1">
                <a:spAutoFit/>
              </a:bodyPr>
              <a:lstStyle/>
              <a:p>
                <a:pPr>
                  <a:defRPr sz="65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'g.nike.input'!$D$23:$D$24</c:f>
              <c:strCache>
                <c:ptCount val="2"/>
                <c:pt idx="0">
                  <c:v>No Discount</c:v>
                </c:pt>
                <c:pt idx="1">
                  <c:v>Discount</c:v>
                </c:pt>
              </c:strCache>
            </c:strRef>
          </c:cat>
          <c:val>
            <c:numRef>
              <c:f>'g.nike.input'!$E$23:$E$24</c:f>
              <c:numCache>
                <c:formatCode>0%</c:formatCode>
                <c:ptCount val="2"/>
                <c:pt idx="0">
                  <c:v>0.65280289330922248</c:v>
                </c:pt>
                <c:pt idx="1">
                  <c:v>0.34719710669077758</c:v>
                </c:pt>
              </c:numCache>
            </c:numRef>
          </c:val>
          <c:extLst>
            <c:ext xmlns:c16="http://schemas.microsoft.com/office/drawing/2014/chart" uri="{C3380CC4-5D6E-409C-BE32-E72D297353CC}">
              <c16:uniqueId val="{00000004-83B4-6F43-9CD4-1114CB0136C4}"/>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200" b="1" i="0" u="none" strike="noStrike" kern="1200" cap="all" spc="50" baseline="0">
                <a:solidFill>
                  <a:schemeClr val="bg1"/>
                </a:solidFill>
                <a:latin typeface="+mn-lt"/>
                <a:ea typeface="+mn-ea"/>
                <a:cs typeface="+mn-cs"/>
              </a:defRPr>
            </a:pPr>
            <a:r>
              <a:rPr lang="en-US" sz="3200" baseline="0">
                <a:solidFill>
                  <a:schemeClr val="bg1"/>
                </a:solidFill>
              </a:rPr>
              <a:t>View Percent</a:t>
            </a:r>
          </a:p>
        </c:rich>
      </c:tx>
      <c:layout>
        <c:manualLayout>
          <c:xMode val="edge"/>
          <c:yMode val="edge"/>
          <c:x val="0.25147149254395645"/>
          <c:y val="6.024094956812694E-3"/>
        </c:manualLayout>
      </c:layout>
      <c:overlay val="0"/>
      <c:spPr>
        <a:noFill/>
        <a:ln>
          <a:noFill/>
        </a:ln>
        <a:effectLst/>
      </c:spPr>
      <c:txPr>
        <a:bodyPr rot="0" spcFirstLastPara="1" vertOverflow="ellipsis" vert="horz" wrap="square" anchor="ctr" anchorCtr="1"/>
        <a:lstStyle/>
        <a:p>
          <a:pPr>
            <a:defRPr sz="3200" b="1" i="0" u="none" strike="noStrike" kern="1200" cap="all" spc="50" baseline="0">
              <a:solidFill>
                <a:schemeClr val="bg1"/>
              </a:solidFill>
              <a:latin typeface="+mn-lt"/>
              <a:ea typeface="+mn-ea"/>
              <a:cs typeface="+mn-cs"/>
            </a:defRPr>
          </a:pPr>
          <a:endParaRPr lang="en-US"/>
        </a:p>
      </c:txPr>
    </c:title>
    <c:autoTitleDeleted val="0"/>
    <c:plotArea>
      <c:layout>
        <c:manualLayout>
          <c:layoutTarget val="inner"/>
          <c:xMode val="edge"/>
          <c:yMode val="edge"/>
          <c:x val="0.1763032725255845"/>
          <c:y val="0.16206689069659175"/>
          <c:w val="0.5018258103535973"/>
          <c:h val="0.79954088807018109"/>
        </c:manualLayout>
      </c:layout>
      <c:doughnutChart>
        <c:varyColors val="1"/>
        <c:ser>
          <c:idx val="0"/>
          <c:order val="0"/>
          <c:dPt>
            <c:idx val="0"/>
            <c:bubble3D val="0"/>
            <c:spPr>
              <a:solidFill>
                <a:schemeClr val="tx2">
                  <a:lumMod val="75000"/>
                  <a:lumOff val="2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8F7-D749-B7A3-CCF6DF81174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8F7-D749-B7A3-CCF6DF81174D}"/>
              </c:ext>
            </c:extLst>
          </c:dPt>
          <c:dLbls>
            <c:dLbl>
              <c:idx val="0"/>
              <c:delete val="1"/>
              <c:extLst>
                <c:ext xmlns:c15="http://schemas.microsoft.com/office/drawing/2012/chart" uri="{CE6537A1-D6FC-4f65-9D91-7224C49458BB}"/>
                <c:ext xmlns:c16="http://schemas.microsoft.com/office/drawing/2014/chart" uri="{C3380CC4-5D6E-409C-BE32-E72D297353CC}">
                  <c16:uniqueId val="{00000001-58F7-D749-B7A3-CCF6DF81174D}"/>
                </c:ext>
              </c:extLst>
            </c:dLbl>
            <c:dLbl>
              <c:idx val="1"/>
              <c:layout>
                <c:manualLayout>
                  <c:x val="0.1673858065412436"/>
                  <c:y val="0.16200747624453091"/>
                </c:manualLayout>
              </c:layout>
              <c:tx>
                <c:rich>
                  <a:bodyPr/>
                  <a:lstStyle/>
                  <a:p>
                    <a:fld id="{D2F6AE30-0659-CF49-AE5B-1F5AF8894385}" type="VALUE">
                      <a:rPr lang="en-US" sz="6500"/>
                      <a:pPr/>
                      <a:t>[VALUE]</a:t>
                    </a:fld>
                    <a:endParaRPr lang="en-US"/>
                  </a:p>
                </c:rich>
              </c:tx>
              <c:showLegendKey val="0"/>
              <c:showVal val="1"/>
              <c:showCatName val="0"/>
              <c:showSerName val="0"/>
              <c:showPercent val="1"/>
              <c:showBubbleSize val="0"/>
              <c:extLst>
                <c:ext xmlns:c15="http://schemas.microsoft.com/office/drawing/2012/chart" uri="{CE6537A1-D6FC-4f65-9D91-7224C49458BB}">
                  <c15:layout>
                    <c:manualLayout>
                      <c:w val="0.27395289922887034"/>
                      <c:h val="0.35805536076136296"/>
                    </c:manualLayout>
                  </c15:layout>
                  <c15:dlblFieldTable/>
                  <c15:showDataLabelsRange val="0"/>
                </c:ext>
                <c:ext xmlns:c16="http://schemas.microsoft.com/office/drawing/2014/chart" uri="{C3380CC4-5D6E-409C-BE32-E72D297353CC}">
                  <c16:uniqueId val="{00000003-58F7-D749-B7A3-CCF6DF81174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'g.nike.input'!$D$28:$D$29</c:f>
              <c:strCache>
                <c:ptCount val="2"/>
                <c:pt idx="0">
                  <c:v>No Discount</c:v>
                </c:pt>
                <c:pt idx="1">
                  <c:v>Discount</c:v>
                </c:pt>
              </c:strCache>
            </c:strRef>
          </c:cat>
          <c:val>
            <c:numRef>
              <c:f>'g.nike.input'!$E$28:$E$29</c:f>
              <c:numCache>
                <c:formatCode>0%</c:formatCode>
                <c:ptCount val="2"/>
                <c:pt idx="0">
                  <c:v>0.66093749999999996</c:v>
                </c:pt>
                <c:pt idx="1">
                  <c:v>0.33906249999999999</c:v>
                </c:pt>
              </c:numCache>
            </c:numRef>
          </c:val>
          <c:extLst>
            <c:ext xmlns:c16="http://schemas.microsoft.com/office/drawing/2014/chart" uri="{C3380CC4-5D6E-409C-BE32-E72D297353CC}">
              <c16:uniqueId val="{00000004-58F7-D749-B7A3-CCF6DF81174D}"/>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Vs Nike analysis.xlsx]g.nike.input!PivotTable3</c:name>
    <c:fmtId val="4"/>
  </c:pivotSource>
  <c:chart>
    <c:title>
      <c:tx>
        <c:rich>
          <a:bodyPr rot="0" spcFirstLastPara="1" vertOverflow="ellipsis" vert="horz" wrap="square" anchor="ctr" anchorCtr="1"/>
          <a:lstStyle/>
          <a:p>
            <a:pPr>
              <a:defRPr sz="2400" b="1" i="0" u="none" strike="noStrike" kern="1200" spc="0" baseline="0">
                <a:solidFill>
                  <a:schemeClr val="bg1"/>
                </a:solidFill>
                <a:latin typeface="+mn-lt"/>
                <a:ea typeface="+mn-ea"/>
                <a:cs typeface="+mn-cs"/>
              </a:defRPr>
            </a:pPr>
            <a:r>
              <a:rPr lang="en-US" sz="2400" b="1">
                <a:solidFill>
                  <a:schemeClr val="bg1"/>
                </a:solidFill>
              </a:rPr>
              <a:t>Discount</a:t>
            </a:r>
            <a:r>
              <a:rPr lang="en-US" sz="2400" b="1" baseline="0">
                <a:solidFill>
                  <a:schemeClr val="bg1"/>
                </a:solidFill>
              </a:rPr>
              <a:t> product by rate_group </a:t>
            </a:r>
            <a:endParaRPr lang="en-US" sz="2400" b="1">
              <a:solidFill>
                <a:schemeClr val="bg1"/>
              </a:solidFill>
            </a:endParaRP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2">
              <a:lumMod val="50000"/>
            </a:schemeClr>
          </a:solidFill>
          <a:ln w="19050">
            <a:solidFill>
              <a:schemeClr val="lt1"/>
            </a:solidFill>
          </a:ln>
          <a:effectLst/>
        </c:spPr>
        <c:dLbl>
          <c:idx val="0"/>
          <c:layout>
            <c:manualLayout>
              <c:x val="-0.16066469704202607"/>
              <c:y val="1.5365811905324335E-2"/>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w="19050">
            <a:solidFill>
              <a:schemeClr val="lt1"/>
            </a:solidFill>
          </a:ln>
          <a:effectLst/>
        </c:spPr>
        <c:dLbl>
          <c:idx val="0"/>
          <c:layout>
            <c:manualLayout>
              <c:x val="8.7851021203008514E-2"/>
              <c:y val="0.159183320852855"/>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w="19050">
            <a:solidFill>
              <a:schemeClr val="lt1"/>
            </a:solidFill>
          </a:ln>
          <a:effectLst/>
        </c:spPr>
        <c:dLbl>
          <c:idx val="0"/>
          <c:layout>
            <c:manualLayout>
              <c:x val="0.14657728362992459"/>
              <c:y val="-9.3594661479378199E-2"/>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50000"/>
            </a:schemeClr>
          </a:solidFill>
          <a:ln w="19050">
            <a:solidFill>
              <a:schemeClr val="lt1"/>
            </a:solidFill>
          </a:ln>
          <a:effectLst/>
        </c:spPr>
        <c:dLbl>
          <c:idx val="0"/>
          <c:layout>
            <c:manualLayout>
              <c:x val="-0.16066469704202607"/>
              <c:y val="1.5365811905324335E-2"/>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40000"/>
              <a:lumOff val="60000"/>
            </a:schemeClr>
          </a:solidFill>
          <a:ln w="19050">
            <a:solidFill>
              <a:schemeClr val="lt1"/>
            </a:solidFill>
          </a:ln>
          <a:effectLst/>
        </c:spPr>
        <c:dLbl>
          <c:idx val="0"/>
          <c:layout>
            <c:manualLayout>
              <c:x val="0.14657728362992459"/>
              <c:y val="-9.3594661479378199E-2"/>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w="19050">
            <a:solidFill>
              <a:schemeClr val="lt1"/>
            </a:solidFill>
          </a:ln>
          <a:effectLst/>
        </c:spPr>
        <c:dLbl>
          <c:idx val="0"/>
          <c:layout>
            <c:manualLayout>
              <c:x val="8.7851021203008514E-2"/>
              <c:y val="0.159183320852855"/>
            </c:manualLayout>
          </c:layout>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ln>
            <a:noFill/>
          </a:ln>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2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tx2">
              <a:lumMod val="75000"/>
              <a:lumOff val="25000"/>
            </a:schemeClr>
          </a:solidFill>
          <a:ln w="19050">
            <a:solidFill>
              <a:schemeClr val="tx1"/>
            </a:solidFill>
          </a:ln>
          <a:effectLst/>
        </c:spPr>
        <c:dLbl>
          <c:idx val="0"/>
          <c:layout>
            <c:manualLayout>
              <c:x val="-0.15237964721608874"/>
              <c:y val="-3.8566580291664591E-2"/>
            </c:manualLayout>
          </c:layout>
          <c:tx>
            <c:rich>
              <a:bodyPr rot="0" spcFirstLastPara="1" vertOverflow="ellipsis" vert="horz" wrap="square" lIns="38100" tIns="19050" rIns="38100" bIns="19050" anchor="ctr" anchorCtr="1">
                <a:noAutofit/>
              </a:bodyPr>
              <a:lstStyle/>
              <a:p>
                <a:pPr>
                  <a:defRPr sz="2800" b="1" i="0" u="none" strike="noStrike" kern="1200" baseline="0">
                    <a:solidFill>
                      <a:schemeClr val="bg1"/>
                    </a:solidFill>
                    <a:latin typeface="+mn-lt"/>
                    <a:ea typeface="+mn-ea"/>
                    <a:cs typeface="+mn-cs"/>
                  </a:defRPr>
                </a:pPr>
                <a:endParaRPr lang="en-US" sz="2800" baseline="0"/>
              </a:p>
              <a:p>
                <a:pPr>
                  <a:defRPr sz="2800" b="1" i="0" u="none" strike="noStrike" kern="1200" baseline="0">
                    <a:solidFill>
                      <a:schemeClr val="bg1"/>
                    </a:solidFill>
                    <a:latin typeface="+mn-lt"/>
                    <a:ea typeface="+mn-ea"/>
                    <a:cs typeface="+mn-cs"/>
                  </a:defRPr>
                </a:pPr>
                <a:fld id="{71F28FFE-2D59-DD40-9B05-59292416ABC2}" type="VALUE">
                  <a:rPr lang="en-US" sz="2800" baseline="0"/>
                  <a:pPr>
                    <a:defRPr sz="2800" b="1" i="0" u="none" strike="noStrike" kern="1200" baseline="0">
                      <a:solidFill>
                        <a:schemeClr val="bg1"/>
                      </a:solidFill>
                      <a:latin typeface="+mn-lt"/>
                      <a:ea typeface="+mn-ea"/>
                      <a:cs typeface="+mn-cs"/>
                    </a:defRPr>
                  </a:pPr>
                  <a:t>[VALUE]</a:t>
                </a:fld>
                <a:endParaRPr lang="en-US"/>
              </a:p>
            </c:rich>
          </c:tx>
          <c:spPr>
            <a:noFill/>
            <a:ln>
              <a:noFill/>
            </a:ln>
            <a:effectLst/>
          </c:spPr>
          <c:showLegendKey val="0"/>
          <c:showVal val="1"/>
          <c:showCatName val="0"/>
          <c:showSerName val="0"/>
          <c:showPercent val="0"/>
          <c:showBubbleSize val="0"/>
          <c:extLst>
            <c:ext xmlns:c15="http://schemas.microsoft.com/office/drawing/2012/chart" uri="{CE6537A1-D6FC-4f65-9D91-7224C49458BB}">
              <c15:layout>
                <c:manualLayout>
                  <c:w val="9.3428971798650215E-2"/>
                  <c:h val="0.2022498438481016"/>
                </c:manualLayout>
              </c15:layout>
              <c15:dlblFieldTable/>
              <c15:showDataLabelsRange val="0"/>
            </c:ext>
          </c:extLst>
        </c:dLbl>
      </c:pivotFmt>
      <c:pivotFmt>
        <c:idx val="15"/>
        <c:spPr>
          <a:solidFill>
            <a:schemeClr val="accent2">
              <a:lumMod val="40000"/>
              <a:lumOff val="60000"/>
            </a:schemeClr>
          </a:solidFill>
          <a:ln w="19050">
            <a:noFill/>
          </a:ln>
          <a:effectLst/>
        </c:spPr>
        <c:dLbl>
          <c:idx val="0"/>
          <c:layout>
            <c:manualLayout>
              <c:x val="0.14638232502714224"/>
              <c:y val="-0.13521780314047999"/>
            </c:manualLayout>
          </c:layout>
          <c:tx>
            <c:rich>
              <a:bodyPr rot="0" spcFirstLastPara="1" vertOverflow="ellipsis" vert="horz" wrap="square" lIns="38100" tIns="19050" rIns="38100" bIns="19050" anchor="ctr" anchorCtr="1">
                <a:noAutofit/>
              </a:bodyPr>
              <a:lstStyle/>
              <a:p>
                <a:pPr>
                  <a:defRPr sz="2800" b="1" i="0" u="none" strike="noStrike" kern="1200" baseline="0">
                    <a:solidFill>
                      <a:schemeClr val="tx1"/>
                    </a:solidFill>
                    <a:latin typeface="+mn-lt"/>
                    <a:ea typeface="+mn-ea"/>
                    <a:cs typeface="+mn-cs"/>
                  </a:defRPr>
                </a:pPr>
                <a:r>
                  <a:rPr lang="en-US" sz="2800" baseline="0">
                    <a:solidFill>
                      <a:schemeClr val="tx1"/>
                    </a:solidFill>
                  </a:rPr>
                  <a:t> </a:t>
                </a:r>
                <a:fld id="{DB2D474E-A6BE-4D4F-91C8-FFD959A18938}" type="VALUE">
                  <a:rPr lang="en-US" sz="2800" baseline="0">
                    <a:solidFill>
                      <a:schemeClr val="tx1"/>
                    </a:solidFill>
                  </a:rPr>
                  <a:pPr>
                    <a:defRPr sz="2800" b="1" i="0" u="none" strike="noStrike" kern="1200" baseline="0">
                      <a:solidFill>
                        <a:schemeClr val="tx1"/>
                      </a:solidFill>
                      <a:latin typeface="+mn-lt"/>
                      <a:ea typeface="+mn-ea"/>
                      <a:cs typeface="+mn-cs"/>
                    </a:defRPr>
                  </a:pPr>
                  <a:t>[VALUE]</a:t>
                </a:fld>
                <a:endParaRPr lang="en-US" sz="2800" baseline="0">
                  <a:solidFill>
                    <a:schemeClr val="tx1"/>
                  </a:solidFill>
                </a:endParaRPr>
              </a:p>
            </c:rich>
          </c:tx>
          <c:spPr>
            <a:noFill/>
            <a:ln>
              <a:noFill/>
            </a:ln>
            <a:effectLst/>
          </c:spPr>
          <c:showLegendKey val="0"/>
          <c:showVal val="1"/>
          <c:showCatName val="0"/>
          <c:showSerName val="0"/>
          <c:showPercent val="0"/>
          <c:showBubbleSize val="0"/>
          <c:extLst>
            <c:ext xmlns:c15="http://schemas.microsoft.com/office/drawing/2012/chart" uri="{CE6537A1-D6FC-4f65-9D91-7224C49458BB}">
              <c15:layout>
                <c:manualLayout>
                  <c:w val="0.12319899350275303"/>
                  <c:h val="0.17731296326245394"/>
                </c:manualLayout>
              </c15:layout>
              <c15:dlblFieldTable/>
              <c15:showDataLabelsRange val="0"/>
            </c:ext>
          </c:extLst>
        </c:dLbl>
      </c:pivotFmt>
      <c:pivotFmt>
        <c:idx val="16"/>
        <c:spPr>
          <a:solidFill>
            <a:schemeClr val="accent2">
              <a:lumMod val="75000"/>
            </a:schemeClr>
          </a:solidFill>
          <a:ln w="19050">
            <a:noFill/>
          </a:ln>
          <a:effectLst/>
        </c:spPr>
        <c:dLbl>
          <c:idx val="0"/>
          <c:layout>
            <c:manualLayout>
              <c:x val="9.9979071191306473E-2"/>
              <c:y val="0.19374502139623376"/>
            </c:manualLayout>
          </c:layout>
          <c:tx>
            <c:rich>
              <a:bodyPr rot="0" spcFirstLastPara="1" vertOverflow="ellipsis" vert="horz" wrap="square" lIns="38100" tIns="19050" rIns="38100" bIns="19050" anchor="ctr" anchorCtr="1">
                <a:noAutofit/>
              </a:bodyPr>
              <a:lstStyle/>
              <a:p>
                <a:pPr>
                  <a:defRPr sz="2800" b="1" i="0" u="none" strike="noStrike" kern="1200" baseline="0">
                    <a:solidFill>
                      <a:schemeClr val="bg1"/>
                    </a:solidFill>
                    <a:latin typeface="+mn-lt"/>
                    <a:ea typeface="+mn-ea"/>
                    <a:cs typeface="+mn-cs"/>
                  </a:defRPr>
                </a:pPr>
                <a:endParaRPr lang="en-US" sz="2800" baseline="0"/>
              </a:p>
              <a:p>
                <a:pPr>
                  <a:defRPr sz="2800" b="1" i="0" u="none" strike="noStrike" kern="1200" baseline="0">
                    <a:solidFill>
                      <a:schemeClr val="bg1"/>
                    </a:solidFill>
                    <a:latin typeface="+mn-lt"/>
                    <a:ea typeface="+mn-ea"/>
                    <a:cs typeface="+mn-cs"/>
                  </a:defRPr>
                </a:pPr>
                <a:r>
                  <a:rPr lang="en-US" sz="2800" baseline="0"/>
                  <a:t> </a:t>
                </a:r>
                <a:fld id="{11C3B980-A354-9247-AF5F-78E210F1846D}" type="VALUE">
                  <a:rPr lang="en-US" sz="2800" baseline="0"/>
                  <a:pPr>
                    <a:defRPr sz="2800" b="1" i="0" u="none" strike="noStrike" kern="1200" baseline="0">
                      <a:solidFill>
                        <a:schemeClr val="bg1"/>
                      </a:solidFill>
                      <a:latin typeface="+mn-lt"/>
                      <a:ea typeface="+mn-ea"/>
                      <a:cs typeface="+mn-cs"/>
                    </a:defRPr>
                  </a:pPr>
                  <a:t>[VALUE]</a:t>
                </a:fld>
                <a:endParaRPr lang="en-US" sz="2800" baseline="0"/>
              </a:p>
            </c:rich>
          </c:tx>
          <c:spPr>
            <a:noFill/>
            <a:ln>
              <a:noFill/>
            </a:ln>
            <a:effectLst/>
          </c:spPr>
          <c:showLegendKey val="0"/>
          <c:showVal val="1"/>
          <c:showCatName val="0"/>
          <c:showSerName val="0"/>
          <c:showPercent val="0"/>
          <c:showBubbleSize val="0"/>
          <c:extLst>
            <c:ext xmlns:c15="http://schemas.microsoft.com/office/drawing/2012/chart" uri="{CE6537A1-D6FC-4f65-9D91-7224C49458BB}">
              <c15:layout>
                <c:manualLayout>
                  <c:w val="0.12319891191715418"/>
                  <c:h val="0.18402979802692276"/>
                </c:manualLayout>
              </c15:layout>
              <c15:dlblFieldTable/>
              <c15:showDataLabelsRange val="0"/>
            </c:ext>
          </c:extLst>
        </c:dLbl>
      </c:pivotFmt>
      <c:pivotFmt>
        <c:idx val="17"/>
        <c:marker>
          <c:symbol val="none"/>
        </c:marker>
        <c:dLbl>
          <c:idx val="0"/>
          <c:delete val="1"/>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3"/>
          </a:solidFill>
          <a:ln w="19050">
            <a:solidFill>
              <a:schemeClr val="lt1"/>
            </a:solidFill>
          </a:ln>
          <a:effectLst/>
        </c:spPr>
      </c:pivotFmt>
    </c:pivotFmts>
    <c:plotArea>
      <c:layout/>
      <c:pieChart>
        <c:varyColors val="1"/>
        <c:ser>
          <c:idx val="0"/>
          <c:order val="0"/>
          <c:tx>
            <c:strRef>
              <c:f>'g.nike.input'!$E$38</c:f>
              <c:strCache>
                <c:ptCount val="1"/>
                <c:pt idx="0">
                  <c:v>Count of Product</c:v>
                </c:pt>
              </c:strCache>
            </c:strRef>
          </c:tx>
          <c:spPr>
            <a:ln>
              <a:noFill/>
            </a:ln>
          </c:spPr>
          <c:dPt>
            <c:idx val="0"/>
            <c:bubble3D val="0"/>
            <c:explosion val="11"/>
            <c:spPr>
              <a:solidFill>
                <a:schemeClr val="tx2">
                  <a:lumMod val="75000"/>
                  <a:lumOff val="25000"/>
                </a:schemeClr>
              </a:solidFill>
              <a:ln w="19050">
                <a:solidFill>
                  <a:schemeClr val="tx1"/>
                </a:solidFill>
              </a:ln>
              <a:effectLst/>
            </c:spPr>
            <c:extLst>
              <c:ext xmlns:c16="http://schemas.microsoft.com/office/drawing/2014/chart" uri="{C3380CC4-5D6E-409C-BE32-E72D297353CC}">
                <c16:uniqueId val="{00000001-C169-7A45-808D-1003EC3B9F0D}"/>
              </c:ext>
            </c:extLst>
          </c:dPt>
          <c:dPt>
            <c:idx val="1"/>
            <c:bubble3D val="0"/>
            <c:explosion val="11"/>
            <c:spPr>
              <a:solidFill>
                <a:schemeClr val="accent2">
                  <a:lumMod val="40000"/>
                  <a:lumOff val="60000"/>
                </a:schemeClr>
              </a:solidFill>
              <a:ln w="19050">
                <a:noFill/>
              </a:ln>
              <a:effectLst/>
            </c:spPr>
            <c:extLst>
              <c:ext xmlns:c16="http://schemas.microsoft.com/office/drawing/2014/chart" uri="{C3380CC4-5D6E-409C-BE32-E72D297353CC}">
                <c16:uniqueId val="{00000003-C169-7A45-808D-1003EC3B9F0D}"/>
              </c:ext>
            </c:extLst>
          </c:dPt>
          <c:dPt>
            <c:idx val="2"/>
            <c:bubble3D val="0"/>
            <c:explosion val="8"/>
            <c:spPr>
              <a:solidFill>
                <a:schemeClr val="accent2">
                  <a:lumMod val="75000"/>
                </a:schemeClr>
              </a:solidFill>
              <a:ln w="19050">
                <a:noFill/>
              </a:ln>
              <a:effectLst/>
            </c:spPr>
            <c:extLst>
              <c:ext xmlns:c16="http://schemas.microsoft.com/office/drawing/2014/chart" uri="{C3380CC4-5D6E-409C-BE32-E72D297353CC}">
                <c16:uniqueId val="{00000005-C169-7A45-808D-1003EC3B9F0D}"/>
              </c:ext>
            </c:extLst>
          </c:dPt>
          <c:dLbls>
            <c:dLbl>
              <c:idx val="0"/>
              <c:layout>
                <c:manualLayout>
                  <c:x val="-0.15237964721608874"/>
                  <c:y val="-3.8566580291664591E-2"/>
                </c:manualLayout>
              </c:layout>
              <c:tx>
                <c:rich>
                  <a:bodyPr rot="0" spcFirstLastPara="1" vertOverflow="ellipsis" vert="horz" wrap="square" lIns="38100" tIns="19050" rIns="38100" bIns="19050" anchor="ctr" anchorCtr="1">
                    <a:noAutofit/>
                  </a:bodyPr>
                  <a:lstStyle/>
                  <a:p>
                    <a:pPr>
                      <a:defRPr sz="2800" b="1" i="0" u="none" strike="noStrike" kern="1200" baseline="0">
                        <a:solidFill>
                          <a:schemeClr val="bg1"/>
                        </a:solidFill>
                        <a:latin typeface="+mn-lt"/>
                        <a:ea typeface="+mn-ea"/>
                        <a:cs typeface="+mn-cs"/>
                      </a:defRPr>
                    </a:pPr>
                    <a:endParaRPr lang="en-US" sz="2800" baseline="0"/>
                  </a:p>
                  <a:p>
                    <a:pPr>
                      <a:defRPr sz="2800" b="1" i="0" u="none" strike="noStrike" kern="1200" baseline="0">
                        <a:solidFill>
                          <a:schemeClr val="bg1"/>
                        </a:solidFill>
                        <a:latin typeface="+mn-lt"/>
                        <a:ea typeface="+mn-ea"/>
                        <a:cs typeface="+mn-cs"/>
                      </a:defRPr>
                    </a:pPr>
                    <a:fld id="{71F28FFE-2D59-DD40-9B05-59292416ABC2}" type="VALUE">
                      <a:rPr lang="en-US" sz="2800" baseline="0"/>
                      <a:pPr>
                        <a:defRPr sz="2800" b="1" i="0" u="none" strike="noStrike" kern="1200" baseline="0">
                          <a:solidFill>
                            <a:schemeClr val="bg1"/>
                          </a:solidFill>
                          <a:latin typeface="+mn-lt"/>
                          <a:ea typeface="+mn-ea"/>
                          <a:cs typeface="+mn-cs"/>
                        </a:defRPr>
                      </a:pPr>
                      <a:t>[VALUE]</a:t>
                    </a:fld>
                    <a:endParaRPr lang="en-US"/>
                  </a:p>
                </c:rich>
              </c:tx>
              <c:spPr>
                <a:noFill/>
                <a:ln>
                  <a:noFill/>
                </a:ln>
                <a:effectLst/>
              </c:spPr>
              <c:showLegendKey val="0"/>
              <c:showVal val="1"/>
              <c:showCatName val="0"/>
              <c:showSerName val="0"/>
              <c:showPercent val="0"/>
              <c:showBubbleSize val="0"/>
              <c:extLst>
                <c:ext xmlns:c15="http://schemas.microsoft.com/office/drawing/2012/chart" uri="{CE6537A1-D6FC-4f65-9D91-7224C49458BB}">
                  <c15:layout>
                    <c:manualLayout>
                      <c:w val="9.3428971798650215E-2"/>
                      <c:h val="0.2022498438481016"/>
                    </c:manualLayout>
                  </c15:layout>
                  <c15:dlblFieldTable/>
                  <c15:showDataLabelsRange val="0"/>
                </c:ext>
                <c:ext xmlns:c16="http://schemas.microsoft.com/office/drawing/2014/chart" uri="{C3380CC4-5D6E-409C-BE32-E72D297353CC}">
                  <c16:uniqueId val="{00000001-C169-7A45-808D-1003EC3B9F0D}"/>
                </c:ext>
              </c:extLst>
            </c:dLbl>
            <c:dLbl>
              <c:idx val="1"/>
              <c:layout>
                <c:manualLayout>
                  <c:x val="0.14638232502714224"/>
                  <c:y val="-0.13521780314047999"/>
                </c:manualLayout>
              </c:layout>
              <c:tx>
                <c:rich>
                  <a:bodyPr rot="0" spcFirstLastPara="1" vertOverflow="ellipsis" vert="horz" wrap="square" lIns="38100" tIns="19050" rIns="38100" bIns="19050" anchor="ctr" anchorCtr="1">
                    <a:noAutofit/>
                  </a:bodyPr>
                  <a:lstStyle/>
                  <a:p>
                    <a:pPr>
                      <a:defRPr sz="2800" b="1" i="0" u="none" strike="noStrike" kern="1200" baseline="0">
                        <a:solidFill>
                          <a:schemeClr val="tx1"/>
                        </a:solidFill>
                        <a:latin typeface="+mn-lt"/>
                        <a:ea typeface="+mn-ea"/>
                        <a:cs typeface="+mn-cs"/>
                      </a:defRPr>
                    </a:pPr>
                    <a:r>
                      <a:rPr lang="en-US" sz="2800" baseline="0">
                        <a:solidFill>
                          <a:schemeClr val="tx1"/>
                        </a:solidFill>
                      </a:rPr>
                      <a:t> </a:t>
                    </a:r>
                    <a:fld id="{DB2D474E-A6BE-4D4F-91C8-FFD959A18938}" type="VALUE">
                      <a:rPr lang="en-US" sz="2800" baseline="0">
                        <a:solidFill>
                          <a:schemeClr val="tx1"/>
                        </a:solidFill>
                      </a:rPr>
                      <a:pPr>
                        <a:defRPr sz="2800" b="1" i="0" u="none" strike="noStrike" kern="1200" baseline="0">
                          <a:solidFill>
                            <a:schemeClr val="tx1"/>
                          </a:solidFill>
                          <a:latin typeface="+mn-lt"/>
                          <a:ea typeface="+mn-ea"/>
                          <a:cs typeface="+mn-cs"/>
                        </a:defRPr>
                      </a:pPr>
                      <a:t>[VALUE]</a:t>
                    </a:fld>
                    <a:endParaRPr lang="en-US" sz="2800" baseline="0">
                      <a:solidFill>
                        <a:schemeClr val="tx1"/>
                      </a:solidFill>
                    </a:endParaRPr>
                  </a:p>
                </c:rich>
              </c:tx>
              <c:spPr>
                <a:noFill/>
                <a:ln>
                  <a:noFill/>
                </a:ln>
                <a:effectLst/>
              </c:spPr>
              <c:showLegendKey val="0"/>
              <c:showVal val="1"/>
              <c:showCatName val="0"/>
              <c:showSerName val="0"/>
              <c:showPercent val="0"/>
              <c:showBubbleSize val="0"/>
              <c:extLst>
                <c:ext xmlns:c15="http://schemas.microsoft.com/office/drawing/2012/chart" uri="{CE6537A1-D6FC-4f65-9D91-7224C49458BB}">
                  <c15:layout>
                    <c:manualLayout>
                      <c:w val="0.12319899350275303"/>
                      <c:h val="0.17731296326245394"/>
                    </c:manualLayout>
                  </c15:layout>
                  <c15:dlblFieldTable/>
                  <c15:showDataLabelsRange val="0"/>
                </c:ext>
                <c:ext xmlns:c16="http://schemas.microsoft.com/office/drawing/2014/chart" uri="{C3380CC4-5D6E-409C-BE32-E72D297353CC}">
                  <c16:uniqueId val="{00000003-C169-7A45-808D-1003EC3B9F0D}"/>
                </c:ext>
              </c:extLst>
            </c:dLbl>
            <c:dLbl>
              <c:idx val="2"/>
              <c:layout>
                <c:manualLayout>
                  <c:x val="9.9979071191306473E-2"/>
                  <c:y val="0.19374502139623376"/>
                </c:manualLayout>
              </c:layout>
              <c:tx>
                <c:rich>
                  <a:bodyPr rot="0" spcFirstLastPara="1" vertOverflow="ellipsis" vert="horz" wrap="square" lIns="38100" tIns="19050" rIns="38100" bIns="19050" anchor="ctr" anchorCtr="1">
                    <a:noAutofit/>
                  </a:bodyPr>
                  <a:lstStyle/>
                  <a:p>
                    <a:pPr>
                      <a:defRPr sz="2800" b="1" i="0" u="none" strike="noStrike" kern="1200" baseline="0">
                        <a:solidFill>
                          <a:schemeClr val="bg1"/>
                        </a:solidFill>
                        <a:latin typeface="+mn-lt"/>
                        <a:ea typeface="+mn-ea"/>
                        <a:cs typeface="+mn-cs"/>
                      </a:defRPr>
                    </a:pPr>
                    <a:endParaRPr lang="en-US" sz="2800" baseline="0"/>
                  </a:p>
                  <a:p>
                    <a:pPr>
                      <a:defRPr sz="2800" b="1" i="0" u="none" strike="noStrike" kern="1200" baseline="0">
                        <a:solidFill>
                          <a:schemeClr val="bg1"/>
                        </a:solidFill>
                        <a:latin typeface="+mn-lt"/>
                        <a:ea typeface="+mn-ea"/>
                        <a:cs typeface="+mn-cs"/>
                      </a:defRPr>
                    </a:pPr>
                    <a:r>
                      <a:rPr lang="en-US" sz="2800" baseline="0"/>
                      <a:t> </a:t>
                    </a:r>
                    <a:fld id="{11C3B980-A354-9247-AF5F-78E210F1846D}" type="VALUE">
                      <a:rPr lang="en-US" sz="2800" baseline="0"/>
                      <a:pPr>
                        <a:defRPr sz="2800" b="1" i="0" u="none" strike="noStrike" kern="1200" baseline="0">
                          <a:solidFill>
                            <a:schemeClr val="bg1"/>
                          </a:solidFill>
                          <a:latin typeface="+mn-lt"/>
                          <a:ea typeface="+mn-ea"/>
                          <a:cs typeface="+mn-cs"/>
                        </a:defRPr>
                      </a:pPr>
                      <a:t>[VALUE]</a:t>
                    </a:fld>
                    <a:endParaRPr lang="en-US" sz="2800" baseline="0"/>
                  </a:p>
                </c:rich>
              </c:tx>
              <c:spPr>
                <a:noFill/>
                <a:ln>
                  <a:noFill/>
                </a:ln>
                <a:effectLst/>
              </c:spPr>
              <c:showLegendKey val="0"/>
              <c:showVal val="1"/>
              <c:showCatName val="0"/>
              <c:showSerName val="0"/>
              <c:showPercent val="0"/>
              <c:showBubbleSize val="0"/>
              <c:extLst>
                <c:ext xmlns:c15="http://schemas.microsoft.com/office/drawing/2012/chart" uri="{CE6537A1-D6FC-4f65-9D91-7224C49458BB}">
                  <c15:layout>
                    <c:manualLayout>
                      <c:w val="0.12319891191715418"/>
                      <c:h val="0.18402979802692276"/>
                    </c:manualLayout>
                  </c15:layout>
                  <c15:dlblFieldTable/>
                  <c15:showDataLabelsRange val="0"/>
                </c:ext>
                <c:ext xmlns:c16="http://schemas.microsoft.com/office/drawing/2014/chart" uri="{C3380CC4-5D6E-409C-BE32-E72D297353CC}">
                  <c16:uniqueId val="{00000005-C169-7A45-808D-1003EC3B9F0D}"/>
                </c:ext>
              </c:extLst>
            </c:dLbl>
            <c:spPr>
              <a:noFill/>
              <a:ln>
                <a:noFill/>
              </a:ln>
              <a:effectLst/>
            </c:spPr>
            <c:txPr>
              <a:bodyPr rot="0" spcFirstLastPara="1" vertOverflow="ellipsis" vert="horz" wrap="square" lIns="38100" tIns="19050" rIns="38100" bIns="19050" anchor="ctr" anchorCtr="1">
                <a:noAutofit/>
              </a:bodyPr>
              <a:lstStyle/>
              <a:p>
                <a:pPr>
                  <a:defRPr sz="2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a:solidFill>
                    <a:schemeClr val="bg1"/>
                  </a:solidFill>
                </a:ln>
              </c:spPr>
            </c:leaderLines>
            <c:extLst>
              <c:ext xmlns:c15="http://schemas.microsoft.com/office/drawing/2012/chart" uri="{CE6537A1-D6FC-4f65-9D91-7224C49458BB}"/>
            </c:extLst>
          </c:dLbls>
          <c:cat>
            <c:strRef>
              <c:f>'g.nike.input'!$D$39:$D$41</c:f>
              <c:strCache>
                <c:ptCount val="3"/>
                <c:pt idx="0">
                  <c:v>4 - 5</c:v>
                </c:pt>
                <c:pt idx="1">
                  <c:v>0 - 2.9</c:v>
                </c:pt>
                <c:pt idx="2">
                  <c:v>3 - 3.9</c:v>
                </c:pt>
              </c:strCache>
            </c:strRef>
          </c:cat>
          <c:val>
            <c:numRef>
              <c:f>'g.nike.input'!$E$39:$E$41</c:f>
              <c:numCache>
                <c:formatCode>0%</c:formatCode>
                <c:ptCount val="3"/>
                <c:pt idx="0">
                  <c:v>0.515625</c:v>
                </c:pt>
                <c:pt idx="1">
                  <c:v>0.328125</c:v>
                </c:pt>
                <c:pt idx="2">
                  <c:v>0.15625</c:v>
                </c:pt>
              </c:numCache>
            </c:numRef>
          </c:val>
          <c:extLst>
            <c:ext xmlns:c16="http://schemas.microsoft.com/office/drawing/2014/chart" uri="{C3380CC4-5D6E-409C-BE32-E72D297353CC}">
              <c16:uniqueId val="{00000006-C169-7A45-808D-1003EC3B9F0D}"/>
            </c:ext>
          </c:extLst>
        </c:ser>
        <c:ser>
          <c:idx val="1"/>
          <c:order val="1"/>
          <c:tx>
            <c:strRef>
              <c:f>'g.nike.input'!$F$38</c:f>
              <c:strCache>
                <c:ptCount val="1"/>
                <c:pt idx="0">
                  <c:v>Count of Product2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C169-7A45-808D-1003EC3B9F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C169-7A45-808D-1003EC3B9F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C169-7A45-808D-1003EC3B9F0D}"/>
              </c:ext>
            </c:extLst>
          </c:dPt>
          <c:cat>
            <c:strRef>
              <c:f>'g.nike.input'!$D$39:$D$41</c:f>
              <c:strCache>
                <c:ptCount val="3"/>
                <c:pt idx="0">
                  <c:v>4 - 5</c:v>
                </c:pt>
                <c:pt idx="1">
                  <c:v>0 - 2.9</c:v>
                </c:pt>
                <c:pt idx="2">
                  <c:v>3 - 3.9</c:v>
                </c:pt>
              </c:strCache>
            </c:strRef>
          </c:cat>
          <c:val>
            <c:numRef>
              <c:f>'g.nike.input'!$F$39:$F$41</c:f>
              <c:numCache>
                <c:formatCode>General</c:formatCode>
                <c:ptCount val="3"/>
                <c:pt idx="0">
                  <c:v>99</c:v>
                </c:pt>
                <c:pt idx="1">
                  <c:v>63</c:v>
                </c:pt>
                <c:pt idx="2">
                  <c:v>30</c:v>
                </c:pt>
              </c:numCache>
            </c:numRef>
          </c:val>
          <c:extLst>
            <c:ext xmlns:c16="http://schemas.microsoft.com/office/drawing/2014/chart" uri="{C3380CC4-5D6E-409C-BE32-E72D297353CC}">
              <c16:uniqueId val="{0000000D-C169-7A45-808D-1003EC3B9F0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3200" b="1" i="0" u="none" strike="noStrike" baseline="0">
                <a:solidFill>
                  <a:schemeClr val="bg1"/>
                </a:solidFill>
                <a:latin typeface="Aptos Narrow" panose="02110004020202020204"/>
              </a:rPr>
              <a:t>Rate</a:t>
            </a:r>
          </a:p>
          <a:p>
            <a:pPr algn="ctr" rtl="0">
              <a:defRPr/>
            </a:pPr>
            <a:r>
              <a:rPr lang="en-US" sz="3200" b="1" i="0" u="none" strike="noStrike" baseline="0">
                <a:solidFill>
                  <a:schemeClr val="bg1"/>
                </a:solidFill>
                <a:latin typeface="Aptos Narrow" panose="02110004020202020204"/>
              </a:rPr>
              <a:t>3 - 3.9</a:t>
            </a:r>
          </a:p>
        </cx:rich>
      </cx:tx>
    </cx:title>
    <cx:plotArea>
      <cx:plotAreaRegion>
        <cx:series layoutId="treemap" uniqueId="{94133AFD-A291-2048-B49C-9BE19BE488DD}">
          <cx:dataPt idx="0">
            <cx:spPr>
              <a:solidFill>
                <a:srgbClr val="FFF4B2"/>
              </a:solidFill>
            </cx:spPr>
          </cx:dataPt>
          <cx:dataPt idx="1">
            <cx:spPr>
              <a:solidFill>
                <a:srgbClr val="FFD576"/>
              </a:solidFill>
            </cx:spPr>
          </cx:dataPt>
          <cx:dataPt idx="2">
            <cx:spPr>
              <a:solidFill>
                <a:srgbClr val="FFB648"/>
              </a:solidFill>
            </cx:spPr>
          </cx:dataPt>
          <cx:dataPt idx="3">
            <cx:spPr>
              <a:solidFill>
                <a:srgbClr val="E0A343"/>
              </a:solidFill>
            </cx:spPr>
          </cx:dataPt>
          <cx:dataPt idx="4">
            <cx:spPr>
              <a:solidFill>
                <a:srgbClr val="BA8A3B"/>
              </a:solidFill>
            </cx:spPr>
          </cx:dataPt>
          <cx:dataLabels pos="inEnd">
            <cx:txPr>
              <a:bodyPr spcFirstLastPara="1" vertOverflow="ellipsis" horzOverflow="overflow" wrap="square" lIns="0" tIns="0" rIns="0" bIns="0" anchor="ctr" anchorCtr="1"/>
              <a:lstStyle/>
              <a:p>
                <a:pPr algn="ctr" rtl="0">
                  <a:defRPr sz="1800" b="1">
                    <a:solidFill>
                      <a:schemeClr val="tx1"/>
                    </a:solidFill>
                  </a:defRPr>
                </a:pPr>
                <a:endParaRPr lang="en-US" sz="1800" b="1" i="0" u="none" strike="noStrike" baseline="0">
                  <a:solidFill>
                    <a:schemeClr val="tx1"/>
                  </a:solidFill>
                  <a:latin typeface="Aptos Narrow" panose="02110004020202020204"/>
                </a:endParaRPr>
              </a:p>
            </cx:txPr>
            <cx:visibility seriesName="0" categoryName="1" value="0"/>
          </cx:dataLabels>
          <cx:dataId val="0"/>
          <cx:layoutPr>
            <cx:parentLabelLayout val="overlapping"/>
          </cx:layoutPr>
        </cx:series>
      </cx:plotAreaRegion>
    </cx:plotArea>
  </cx:chart>
  <cx:spPr>
    <a:solidFill>
      <a:schemeClr val="tx1"/>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rich>
          <a:bodyPr spcFirstLastPara="1" vertOverflow="ellipsis" horzOverflow="overflow" wrap="square" lIns="0" tIns="0" rIns="0" bIns="0" anchor="ctr" anchorCtr="1"/>
          <a:lstStyle/>
          <a:p>
            <a:pPr algn="ctr" rtl="0">
              <a:defRPr/>
            </a:pPr>
            <a:r>
              <a:rPr lang="en-US" sz="3200" b="1" i="0" u="none" strike="noStrike" baseline="0">
                <a:solidFill>
                  <a:schemeClr val="bg1"/>
                </a:solidFill>
                <a:latin typeface="Aptos Narrow" panose="02110004020202020204"/>
              </a:rPr>
              <a:t>Rate</a:t>
            </a:r>
          </a:p>
          <a:p>
            <a:pPr algn="ctr" rtl="0">
              <a:defRPr/>
            </a:pPr>
            <a:r>
              <a:rPr lang="en-US" sz="3200" b="1" i="0" u="none" strike="noStrike" baseline="0">
                <a:solidFill>
                  <a:schemeClr val="bg1"/>
                </a:solidFill>
                <a:latin typeface="Aptos Narrow" panose="02110004020202020204"/>
              </a:rPr>
              <a:t>0 - 2.9</a:t>
            </a:r>
          </a:p>
        </cx:rich>
      </cx:tx>
    </cx:title>
    <cx:plotArea>
      <cx:plotAreaRegion>
        <cx:series layoutId="treemap" uniqueId="{A813B049-D4A2-3446-88C8-7DA45CA1C451}">
          <cx:dataPt idx="0">
            <cx:spPr>
              <a:solidFill>
                <a:srgbClr val="FFFF00"/>
              </a:solidFill>
            </cx:spPr>
          </cx:dataPt>
          <cx:dataPt idx="1">
            <cx:spPr>
              <a:solidFill>
                <a:srgbClr val="E9E800"/>
              </a:solidFill>
            </cx:spPr>
          </cx:dataPt>
          <cx:dataPt idx="2">
            <cx:spPr>
              <a:solidFill>
                <a:srgbClr val="C7C600"/>
              </a:solidFill>
            </cx:spPr>
          </cx:dataPt>
          <cx:dataPt idx="3">
            <cx:spPr>
              <a:solidFill>
                <a:srgbClr val="C7C600"/>
              </a:solidFill>
            </cx:spPr>
          </cx:dataPt>
          <cx:dataPt idx="4">
            <cx:spPr>
              <a:solidFill>
                <a:srgbClr val="B5B400"/>
              </a:solidFill>
            </cx:spPr>
          </cx:dataPt>
          <cx:dataLabels pos="inEnd">
            <cx:txPr>
              <a:bodyPr spcFirstLastPara="1" vertOverflow="ellipsis" horzOverflow="overflow" wrap="square" lIns="0" tIns="0" rIns="0" bIns="0" anchor="ctr" anchorCtr="1"/>
              <a:lstStyle/>
              <a:p>
                <a:pPr algn="ctr" rtl="0">
                  <a:defRPr sz="1800" b="1">
                    <a:solidFill>
                      <a:schemeClr val="tx1"/>
                    </a:solidFill>
                  </a:defRPr>
                </a:pPr>
                <a:endParaRPr lang="en-US" sz="1800" b="1" i="0" u="none" strike="noStrike" baseline="0">
                  <a:solidFill>
                    <a:schemeClr val="tx1"/>
                  </a:solidFill>
                  <a:latin typeface="Aptos Narrow" panose="02110004020202020204"/>
                </a:endParaRPr>
              </a:p>
            </cx:txPr>
            <cx:visibility seriesName="0" categoryName="1" value="0"/>
          </cx:dataLabels>
          <cx:dataId val="0"/>
          <cx:layoutPr>
            <cx:parentLabelLayout val="overlapping"/>
          </cx:layoutPr>
        </cx:series>
      </cx:plotAreaRegion>
    </cx:plotArea>
  </cx:chart>
  <cx:spPr>
    <a:solidFill>
      <a:schemeClr val="tx1"/>
    </a:solid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32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Aptos Narrow" panose="02110004020202020204"/>
              </a:rPr>
              <a:t>Customer Favorite</a:t>
            </a:r>
          </a:p>
          <a:p>
            <a:pPr algn="ctr" rtl="0">
              <a:defRPr/>
            </a:pPr>
            <a:r>
              <a:rPr lang="en-US" sz="32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Aptos Narrow" panose="02110004020202020204"/>
              </a:rPr>
              <a:t>4 - 5</a:t>
            </a:r>
          </a:p>
        </cx:rich>
      </cx:tx>
    </cx:title>
    <cx:plotArea>
      <cx:plotAreaRegion>
        <cx:series layoutId="treemap" uniqueId="{16C82718-992C-7F43-AE8C-0A598D68F7FE}">
          <cx:dataPt idx="0">
            <cx:spPr>
              <a:solidFill>
                <a:srgbClr val="4EA72E">
                  <a:lumMod val="20000"/>
                  <a:lumOff val="80000"/>
                </a:srgbClr>
              </a:solidFill>
            </cx:spPr>
          </cx:dataPt>
          <cx:dataPt idx="1">
            <cx:spPr>
              <a:solidFill>
                <a:srgbClr val="4EA72E">
                  <a:lumMod val="40000"/>
                  <a:lumOff val="60000"/>
                </a:srgbClr>
              </a:solidFill>
            </cx:spPr>
          </cx:dataPt>
          <cx:dataPt idx="2">
            <cx:spPr>
              <a:solidFill>
                <a:srgbClr val="4EA72E">
                  <a:lumMod val="60000"/>
                  <a:lumOff val="40000"/>
                </a:srgbClr>
              </a:solidFill>
            </cx:spPr>
          </cx:dataPt>
          <cx:dataPt idx="3">
            <cx:spPr>
              <a:solidFill>
                <a:srgbClr val="4EA72E">
                  <a:lumMod val="75000"/>
                </a:srgbClr>
              </a:solidFill>
            </cx:spPr>
          </cx:dataPt>
          <cx:dataPt idx="4">
            <cx:spPr>
              <a:solidFill>
                <a:srgbClr val="4EA72E">
                  <a:lumMod val="50000"/>
                </a:srgbClr>
              </a:solidFill>
            </cx:spPr>
          </cx:dataPt>
          <cx:dataLabels pos="inEnd">
            <cx:txPr>
              <a:bodyPr spcFirstLastPara="1" vertOverflow="ellipsis" horzOverflow="overflow" wrap="square" lIns="0" tIns="0" rIns="0" bIns="0" anchor="ctr" anchorCtr="1"/>
              <a:lstStyle/>
              <a:p>
                <a:pPr algn="ctr" rtl="0">
                  <a:defRPr sz="1800" baseline="0"/>
                </a:pPr>
                <a:endParaRPr lang="en-US" sz="1800" b="0" i="0" u="none" strike="noStrike" baseline="0">
                  <a:solidFill>
                    <a:sysClr val="window" lastClr="FFFFFF"/>
                  </a:solidFill>
                  <a:latin typeface="Aptos Narrow" panose="02110004020202020204"/>
                </a:endParaRPr>
              </a:p>
            </cx:txPr>
            <cx:visibility seriesName="0" categoryName="1" value="0"/>
            <cx:dataLabel idx="0">
              <cx:txPr>
                <a:bodyPr spcFirstLastPara="1" vertOverflow="ellipsis" horzOverflow="overflow" wrap="square" lIns="0" tIns="0" rIns="0" bIns="0" anchor="ctr" anchorCtr="1"/>
                <a:lstStyle/>
                <a:p>
                  <a:pPr algn="ctr" rtl="0">
                    <a:defRPr sz="2000" b="1" i="0" baseline="0">
                      <a:solidFill>
                        <a:schemeClr val="tx1"/>
                      </a:solidFill>
                    </a:defRPr>
                  </a:pPr>
                  <a:r>
                    <a:rPr lang="en-US" sz="2000" b="1" i="0" u="none" strike="noStrike" baseline="0">
                      <a:solidFill>
                        <a:schemeClr val="tx1"/>
                      </a:solidFill>
                      <a:latin typeface="Aptos Narrow" panose="02110004020202020204"/>
                    </a:rPr>
                    <a:t>Air Jordan 10 Retro</a:t>
                  </a:r>
                </a:p>
              </cx:txPr>
              <cx:visibility seriesName="0" categoryName="1" value="0"/>
            </cx:dataLabel>
            <cx:dataLabel idx="1">
              <cx:txPr>
                <a:bodyPr spcFirstLastPara="1" vertOverflow="ellipsis" horzOverflow="overflow" wrap="square" lIns="0" tIns="0" rIns="0" bIns="0" anchor="ctr" anchorCtr="1"/>
                <a:lstStyle/>
                <a:p>
                  <a:pPr algn="ctr" rtl="0">
                    <a:defRPr b="1" i="0" baseline="0">
                      <a:solidFill>
                        <a:schemeClr val="tx1"/>
                      </a:solidFill>
                    </a:defRPr>
                  </a:pPr>
                  <a:r>
                    <a:rPr lang="en-US" sz="1800" b="1" i="0" u="none" strike="noStrike" baseline="0">
                      <a:solidFill>
                        <a:schemeClr val="tx1"/>
                      </a:solidFill>
                      <a:latin typeface="Aptos Narrow" panose="02110004020202020204"/>
                    </a:rPr>
                    <a:t>Nike Air Force 1 '07</a:t>
                  </a:r>
                </a:p>
              </cx:txPr>
              <cx:visibility seriesName="0" categoryName="1" value="0"/>
            </cx:dataLabel>
            <cx:dataLabel idx="2">
              <cx:txPr>
                <a:bodyPr spcFirstLastPara="1" vertOverflow="ellipsis" horzOverflow="overflow" wrap="square" lIns="0" tIns="0" rIns="0" bIns="0" anchor="ctr" anchorCtr="1"/>
                <a:lstStyle/>
                <a:p>
                  <a:pPr algn="ctr" rtl="0">
                    <a:defRPr b="1" i="0" baseline="0">
                      <a:solidFill>
                        <a:schemeClr val="tx1"/>
                      </a:solidFill>
                    </a:defRPr>
                  </a:pPr>
                  <a:r>
                    <a:rPr lang="en-US" sz="1800" b="1" i="0" u="none" strike="noStrike" baseline="0">
                      <a:solidFill>
                        <a:schemeClr val="tx1"/>
                      </a:solidFill>
                      <a:latin typeface="Aptos Narrow" panose="02110004020202020204"/>
                    </a:rPr>
                    <a:t>Nike Epic React Flyknit 2</a:t>
                  </a:r>
                </a:p>
              </cx:txPr>
              <cx:visibility seriesName="0" categoryName="1" value="0"/>
            </cx:dataLabel>
            <cx:dataLabel idx="3">
              <cx:txPr>
                <a:bodyPr spcFirstLastPara="1" vertOverflow="ellipsis" horzOverflow="overflow" wrap="square" lIns="0" tIns="0" rIns="0" bIns="0" anchor="ctr" anchorCtr="1"/>
                <a:lstStyle/>
                <a:p>
                  <a:pPr algn="ctr" rtl="0">
                    <a:defRPr b="1" i="0" baseline="0">
                      <a:solidFill>
                        <a:schemeClr val="bg1"/>
                      </a:solidFill>
                    </a:defRPr>
                  </a:pPr>
                  <a:r>
                    <a:rPr lang="en-US" sz="1800" b="1" i="0" u="none" strike="noStrike" baseline="0">
                      <a:solidFill>
                        <a:schemeClr val="bg1"/>
                      </a:solidFill>
                      <a:latin typeface="Aptos Narrow" panose="02110004020202020204"/>
                    </a:rPr>
                    <a:t>Nike Zoom Fly</a:t>
                  </a:r>
                </a:p>
              </cx:txPr>
              <cx:visibility seriesName="0" categoryName="1" value="0"/>
            </cx:dataLabel>
            <cx:dataLabel idx="4">
              <cx:txPr>
                <a:bodyPr spcFirstLastPara="1" vertOverflow="ellipsis" horzOverflow="overflow" wrap="square" lIns="0" tIns="0" rIns="0" bIns="0" anchor="ctr" anchorCtr="1"/>
                <a:lstStyle/>
                <a:p>
                  <a:pPr algn="ctr" rtl="0">
                    <a:defRPr b="1" i="0" baseline="0">
                      <a:solidFill>
                        <a:schemeClr val="bg1"/>
                      </a:solidFill>
                    </a:defRPr>
                  </a:pPr>
                  <a:r>
                    <a:rPr lang="en-US" sz="1800" b="1" i="0" u="none" strike="noStrike" baseline="0">
                      <a:solidFill>
                        <a:schemeClr val="bg1"/>
                      </a:solidFill>
                      <a:latin typeface="Aptos Narrow" panose="02110004020202020204"/>
                    </a:rPr>
                    <a:t>Nike React Infinity Run Flyknit</a:t>
                  </a:r>
                </a:p>
              </cx:txPr>
              <cx:visibility seriesName="0" categoryName="1" value="0"/>
            </cx:dataLabel>
          </cx:dataLabels>
          <cx:dataId val="0"/>
          <cx:layoutPr>
            <cx:parentLabelLayout val="overlapping"/>
          </cx:layoutPr>
        </cx:series>
      </cx:plotAreaRegion>
    </cx:plotArea>
  </cx:chart>
  <cx:spPr>
    <a:solidFill>
      <a:schemeClr val="tx1"/>
    </a:solid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title pos="t" align="ctr" overlay="0">
      <cx:tx>
        <cx:rich>
          <a:bodyPr spcFirstLastPara="1" vertOverflow="ellipsis" horzOverflow="overflow" wrap="square" lIns="0" tIns="0" rIns="0" bIns="0" anchor="ctr" anchorCtr="1"/>
          <a:lstStyle/>
          <a:p>
            <a:pPr algn="ctr" rtl="0">
              <a:defRPr/>
            </a:pPr>
            <a:r>
              <a:rPr lang="en-US" sz="32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Aptos Narrow" panose="02110004020202020204"/>
              </a:rPr>
              <a:t>Customer Favorite</a:t>
            </a:r>
          </a:p>
          <a:p>
            <a:pPr algn="ctr" rtl="0">
              <a:defRPr/>
            </a:pPr>
            <a:r>
              <a:rPr lang="en-US" sz="32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Aptos Narrow" panose="02110004020202020204"/>
              </a:rPr>
              <a:t>TOP 5</a:t>
            </a:r>
          </a:p>
        </cx:rich>
      </cx:tx>
    </cx:title>
    <cx:plotArea>
      <cx:plotAreaRegion>
        <cx:series layoutId="treemap" uniqueId="{16C82718-992C-7F43-AE8C-0A598D68F7FE}">
          <cx:dataPt idx="0">
            <cx:spPr>
              <a:solidFill>
                <a:srgbClr val="4EA72E">
                  <a:lumMod val="20000"/>
                  <a:lumOff val="80000"/>
                </a:srgbClr>
              </a:solidFill>
            </cx:spPr>
          </cx:dataPt>
          <cx:dataPt idx="1">
            <cx:spPr>
              <a:solidFill>
                <a:srgbClr val="4EA72E">
                  <a:lumMod val="40000"/>
                  <a:lumOff val="60000"/>
                </a:srgbClr>
              </a:solidFill>
            </cx:spPr>
          </cx:dataPt>
          <cx:dataPt idx="2">
            <cx:spPr>
              <a:solidFill>
                <a:srgbClr val="4EA72E">
                  <a:lumMod val="60000"/>
                  <a:lumOff val="40000"/>
                </a:srgbClr>
              </a:solidFill>
            </cx:spPr>
          </cx:dataPt>
          <cx:dataPt idx="3">
            <cx:spPr>
              <a:solidFill>
                <a:srgbClr val="4EA72E">
                  <a:lumMod val="75000"/>
                </a:srgbClr>
              </a:solidFill>
            </cx:spPr>
          </cx:dataPt>
          <cx:dataPt idx="4">
            <cx:spPr>
              <a:solidFill>
                <a:srgbClr val="4EA72E">
                  <a:lumMod val="50000"/>
                </a:srgbClr>
              </a:solidFill>
            </cx:spPr>
          </cx:dataPt>
          <cx:dataLabels pos="inEnd">
            <cx:txPr>
              <a:bodyPr spcFirstLastPara="1" vertOverflow="ellipsis" horzOverflow="overflow" wrap="square" lIns="0" tIns="0" rIns="0" bIns="0" anchor="ctr" anchorCtr="1"/>
              <a:lstStyle/>
              <a:p>
                <a:pPr algn="ctr" rtl="0">
                  <a:defRPr sz="1800" baseline="0"/>
                </a:pPr>
                <a:endParaRPr lang="en-US" sz="1800" b="0" i="0" u="none" strike="noStrike" baseline="0">
                  <a:solidFill>
                    <a:sysClr val="window" lastClr="FFFFFF"/>
                  </a:solidFill>
                  <a:latin typeface="Aptos Narrow" panose="02110004020202020204"/>
                </a:endParaRPr>
              </a:p>
            </cx:txPr>
            <cx:visibility seriesName="0" categoryName="1" value="0"/>
            <cx:dataLabel idx="0">
              <cx:txPr>
                <a:bodyPr spcFirstLastPara="1" vertOverflow="ellipsis" horzOverflow="overflow" wrap="square" lIns="0" tIns="0" rIns="0" bIns="0" anchor="ctr" anchorCtr="1"/>
                <a:lstStyle/>
                <a:p>
                  <a:pPr algn="ctr" rtl="0">
                    <a:defRPr sz="2000" b="1" i="0" baseline="0">
                      <a:solidFill>
                        <a:schemeClr val="tx1"/>
                      </a:solidFill>
                    </a:defRPr>
                  </a:pPr>
                  <a:r>
                    <a:rPr lang="en-US" sz="2000" b="1" i="0" u="none" strike="noStrike" baseline="0">
                      <a:solidFill>
                        <a:schemeClr val="tx1"/>
                      </a:solidFill>
                      <a:latin typeface="Aptos Narrow" panose="02110004020202020204"/>
                    </a:rPr>
                    <a:t>Air Jordan 10 Retro</a:t>
                  </a:r>
                </a:p>
              </cx:txPr>
              <cx:visibility seriesName="0" categoryName="1" value="0"/>
            </cx:dataLabel>
            <cx:dataLabel idx="1">
              <cx:txPr>
                <a:bodyPr spcFirstLastPara="1" vertOverflow="ellipsis" horzOverflow="overflow" wrap="square" lIns="0" tIns="0" rIns="0" bIns="0" anchor="ctr" anchorCtr="1"/>
                <a:lstStyle/>
                <a:p>
                  <a:pPr algn="ctr" rtl="0">
                    <a:defRPr b="1" i="0" baseline="0">
                      <a:solidFill>
                        <a:schemeClr val="tx1"/>
                      </a:solidFill>
                    </a:defRPr>
                  </a:pPr>
                  <a:r>
                    <a:rPr lang="en-US" sz="1800" b="1" i="0" u="none" strike="noStrike" baseline="0">
                      <a:solidFill>
                        <a:schemeClr val="tx1"/>
                      </a:solidFill>
                      <a:latin typeface="Aptos Narrow" panose="02110004020202020204"/>
                    </a:rPr>
                    <a:t>Nike Air Force 1 '07</a:t>
                  </a:r>
                </a:p>
              </cx:txPr>
              <cx:visibility seriesName="0" categoryName="1" value="0"/>
            </cx:dataLabel>
            <cx:dataLabel idx="2">
              <cx:txPr>
                <a:bodyPr spcFirstLastPara="1" vertOverflow="ellipsis" horzOverflow="overflow" wrap="square" lIns="0" tIns="0" rIns="0" bIns="0" anchor="ctr" anchorCtr="1"/>
                <a:lstStyle/>
                <a:p>
                  <a:pPr algn="ctr" rtl="0">
                    <a:defRPr b="1" i="0" baseline="0">
                      <a:solidFill>
                        <a:schemeClr val="tx1"/>
                      </a:solidFill>
                    </a:defRPr>
                  </a:pPr>
                  <a:r>
                    <a:rPr lang="en-US" sz="1800" b="1" i="0" u="none" strike="noStrike" baseline="0">
                      <a:solidFill>
                        <a:schemeClr val="tx1"/>
                      </a:solidFill>
                      <a:latin typeface="Aptos Narrow" panose="02110004020202020204"/>
                    </a:rPr>
                    <a:t>Nike Epic React Flyknit 2</a:t>
                  </a:r>
                </a:p>
              </cx:txPr>
              <cx:visibility seriesName="0" categoryName="1" value="0"/>
            </cx:dataLabel>
            <cx:dataLabel idx="3">
              <cx:txPr>
                <a:bodyPr spcFirstLastPara="1" vertOverflow="ellipsis" horzOverflow="overflow" wrap="square" lIns="0" tIns="0" rIns="0" bIns="0" anchor="ctr" anchorCtr="1"/>
                <a:lstStyle/>
                <a:p>
                  <a:pPr algn="ctr" rtl="0">
                    <a:defRPr b="1" i="0" baseline="0">
                      <a:solidFill>
                        <a:schemeClr val="bg1"/>
                      </a:solidFill>
                    </a:defRPr>
                  </a:pPr>
                  <a:r>
                    <a:rPr lang="en-US" sz="1800" b="1" i="0" u="none" strike="noStrike" baseline="0">
                      <a:solidFill>
                        <a:schemeClr val="bg1"/>
                      </a:solidFill>
                      <a:latin typeface="Aptos Narrow" panose="02110004020202020204"/>
                    </a:rPr>
                    <a:t>Nike Zoom Fly</a:t>
                  </a:r>
                </a:p>
              </cx:txPr>
              <cx:visibility seriesName="0" categoryName="1" value="0"/>
            </cx:dataLabel>
            <cx:dataLabel idx="4">
              <cx:txPr>
                <a:bodyPr spcFirstLastPara="1" vertOverflow="ellipsis" horzOverflow="overflow" wrap="square" lIns="0" tIns="0" rIns="0" bIns="0" anchor="ctr" anchorCtr="1"/>
                <a:lstStyle/>
                <a:p>
                  <a:pPr algn="ctr" rtl="0">
                    <a:defRPr b="1" i="0" baseline="0">
                      <a:solidFill>
                        <a:schemeClr val="bg1"/>
                      </a:solidFill>
                    </a:defRPr>
                  </a:pPr>
                  <a:r>
                    <a:rPr lang="en-US" sz="1800" b="1" i="0" u="none" strike="noStrike" baseline="0">
                      <a:solidFill>
                        <a:schemeClr val="bg1"/>
                      </a:solidFill>
                      <a:latin typeface="Aptos Narrow" panose="02110004020202020204"/>
                    </a:rPr>
                    <a:t>Nike React Infinity Run Flyknit</a:t>
                  </a:r>
                </a:p>
              </cx:txPr>
              <cx:visibility seriesName="0" categoryName="1" value="0"/>
            </cx:dataLabel>
          </cx:dataLabels>
          <cx:dataId val="0"/>
          <cx:layoutPr>
            <cx:parentLabelLayout val="overlapping"/>
          </cx:layoutPr>
        </cx:series>
      </cx:plotAreaRegion>
    </cx:plotArea>
  </cx:chart>
  <cx:spPr>
    <a:solidFill>
      <a:schemeClr val="tx1"/>
    </a:solidFill>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title pos="t" align="ctr" overlay="0">
      <cx:tx>
        <cx:rich>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Aptos Narrow" panose="02110004020202020204"/>
              </a:rPr>
              <a:t>Customer Favorite</a:t>
            </a:r>
          </a:p>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Aptos Narrow" panose="02110004020202020204"/>
              </a:rPr>
              <a:t>TOP 5</a:t>
            </a:r>
          </a:p>
        </cx:rich>
      </cx:tx>
    </cx:title>
    <cx:plotArea>
      <cx:plotAreaRegion>
        <cx:series layoutId="treemap" uniqueId="{16C82718-992C-7F43-AE8C-0A598D68F7FE}">
          <cx:dataPt idx="0">
            <cx:spPr>
              <a:solidFill>
                <a:srgbClr val="4EA72E">
                  <a:lumMod val="20000"/>
                  <a:lumOff val="80000"/>
                </a:srgbClr>
              </a:solidFill>
            </cx:spPr>
          </cx:dataPt>
          <cx:dataPt idx="1">
            <cx:spPr>
              <a:solidFill>
                <a:srgbClr val="4EA72E">
                  <a:lumMod val="40000"/>
                  <a:lumOff val="60000"/>
                </a:srgbClr>
              </a:solidFill>
            </cx:spPr>
          </cx:dataPt>
          <cx:dataPt idx="2">
            <cx:spPr>
              <a:solidFill>
                <a:srgbClr val="4EA72E">
                  <a:lumMod val="60000"/>
                  <a:lumOff val="40000"/>
                </a:srgbClr>
              </a:solidFill>
            </cx:spPr>
          </cx:dataPt>
          <cx:dataPt idx="3">
            <cx:spPr>
              <a:solidFill>
                <a:srgbClr val="4EA72E">
                  <a:lumMod val="75000"/>
                </a:srgbClr>
              </a:solidFill>
            </cx:spPr>
          </cx:dataPt>
          <cx:dataPt idx="4">
            <cx:spPr>
              <a:solidFill>
                <a:srgbClr val="4EA72E">
                  <a:lumMod val="50000"/>
                </a:srgbClr>
              </a:solidFill>
            </cx:spPr>
          </cx:dataPt>
          <cx:dataLabels pos="inEnd">
            <cx:txPr>
              <a:bodyPr spcFirstLastPara="1" vertOverflow="ellipsis" horzOverflow="overflow" wrap="square" lIns="0" tIns="0" rIns="0" bIns="0" anchor="ctr" anchorCtr="1"/>
              <a:lstStyle/>
              <a:p>
                <a:pPr algn="ctr" rtl="0">
                  <a:defRPr sz="1800" baseline="0"/>
                </a:pPr>
                <a:endParaRPr lang="en-US" sz="1800" b="0" i="0" u="none" strike="noStrike" baseline="0">
                  <a:solidFill>
                    <a:sysClr val="window" lastClr="FFFFFF"/>
                  </a:solidFill>
                  <a:latin typeface="Aptos Narrow" panose="02110004020202020204"/>
                </a:endParaRPr>
              </a:p>
            </cx:txPr>
            <cx:visibility seriesName="0" categoryName="1" value="0"/>
            <cx:dataLabel idx="0">
              <cx:txPr>
                <a:bodyPr spcFirstLastPara="1" vertOverflow="ellipsis" horzOverflow="overflow" wrap="square" lIns="0" tIns="0" rIns="0" bIns="0" anchor="ctr" anchorCtr="1"/>
                <a:lstStyle/>
                <a:p>
                  <a:pPr algn="ctr" rtl="0">
                    <a:defRPr sz="2000" b="1" i="0" baseline="0">
                      <a:solidFill>
                        <a:schemeClr val="tx1"/>
                      </a:solidFill>
                    </a:defRPr>
                  </a:pPr>
                  <a:r>
                    <a:rPr lang="en-US" sz="2000" b="1" i="0" u="none" strike="noStrike" baseline="0">
                      <a:solidFill>
                        <a:schemeClr val="tx1"/>
                      </a:solidFill>
                      <a:latin typeface="Aptos Narrow" panose="02110004020202020204"/>
                    </a:rPr>
                    <a:t>Air Jordan 10 Retro</a:t>
                  </a:r>
                </a:p>
              </cx:txPr>
              <cx:visibility seriesName="0" categoryName="1" value="0"/>
            </cx:dataLabel>
            <cx:dataLabel idx="1">
              <cx:txPr>
                <a:bodyPr spcFirstLastPara="1" vertOverflow="ellipsis" horzOverflow="overflow" wrap="square" lIns="0" tIns="0" rIns="0" bIns="0" anchor="ctr" anchorCtr="1"/>
                <a:lstStyle/>
                <a:p>
                  <a:pPr algn="ctr" rtl="0">
                    <a:defRPr b="1" i="0" baseline="0">
                      <a:solidFill>
                        <a:schemeClr val="tx1"/>
                      </a:solidFill>
                    </a:defRPr>
                  </a:pPr>
                  <a:r>
                    <a:rPr lang="en-US" sz="1800" b="1" i="0" u="none" strike="noStrike" baseline="0">
                      <a:solidFill>
                        <a:schemeClr val="tx1"/>
                      </a:solidFill>
                      <a:latin typeface="Aptos Narrow" panose="02110004020202020204"/>
                    </a:rPr>
                    <a:t>Nike Air Force 1 '07</a:t>
                  </a:r>
                </a:p>
              </cx:txPr>
              <cx:visibility seriesName="0" categoryName="1" value="0"/>
            </cx:dataLabel>
            <cx:dataLabel idx="2">
              <cx:txPr>
                <a:bodyPr spcFirstLastPara="1" vertOverflow="ellipsis" horzOverflow="overflow" wrap="square" lIns="0" tIns="0" rIns="0" bIns="0" anchor="ctr" anchorCtr="1"/>
                <a:lstStyle/>
                <a:p>
                  <a:pPr algn="ctr" rtl="0">
                    <a:defRPr b="1" i="0" baseline="0">
                      <a:solidFill>
                        <a:schemeClr val="tx1"/>
                      </a:solidFill>
                    </a:defRPr>
                  </a:pPr>
                  <a:r>
                    <a:rPr lang="en-US" sz="1800" b="1" i="0" u="none" strike="noStrike" baseline="0">
                      <a:solidFill>
                        <a:schemeClr val="tx1"/>
                      </a:solidFill>
                      <a:latin typeface="Aptos Narrow" panose="02110004020202020204"/>
                    </a:rPr>
                    <a:t>Nike Epic React Flyknit 2</a:t>
                  </a:r>
                </a:p>
              </cx:txPr>
              <cx:visibility seriesName="0" categoryName="1" value="0"/>
            </cx:dataLabel>
            <cx:dataLabel idx="3">
              <cx:txPr>
                <a:bodyPr spcFirstLastPara="1" vertOverflow="ellipsis" horzOverflow="overflow" wrap="square" lIns="0" tIns="0" rIns="0" bIns="0" anchor="ctr" anchorCtr="1"/>
                <a:lstStyle/>
                <a:p>
                  <a:pPr algn="ctr" rtl="0">
                    <a:defRPr b="1" i="0" baseline="0">
                      <a:solidFill>
                        <a:schemeClr val="bg1"/>
                      </a:solidFill>
                    </a:defRPr>
                  </a:pPr>
                  <a:r>
                    <a:rPr lang="en-US" sz="1800" b="1" i="0" u="none" strike="noStrike" baseline="0">
                      <a:solidFill>
                        <a:schemeClr val="bg1"/>
                      </a:solidFill>
                      <a:latin typeface="Aptos Narrow" panose="02110004020202020204"/>
                    </a:rPr>
                    <a:t>Nike Zoom Fly</a:t>
                  </a:r>
                </a:p>
              </cx:txPr>
              <cx:visibility seriesName="0" categoryName="1" value="0"/>
            </cx:dataLabel>
            <cx:dataLabel idx="4">
              <cx:txPr>
                <a:bodyPr spcFirstLastPara="1" vertOverflow="ellipsis" horzOverflow="overflow" wrap="square" lIns="0" tIns="0" rIns="0" bIns="0" anchor="ctr" anchorCtr="1"/>
                <a:lstStyle/>
                <a:p>
                  <a:pPr algn="ctr" rtl="0">
                    <a:defRPr b="1" i="0" baseline="0">
                      <a:solidFill>
                        <a:schemeClr val="bg1"/>
                      </a:solidFill>
                    </a:defRPr>
                  </a:pPr>
                  <a:r>
                    <a:rPr lang="en-US" sz="1800" b="1" i="0" u="none" strike="noStrike" baseline="0">
                      <a:solidFill>
                        <a:schemeClr val="bg1"/>
                      </a:solidFill>
                      <a:latin typeface="Aptos Narrow" panose="02110004020202020204"/>
                    </a:rPr>
                    <a:t>Nike React Infinity Run Flyknit</a:t>
                  </a:r>
                </a:p>
              </cx:txPr>
              <cx:visibility seriesName="0" categoryName="1" value="0"/>
            </cx:dataLabel>
          </cx:dataLabels>
          <cx:dataId val="0"/>
          <cx:layoutPr>
            <cx:parentLabelLayout val="overlapping"/>
          </cx:layoutPr>
        </cx:series>
      </cx:plotAreaRegion>
    </cx:plotArea>
  </cx:chart>
  <cx:spPr>
    <a:solidFill>
      <a:schemeClr val="tx1"/>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3" Type="http://schemas.openxmlformats.org/officeDocument/2006/relationships/image" Target="../media/image7.png"/><Relationship Id="rId18" Type="http://schemas.openxmlformats.org/officeDocument/2006/relationships/hyperlink" Target="#j.nike.today.view!A1"/><Relationship Id="rId26" Type="http://schemas.openxmlformats.org/officeDocument/2006/relationships/image" Target="../media/image18.svg"/><Relationship Id="rId3" Type="http://schemas.openxmlformats.org/officeDocument/2006/relationships/hyperlink" Target="#g.nike.input!A1"/><Relationship Id="rId21" Type="http://schemas.openxmlformats.org/officeDocument/2006/relationships/image" Target="../media/image13.png"/><Relationship Id="rId34" Type="http://schemas.openxmlformats.org/officeDocument/2006/relationships/chart" Target="../charts/chart6.xml"/><Relationship Id="rId7" Type="http://schemas.openxmlformats.org/officeDocument/2006/relationships/image" Target="../media/image3.png"/><Relationship Id="rId12" Type="http://schemas.openxmlformats.org/officeDocument/2006/relationships/hyperlink" Target="#k.nike.top5.shoe!A1"/><Relationship Id="rId17" Type="http://schemas.openxmlformats.org/officeDocument/2006/relationships/image" Target="../media/image10.svg"/><Relationship Id="rId25" Type="http://schemas.openxmlformats.org/officeDocument/2006/relationships/image" Target="../media/image17.png"/><Relationship Id="rId33" Type="http://schemas.openxmlformats.org/officeDocument/2006/relationships/image" Target="../media/image24.svg"/><Relationship Id="rId2" Type="http://schemas.openxmlformats.org/officeDocument/2006/relationships/chart" Target="../charts/chart5.xml"/><Relationship Id="rId16" Type="http://schemas.openxmlformats.org/officeDocument/2006/relationships/image" Target="../media/image9.png"/><Relationship Id="rId20" Type="http://schemas.openxmlformats.org/officeDocument/2006/relationships/image" Target="../media/image12.svg"/><Relationship Id="rId29" Type="http://schemas.microsoft.com/office/2014/relationships/chartEx" Target="../charts/chartEx4.xml"/><Relationship Id="rId1" Type="http://schemas.openxmlformats.org/officeDocument/2006/relationships/chart" Target="../charts/chart4.xml"/><Relationship Id="rId6" Type="http://schemas.openxmlformats.org/officeDocument/2006/relationships/hyperlink" Target="#i.nike.discount.dash!A1"/><Relationship Id="rId11" Type="http://schemas.openxmlformats.org/officeDocument/2006/relationships/image" Target="../media/image6.svg"/><Relationship Id="rId24" Type="http://schemas.openxmlformats.org/officeDocument/2006/relationships/image" Target="../media/image16.svg"/><Relationship Id="rId32" Type="http://schemas.openxmlformats.org/officeDocument/2006/relationships/image" Target="../media/image23.png"/><Relationship Id="rId5" Type="http://schemas.openxmlformats.org/officeDocument/2006/relationships/image" Target="../media/image2.svg"/><Relationship Id="rId15" Type="http://schemas.openxmlformats.org/officeDocument/2006/relationships/hyperlink" Target="#Sheet5!A1"/><Relationship Id="rId23" Type="http://schemas.openxmlformats.org/officeDocument/2006/relationships/image" Target="../media/image15.png"/><Relationship Id="rId28" Type="http://schemas.openxmlformats.org/officeDocument/2006/relationships/image" Target="../media/image20.svg"/><Relationship Id="rId10" Type="http://schemas.openxmlformats.org/officeDocument/2006/relationships/image" Target="../media/image5.png"/><Relationship Id="rId19" Type="http://schemas.openxmlformats.org/officeDocument/2006/relationships/image" Target="../media/image11.png"/><Relationship Id="rId31" Type="http://schemas.openxmlformats.org/officeDocument/2006/relationships/image" Target="../media/image22.svg"/><Relationship Id="rId4" Type="http://schemas.openxmlformats.org/officeDocument/2006/relationships/image" Target="../media/image1.png"/><Relationship Id="rId9" Type="http://schemas.openxmlformats.org/officeDocument/2006/relationships/hyperlink" Target="#l.readme.Index!A1"/><Relationship Id="rId14" Type="http://schemas.openxmlformats.org/officeDocument/2006/relationships/image" Target="../media/image8.svg"/><Relationship Id="rId22" Type="http://schemas.openxmlformats.org/officeDocument/2006/relationships/image" Target="../media/image14.svg"/><Relationship Id="rId27" Type="http://schemas.openxmlformats.org/officeDocument/2006/relationships/image" Target="../media/image19.png"/><Relationship Id="rId30" Type="http://schemas.openxmlformats.org/officeDocument/2006/relationships/image" Target="../media/image21.png"/><Relationship Id="rId35" Type="http://schemas.openxmlformats.org/officeDocument/2006/relationships/chart" Target="../charts/chart7.xml"/><Relationship Id="rId8" Type="http://schemas.openxmlformats.org/officeDocument/2006/relationships/image" Target="../media/image4.svg"/></Relationships>
</file>

<file path=xl/drawings/_rels/drawing4.xml.rels><?xml version="1.0" encoding="UTF-8" standalone="yes"?>
<Relationships xmlns="http://schemas.openxmlformats.org/package/2006/relationships"><Relationship Id="rId8" Type="http://schemas.openxmlformats.org/officeDocument/2006/relationships/hyperlink" Target="#l.readme.Index!A1"/><Relationship Id="rId13" Type="http://schemas.openxmlformats.org/officeDocument/2006/relationships/image" Target="../media/image8.svg"/><Relationship Id="rId18" Type="http://schemas.openxmlformats.org/officeDocument/2006/relationships/image" Target="../media/image11.png"/><Relationship Id="rId3" Type="http://schemas.openxmlformats.org/officeDocument/2006/relationships/hyperlink" Target="#g.nike.input!A1"/><Relationship Id="rId7" Type="http://schemas.openxmlformats.org/officeDocument/2006/relationships/image" Target="../media/image4.svg"/><Relationship Id="rId12" Type="http://schemas.openxmlformats.org/officeDocument/2006/relationships/image" Target="../media/image7.png"/><Relationship Id="rId17" Type="http://schemas.openxmlformats.org/officeDocument/2006/relationships/hyperlink" Target="#j.nike.today.view!A1"/><Relationship Id="rId2" Type="http://schemas.openxmlformats.org/officeDocument/2006/relationships/chart" Target="../charts/chart9.xml"/><Relationship Id="rId16" Type="http://schemas.openxmlformats.org/officeDocument/2006/relationships/image" Target="../media/image10.svg"/><Relationship Id="rId20" Type="http://schemas.openxmlformats.org/officeDocument/2006/relationships/chart" Target="../charts/chart10.xml"/><Relationship Id="rId1" Type="http://schemas.openxmlformats.org/officeDocument/2006/relationships/chart" Target="../charts/chart8.xml"/><Relationship Id="rId6" Type="http://schemas.openxmlformats.org/officeDocument/2006/relationships/image" Target="../media/image3.png"/><Relationship Id="rId11" Type="http://schemas.openxmlformats.org/officeDocument/2006/relationships/hyperlink" Target="#k.nike.top5.shoe!A1"/><Relationship Id="rId5" Type="http://schemas.openxmlformats.org/officeDocument/2006/relationships/image" Target="../media/image2.svg"/><Relationship Id="rId15" Type="http://schemas.openxmlformats.org/officeDocument/2006/relationships/image" Target="../media/image9.png"/><Relationship Id="rId10" Type="http://schemas.openxmlformats.org/officeDocument/2006/relationships/image" Target="../media/image6.svg"/><Relationship Id="rId19" Type="http://schemas.openxmlformats.org/officeDocument/2006/relationships/image" Target="../media/image12.svg"/><Relationship Id="rId4" Type="http://schemas.openxmlformats.org/officeDocument/2006/relationships/image" Target="../media/image1.png"/><Relationship Id="rId9" Type="http://schemas.openxmlformats.org/officeDocument/2006/relationships/image" Target="../media/image5.png"/><Relationship Id="rId14" Type="http://schemas.openxmlformats.org/officeDocument/2006/relationships/hyperlink" Target="#h.nike.sales.dashboard!A1"/></Relationships>
</file>

<file path=xl/drawings/_rels/drawing5.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h.nike.sales.dashboard!A1"/><Relationship Id="rId18" Type="http://schemas.openxmlformats.org/officeDocument/2006/relationships/image" Target="../media/image12.svg"/><Relationship Id="rId3" Type="http://schemas.openxmlformats.org/officeDocument/2006/relationships/image" Target="../media/image2.svg"/><Relationship Id="rId7" Type="http://schemas.openxmlformats.org/officeDocument/2006/relationships/hyperlink" Target="#l.readme.Index!A1"/><Relationship Id="rId12" Type="http://schemas.openxmlformats.org/officeDocument/2006/relationships/image" Target="../media/image8.svg"/><Relationship Id="rId17" Type="http://schemas.openxmlformats.org/officeDocument/2006/relationships/image" Target="../media/image11.png"/><Relationship Id="rId2" Type="http://schemas.openxmlformats.org/officeDocument/2006/relationships/image" Target="../media/image1.png"/><Relationship Id="rId16" Type="http://schemas.openxmlformats.org/officeDocument/2006/relationships/hyperlink" Target="#g.nike.today.view!A1"/><Relationship Id="rId1" Type="http://schemas.openxmlformats.org/officeDocument/2006/relationships/hyperlink" Target="#g.nike.input!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5" Type="http://schemas.openxmlformats.org/officeDocument/2006/relationships/image" Target="../media/image10.svg"/><Relationship Id="rId10" Type="http://schemas.openxmlformats.org/officeDocument/2006/relationships/hyperlink" Target="#k.nike.top5.shoe!A1"/><Relationship Id="rId4" Type="http://schemas.openxmlformats.org/officeDocument/2006/relationships/hyperlink" Target="#i.nike.discount.dash!A1"/><Relationship Id="rId9" Type="http://schemas.openxmlformats.org/officeDocument/2006/relationships/image" Target="../media/image6.svg"/><Relationship Id="rId14"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hyperlink" Target="#l.readme.Index!A1"/><Relationship Id="rId13" Type="http://schemas.openxmlformats.org/officeDocument/2006/relationships/image" Target="../media/image8.svg"/><Relationship Id="rId18" Type="http://schemas.openxmlformats.org/officeDocument/2006/relationships/image" Target="../media/image11.png"/><Relationship Id="rId3" Type="http://schemas.openxmlformats.org/officeDocument/2006/relationships/image" Target="../media/image1.png"/><Relationship Id="rId7" Type="http://schemas.openxmlformats.org/officeDocument/2006/relationships/image" Target="../media/image4.svg"/><Relationship Id="rId12" Type="http://schemas.openxmlformats.org/officeDocument/2006/relationships/image" Target="../media/image7.png"/><Relationship Id="rId17" Type="http://schemas.openxmlformats.org/officeDocument/2006/relationships/hyperlink" Target="#j.nike.today.view!A1"/><Relationship Id="rId2" Type="http://schemas.openxmlformats.org/officeDocument/2006/relationships/hyperlink" Target="#g.nike.input!A1"/><Relationship Id="rId16" Type="http://schemas.openxmlformats.org/officeDocument/2006/relationships/image" Target="../media/image10.svg"/><Relationship Id="rId1" Type="http://schemas.microsoft.com/office/2014/relationships/chartEx" Target="../charts/chartEx5.xml"/><Relationship Id="rId6" Type="http://schemas.openxmlformats.org/officeDocument/2006/relationships/image" Target="../media/image3.png"/><Relationship Id="rId11" Type="http://schemas.openxmlformats.org/officeDocument/2006/relationships/hyperlink" Target="#i.nike.top5.shoe!A1"/><Relationship Id="rId5" Type="http://schemas.openxmlformats.org/officeDocument/2006/relationships/hyperlink" Target="#i.nike.discount.dash!A1"/><Relationship Id="rId15" Type="http://schemas.openxmlformats.org/officeDocument/2006/relationships/image" Target="../media/image9.png"/><Relationship Id="rId10" Type="http://schemas.openxmlformats.org/officeDocument/2006/relationships/image" Target="../media/image6.svg"/><Relationship Id="rId19"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5.png"/><Relationship Id="rId14" Type="http://schemas.openxmlformats.org/officeDocument/2006/relationships/hyperlink" Target="#h.nike.sales.dashboard!A1"/></Relationships>
</file>

<file path=xl/drawings/_rels/drawing7.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h.nike.sales.dashboard!A1"/><Relationship Id="rId18" Type="http://schemas.openxmlformats.org/officeDocument/2006/relationships/image" Target="../media/image12.svg"/><Relationship Id="rId3" Type="http://schemas.openxmlformats.org/officeDocument/2006/relationships/image" Target="../media/image2.svg"/><Relationship Id="rId7" Type="http://schemas.openxmlformats.org/officeDocument/2006/relationships/hyperlink" Target="#l.readme.Index!A1"/><Relationship Id="rId12" Type="http://schemas.openxmlformats.org/officeDocument/2006/relationships/image" Target="../media/image8.svg"/><Relationship Id="rId17" Type="http://schemas.openxmlformats.org/officeDocument/2006/relationships/image" Target="../media/image11.png"/><Relationship Id="rId2" Type="http://schemas.openxmlformats.org/officeDocument/2006/relationships/image" Target="../media/image1.png"/><Relationship Id="rId16" Type="http://schemas.openxmlformats.org/officeDocument/2006/relationships/hyperlink" Target="#j.nike.today.view!A1"/><Relationship Id="rId1" Type="http://schemas.openxmlformats.org/officeDocument/2006/relationships/hyperlink" Target="#g.nike.input!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5" Type="http://schemas.openxmlformats.org/officeDocument/2006/relationships/image" Target="../media/image10.svg"/><Relationship Id="rId10" Type="http://schemas.openxmlformats.org/officeDocument/2006/relationships/hyperlink" Target="#k.nike.top5.shoe!A1"/><Relationship Id="rId4" Type="http://schemas.openxmlformats.org/officeDocument/2006/relationships/hyperlink" Target="#i.nike.discount.dash!A1"/><Relationship Id="rId9" Type="http://schemas.openxmlformats.org/officeDocument/2006/relationships/image" Target="../media/image6.sv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33</xdr:col>
      <xdr:colOff>9072</xdr:colOff>
      <xdr:row>106</xdr:row>
      <xdr:rowOff>34201</xdr:rowOff>
    </xdr:from>
    <xdr:to>
      <xdr:col>36</xdr:col>
      <xdr:colOff>22281</xdr:colOff>
      <xdr:row>119</xdr:row>
      <xdr:rowOff>142479</xdr:rowOff>
    </xdr:to>
    <xdr:graphicFrame macro="">
      <xdr:nvGraphicFramePr>
        <xdr:cNvPr id="2" name="Chart 1">
          <a:extLst>
            <a:ext uri="{FF2B5EF4-FFF2-40B4-BE49-F238E27FC236}">
              <a16:creationId xmlns:a16="http://schemas.microsoft.com/office/drawing/2014/main" id="{D4FB02E7-73D9-BB45-A9C6-E40E20B99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50026</xdr:colOff>
      <xdr:row>132</xdr:row>
      <xdr:rowOff>276302</xdr:rowOff>
    </xdr:from>
    <xdr:to>
      <xdr:col>35</xdr:col>
      <xdr:colOff>56376</xdr:colOff>
      <xdr:row>144</xdr:row>
      <xdr:rowOff>205677</xdr:rowOff>
    </xdr:to>
    <xdr:graphicFrame macro="">
      <xdr:nvGraphicFramePr>
        <xdr:cNvPr id="3" name="Chart 2">
          <a:extLst>
            <a:ext uri="{FF2B5EF4-FFF2-40B4-BE49-F238E27FC236}">
              <a16:creationId xmlns:a16="http://schemas.microsoft.com/office/drawing/2014/main" id="{35FAE44E-3300-F943-9A67-4BBFB7528C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1449721</xdr:colOff>
      <xdr:row>91</xdr:row>
      <xdr:rowOff>322718</xdr:rowOff>
    </xdr:from>
    <xdr:to>
      <xdr:col>10</xdr:col>
      <xdr:colOff>242317</xdr:colOff>
      <xdr:row>93</xdr:row>
      <xdr:rowOff>81936</xdr:rowOff>
    </xdr:to>
    <mc:AlternateContent xmlns:mc="http://schemas.openxmlformats.org/markup-compatibility/2006" xmlns:a14="http://schemas.microsoft.com/office/drawing/2010/main">
      <mc:Choice Requires="a14">
        <xdr:graphicFrame macro="">
          <xdr:nvGraphicFramePr>
            <xdr:cNvPr id="2" name="Rate_Group 2">
              <a:extLst>
                <a:ext uri="{FF2B5EF4-FFF2-40B4-BE49-F238E27FC236}">
                  <a16:creationId xmlns:a16="http://schemas.microsoft.com/office/drawing/2014/main" id="{CC069E9D-2B9A-C9FD-662C-4BEE2415B0B4}"/>
                </a:ext>
              </a:extLst>
            </xdr:cNvPr>
            <xdr:cNvGraphicFramePr/>
          </xdr:nvGraphicFramePr>
          <xdr:xfrm>
            <a:off x="0" y="0"/>
            <a:ext cx="0" cy="0"/>
          </xdr:xfrm>
          <a:graphic>
            <a:graphicData uri="http://schemas.microsoft.com/office/drawing/2010/slicer">
              <sle:slicer xmlns:sle="http://schemas.microsoft.com/office/drawing/2010/slicer" name="Rate_Group 2"/>
            </a:graphicData>
          </a:graphic>
        </xdr:graphicFrame>
      </mc:Choice>
      <mc:Fallback xmlns="">
        <xdr:sp macro="" textlink="">
          <xdr:nvSpPr>
            <xdr:cNvPr id="0" name=""/>
            <xdr:cNvSpPr>
              <a:spLocks noTextEdit="1"/>
            </xdr:cNvSpPr>
          </xdr:nvSpPr>
          <xdr:spPr>
            <a:xfrm>
              <a:off x="10085721" y="21925418"/>
              <a:ext cx="4736196" cy="3942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330201</xdr:colOff>
      <xdr:row>102</xdr:row>
      <xdr:rowOff>143524</xdr:rowOff>
    </xdr:from>
    <xdr:to>
      <xdr:col>15</xdr:col>
      <xdr:colOff>1116989</xdr:colOff>
      <xdr:row>119</xdr:row>
      <xdr:rowOff>152399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232E81A-5389-C00E-B801-3FCFE16B0C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909801" y="24768824"/>
              <a:ext cx="6311288" cy="41871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1372519</xdr:colOff>
      <xdr:row>102</xdr:row>
      <xdr:rowOff>123022</xdr:rowOff>
    </xdr:from>
    <xdr:to>
      <xdr:col>22</xdr:col>
      <xdr:colOff>148729</xdr:colOff>
      <xdr:row>119</xdr:row>
      <xdr:rowOff>228600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145F2FA-F741-B8FE-4D22-511E80A2D1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1476619" y="24748322"/>
              <a:ext cx="7145510" cy="425847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431800</xdr:colOff>
      <xdr:row>103</xdr:row>
      <xdr:rowOff>50800</xdr:rowOff>
    </xdr:from>
    <xdr:to>
      <xdr:col>10</xdr:col>
      <xdr:colOff>31750</xdr:colOff>
      <xdr:row>119</xdr:row>
      <xdr:rowOff>228600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1ED812B2-0751-874C-881F-58794E5AE3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848600" y="24879300"/>
              <a:ext cx="6762750" cy="4127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454162</xdr:colOff>
      <xdr:row>28</xdr:row>
      <xdr:rowOff>152400</xdr:rowOff>
    </xdr:from>
    <xdr:to>
      <xdr:col>12</xdr:col>
      <xdr:colOff>863599</xdr:colOff>
      <xdr:row>43</xdr:row>
      <xdr:rowOff>12699</xdr:rowOff>
    </xdr:to>
    <xdr:graphicFrame macro="">
      <xdr:nvGraphicFramePr>
        <xdr:cNvPr id="7" name="Chart 6">
          <a:extLst>
            <a:ext uri="{FF2B5EF4-FFF2-40B4-BE49-F238E27FC236}">
              <a16:creationId xmlns:a16="http://schemas.microsoft.com/office/drawing/2014/main" id="{3BE28E57-1B6C-CBC0-FC40-92F14C6091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821267</xdr:colOff>
      <xdr:row>9</xdr:row>
      <xdr:rowOff>30574</xdr:rowOff>
    </xdr:from>
    <xdr:to>
      <xdr:col>12</xdr:col>
      <xdr:colOff>3134994</xdr:colOff>
      <xdr:row>13</xdr:row>
      <xdr:rowOff>51692</xdr:rowOff>
    </xdr:to>
    <xdr:sp macro="" textlink="">
      <xdr:nvSpPr>
        <xdr:cNvPr id="14" name="Rounded Rectangle 13">
          <a:extLst>
            <a:ext uri="{FF2B5EF4-FFF2-40B4-BE49-F238E27FC236}">
              <a16:creationId xmlns:a16="http://schemas.microsoft.com/office/drawing/2014/main" id="{981431C7-2F10-FC48-81E7-9967ED78D92B}"/>
            </a:ext>
          </a:extLst>
        </xdr:cNvPr>
        <xdr:cNvSpPr/>
      </xdr:nvSpPr>
      <xdr:spPr>
        <a:xfrm>
          <a:off x="16188267" y="2087974"/>
          <a:ext cx="4853727" cy="1900718"/>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11</xdr:col>
      <xdr:colOff>1052285</xdr:colOff>
      <xdr:row>10</xdr:row>
      <xdr:rowOff>338666</xdr:rowOff>
    </xdr:from>
    <xdr:to>
      <xdr:col>12</xdr:col>
      <xdr:colOff>1293754</xdr:colOff>
      <xdr:row>11</xdr:row>
      <xdr:rowOff>880533</xdr:rowOff>
    </xdr:to>
    <xdr:sp macro="" textlink="">
      <xdr:nvSpPr>
        <xdr:cNvPr id="15" name="TextBox 14">
          <a:extLst>
            <a:ext uri="{FF2B5EF4-FFF2-40B4-BE49-F238E27FC236}">
              <a16:creationId xmlns:a16="http://schemas.microsoft.com/office/drawing/2014/main" id="{54FD1C2A-A8FF-394F-886D-52A8F8BB3519}"/>
            </a:ext>
          </a:extLst>
        </xdr:cNvPr>
        <xdr:cNvSpPr txBox="1"/>
      </xdr:nvSpPr>
      <xdr:spPr>
        <a:xfrm>
          <a:off x="16419285" y="2599266"/>
          <a:ext cx="2781469" cy="1024467"/>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800" b="1" baseline="0">
              <a:solidFill>
                <a:schemeClr val="tx1"/>
              </a:solidFill>
              <a:latin typeface="+mn-lt"/>
              <a:ea typeface="+mn-ea"/>
              <a:cs typeface="+mn-cs"/>
            </a:rPr>
            <a:t>TOTAL VIEW </a:t>
          </a:r>
        </a:p>
        <a:p>
          <a:pPr marL="0" indent="0" algn="ctr"/>
          <a:r>
            <a:rPr lang="en-US" sz="2800" b="1" baseline="0">
              <a:solidFill>
                <a:schemeClr val="tx1"/>
              </a:solidFill>
              <a:latin typeface="+mn-lt"/>
              <a:ea typeface="+mn-ea"/>
              <a:cs typeface="+mn-cs"/>
            </a:rPr>
            <a:t>COUNT</a:t>
          </a:r>
        </a:p>
        <a:p>
          <a:pPr marL="0" indent="0"/>
          <a:endParaRPr lang="en-US" sz="2800" b="1" baseline="0">
            <a:solidFill>
              <a:schemeClr val="tx1"/>
            </a:solidFill>
            <a:latin typeface="+mn-lt"/>
            <a:ea typeface="+mn-ea"/>
            <a:cs typeface="+mn-cs"/>
          </a:endParaRPr>
        </a:p>
      </xdr:txBody>
    </xdr:sp>
    <xdr:clientData/>
  </xdr:twoCellAnchor>
  <xdr:twoCellAnchor>
    <xdr:from>
      <xdr:col>12</xdr:col>
      <xdr:colOff>1216516</xdr:colOff>
      <xdr:row>11</xdr:row>
      <xdr:rowOff>77156</xdr:rowOff>
    </xdr:from>
    <xdr:to>
      <xdr:col>12</xdr:col>
      <xdr:colOff>2600714</xdr:colOff>
      <xdr:row>11</xdr:row>
      <xdr:rowOff>669966</xdr:rowOff>
    </xdr:to>
    <xdr:sp macro="" textlink="'g.nike.input'!H14">
      <xdr:nvSpPr>
        <xdr:cNvPr id="16" name="TextBox 15">
          <a:extLst>
            <a:ext uri="{FF2B5EF4-FFF2-40B4-BE49-F238E27FC236}">
              <a16:creationId xmlns:a16="http://schemas.microsoft.com/office/drawing/2014/main" id="{2C7350AA-33B3-C445-B078-367789AAEDC9}"/>
            </a:ext>
          </a:extLst>
        </xdr:cNvPr>
        <xdr:cNvSpPr txBox="1"/>
      </xdr:nvSpPr>
      <xdr:spPr>
        <a:xfrm>
          <a:off x="19123516" y="2820356"/>
          <a:ext cx="1384198" cy="59281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EF7ECE7-61E2-3748-AE4E-E869BBD862A8}" type="TxLink">
            <a:rPr lang="en-US" sz="4000" b="1" i="0" u="none" strike="noStrike" baseline="0">
              <a:solidFill>
                <a:schemeClr val="tx1"/>
              </a:solidFill>
              <a:latin typeface="Aptos Narrow"/>
              <a:ea typeface="+mn-ea"/>
              <a:cs typeface="+mn-cs"/>
            </a:rPr>
            <a:pPr marL="0" indent="0" algn="ctr"/>
            <a:t>640</a:t>
          </a:fld>
          <a:endParaRPr lang="en-US" sz="4000" b="1" i="0" u="none" strike="noStrike" baseline="0">
            <a:solidFill>
              <a:schemeClr val="tx1"/>
            </a:solidFill>
            <a:latin typeface="Aptos Narrow"/>
            <a:ea typeface="+mn-ea"/>
            <a:cs typeface="+mn-cs"/>
          </a:endParaRPr>
        </a:p>
      </xdr:txBody>
    </xdr:sp>
    <xdr:clientData/>
  </xdr:twoCellAnchor>
  <xdr:twoCellAnchor>
    <xdr:from>
      <xdr:col>17</xdr:col>
      <xdr:colOff>980955</xdr:colOff>
      <xdr:row>8</xdr:row>
      <xdr:rowOff>262467</xdr:rowOff>
    </xdr:from>
    <xdr:to>
      <xdr:col>18</xdr:col>
      <xdr:colOff>2333169</xdr:colOff>
      <xdr:row>15</xdr:row>
      <xdr:rowOff>70237</xdr:rowOff>
    </xdr:to>
    <xdr:graphicFrame macro="">
      <xdr:nvGraphicFramePr>
        <xdr:cNvPr id="29" name="Chart 28">
          <a:extLst>
            <a:ext uri="{FF2B5EF4-FFF2-40B4-BE49-F238E27FC236}">
              <a16:creationId xmlns:a16="http://schemas.microsoft.com/office/drawing/2014/main" id="{ED1647C2-057A-A24B-AD9B-E940912DE6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237068</xdr:colOff>
      <xdr:row>7</xdr:row>
      <xdr:rowOff>483714</xdr:rowOff>
    </xdr:from>
    <xdr:to>
      <xdr:col>14</xdr:col>
      <xdr:colOff>1320801</xdr:colOff>
      <xdr:row>15</xdr:row>
      <xdr:rowOff>338665</xdr:rowOff>
    </xdr:to>
    <xdr:graphicFrame macro="">
      <xdr:nvGraphicFramePr>
        <xdr:cNvPr id="30" name="Chart 29">
          <a:extLst>
            <a:ext uri="{FF2B5EF4-FFF2-40B4-BE49-F238E27FC236}">
              <a16:creationId xmlns:a16="http://schemas.microsoft.com/office/drawing/2014/main" id="{D8D4FFE7-A229-9045-9F3B-701C15B487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1745848</xdr:colOff>
      <xdr:row>9</xdr:row>
      <xdr:rowOff>114937</xdr:rowOff>
    </xdr:from>
    <xdr:to>
      <xdr:col>17</xdr:col>
      <xdr:colOff>1270000</xdr:colOff>
      <xdr:row>13</xdr:row>
      <xdr:rowOff>0</xdr:rowOff>
    </xdr:to>
    <xdr:grpSp>
      <xdr:nvGrpSpPr>
        <xdr:cNvPr id="49" name="Group 48">
          <a:extLst>
            <a:ext uri="{FF2B5EF4-FFF2-40B4-BE49-F238E27FC236}">
              <a16:creationId xmlns:a16="http://schemas.microsoft.com/office/drawing/2014/main" id="{0074E1ED-3C7E-5BB7-542E-A4F6502C5BE8}"/>
            </a:ext>
          </a:extLst>
        </xdr:cNvPr>
        <xdr:cNvGrpSpPr/>
      </xdr:nvGrpSpPr>
      <xdr:grpSpPr>
        <a:xfrm>
          <a:off x="29596725" y="3078270"/>
          <a:ext cx="5005205" cy="1734362"/>
          <a:chOff x="26841048" y="2121537"/>
          <a:chExt cx="3517904" cy="1578801"/>
        </a:xfrm>
      </xdr:grpSpPr>
      <xdr:sp macro="" textlink="">
        <xdr:nvSpPr>
          <xdr:cNvPr id="33" name="Rounded Rectangle 32">
            <a:extLst>
              <a:ext uri="{FF2B5EF4-FFF2-40B4-BE49-F238E27FC236}">
                <a16:creationId xmlns:a16="http://schemas.microsoft.com/office/drawing/2014/main" id="{5CBEA21C-2846-9D45-9926-FA88704FBECE}"/>
              </a:ext>
            </a:extLst>
          </xdr:cNvPr>
          <xdr:cNvSpPr/>
        </xdr:nvSpPr>
        <xdr:spPr>
          <a:xfrm>
            <a:off x="26841048" y="2121537"/>
            <a:ext cx="3517904" cy="157880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g.nike.input'!J27">
        <xdr:nvSpPr>
          <xdr:cNvPr id="34" name="TextBox 33">
            <a:extLst>
              <a:ext uri="{FF2B5EF4-FFF2-40B4-BE49-F238E27FC236}">
                <a16:creationId xmlns:a16="http://schemas.microsoft.com/office/drawing/2014/main" id="{E027B55B-FDB6-AE4E-B3A7-2967CBDFCA71}"/>
              </a:ext>
            </a:extLst>
          </xdr:cNvPr>
          <xdr:cNvSpPr txBox="1"/>
        </xdr:nvSpPr>
        <xdr:spPr>
          <a:xfrm>
            <a:off x="28908016" y="2621978"/>
            <a:ext cx="1134031" cy="54665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5055B7C-FF42-9848-91BB-E02CDAC9F7D0}" type="TxLink">
              <a:rPr lang="en-US" sz="4000" b="1" i="0" u="none" strike="noStrike" baseline="0">
                <a:solidFill>
                  <a:schemeClr val="tx1"/>
                </a:solidFill>
                <a:latin typeface="Aptos Narrow"/>
                <a:ea typeface="+mn-ea"/>
                <a:cs typeface="+mn-cs"/>
              </a:rPr>
              <a:pPr marL="0" indent="0" algn="ctr"/>
              <a:t>30%</a:t>
            </a:fld>
            <a:r>
              <a:rPr lang="en-US" sz="4000" b="1" i="0" u="none" strike="noStrike" baseline="0">
                <a:solidFill>
                  <a:schemeClr val="tx1"/>
                </a:solidFill>
                <a:latin typeface="Aptos Narrow"/>
                <a:ea typeface="+mn-ea"/>
                <a:cs typeface="+mn-cs"/>
              </a:rPr>
              <a:t> off</a:t>
            </a:r>
          </a:p>
        </xdr:txBody>
      </xdr:sp>
      <xdr:sp macro="" textlink="">
        <xdr:nvSpPr>
          <xdr:cNvPr id="35" name="TextBox 34">
            <a:extLst>
              <a:ext uri="{FF2B5EF4-FFF2-40B4-BE49-F238E27FC236}">
                <a16:creationId xmlns:a16="http://schemas.microsoft.com/office/drawing/2014/main" id="{90D8E1FB-A7B0-E543-AE80-7CE2A904C0D0}"/>
              </a:ext>
            </a:extLst>
          </xdr:cNvPr>
          <xdr:cNvSpPr txBox="1"/>
        </xdr:nvSpPr>
        <xdr:spPr>
          <a:xfrm>
            <a:off x="27085105" y="2452874"/>
            <a:ext cx="1879475" cy="114485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800" b="1" baseline="0">
                <a:solidFill>
                  <a:schemeClr val="tx1"/>
                </a:solidFill>
                <a:latin typeface="+mn-lt"/>
                <a:ea typeface="+mn-ea"/>
                <a:cs typeface="+mn-cs"/>
              </a:rPr>
              <a:t>AVG </a:t>
            </a:r>
          </a:p>
          <a:p>
            <a:pPr marL="0" indent="0" algn="ctr"/>
            <a:r>
              <a:rPr lang="en-US" sz="2800" b="1" baseline="0">
                <a:solidFill>
                  <a:schemeClr val="tx1"/>
                </a:solidFill>
                <a:latin typeface="+mn-lt"/>
                <a:ea typeface="+mn-ea"/>
                <a:cs typeface="+mn-cs"/>
              </a:rPr>
              <a:t>DISCOUNT</a:t>
            </a:r>
          </a:p>
          <a:p>
            <a:pPr marL="0" indent="0"/>
            <a:endParaRPr lang="en-US" sz="2800" b="1" baseline="0">
              <a:solidFill>
                <a:schemeClr val="tx1"/>
              </a:solidFill>
              <a:latin typeface="+mn-lt"/>
              <a:ea typeface="+mn-ea"/>
              <a:cs typeface="+mn-cs"/>
            </a:endParaRPr>
          </a:p>
        </xdr:txBody>
      </xdr:sp>
    </xdr:grpSp>
    <xdr:clientData/>
  </xdr:twoCellAnchor>
  <xdr:twoCellAnchor editAs="oneCell">
    <xdr:from>
      <xdr:col>0</xdr:col>
      <xdr:colOff>517408</xdr:colOff>
      <xdr:row>56</xdr:row>
      <xdr:rowOff>423334</xdr:rowOff>
    </xdr:from>
    <xdr:to>
      <xdr:col>3</xdr:col>
      <xdr:colOff>448795</xdr:colOff>
      <xdr:row>62</xdr:row>
      <xdr:rowOff>152234</xdr:rowOff>
    </xdr:to>
    <xdr:pic>
      <xdr:nvPicPr>
        <xdr:cNvPr id="40" name="Graphic 39" descr="Clipboard with solid fill">
          <a:hlinkClick xmlns:r="http://schemas.openxmlformats.org/officeDocument/2006/relationships" r:id="rId3"/>
          <a:extLst>
            <a:ext uri="{FF2B5EF4-FFF2-40B4-BE49-F238E27FC236}">
              <a16:creationId xmlns:a16="http://schemas.microsoft.com/office/drawing/2014/main" id="{1EEAC05C-17D5-574F-BFEB-1507FD9A4E47}"/>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17408" y="17450741"/>
          <a:ext cx="2471387" cy="2551123"/>
        </a:xfrm>
        <a:prstGeom prst="rect">
          <a:avLst/>
        </a:prstGeom>
      </xdr:spPr>
    </xdr:pic>
    <xdr:clientData/>
  </xdr:twoCellAnchor>
  <xdr:twoCellAnchor editAs="oneCell">
    <xdr:from>
      <xdr:col>0</xdr:col>
      <xdr:colOff>362860</xdr:colOff>
      <xdr:row>24</xdr:row>
      <xdr:rowOff>14156</xdr:rowOff>
    </xdr:from>
    <xdr:to>
      <xdr:col>3</xdr:col>
      <xdr:colOff>376296</xdr:colOff>
      <xdr:row>36</xdr:row>
      <xdr:rowOff>1042</xdr:rowOff>
    </xdr:to>
    <xdr:pic>
      <xdr:nvPicPr>
        <xdr:cNvPr id="41" name="Graphic 40" descr="Cmd Terminal with solid fill">
          <a:hlinkClick xmlns:r="http://schemas.openxmlformats.org/officeDocument/2006/relationships" r:id="rId6"/>
          <a:extLst>
            <a:ext uri="{FF2B5EF4-FFF2-40B4-BE49-F238E27FC236}">
              <a16:creationId xmlns:a16="http://schemas.microsoft.com/office/drawing/2014/main" id="{8550DB98-DA2F-BC40-9EB2-5DB1E57AE7B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62860" y="8857119"/>
          <a:ext cx="2553436" cy="2573923"/>
        </a:xfrm>
        <a:prstGeom prst="rect">
          <a:avLst/>
        </a:prstGeom>
      </xdr:spPr>
    </xdr:pic>
    <xdr:clientData/>
  </xdr:twoCellAnchor>
  <xdr:twoCellAnchor editAs="oneCell">
    <xdr:from>
      <xdr:col>0</xdr:col>
      <xdr:colOff>207956</xdr:colOff>
      <xdr:row>10</xdr:row>
      <xdr:rowOff>336940</xdr:rowOff>
    </xdr:from>
    <xdr:to>
      <xdr:col>3</xdr:col>
      <xdr:colOff>391571</xdr:colOff>
      <xdr:row>15</xdr:row>
      <xdr:rowOff>470370</xdr:rowOff>
    </xdr:to>
    <xdr:pic>
      <xdr:nvPicPr>
        <xdr:cNvPr id="42" name="Graphic 41" descr="Folder Search with solid fill">
          <a:hlinkClick xmlns:r="http://schemas.openxmlformats.org/officeDocument/2006/relationships" r:id="rId9"/>
          <a:extLst>
            <a:ext uri="{FF2B5EF4-FFF2-40B4-BE49-F238E27FC236}">
              <a16:creationId xmlns:a16="http://schemas.microsoft.com/office/drawing/2014/main" id="{19FE81C3-17E3-A54A-9EA1-B80588D7B47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07956" y="2453607"/>
          <a:ext cx="2723615" cy="2438244"/>
        </a:xfrm>
        <a:prstGeom prst="rect">
          <a:avLst/>
        </a:prstGeom>
      </xdr:spPr>
    </xdr:pic>
    <xdr:clientData/>
  </xdr:twoCellAnchor>
  <xdr:twoCellAnchor editAs="oneCell">
    <xdr:from>
      <xdr:col>0</xdr:col>
      <xdr:colOff>321369</xdr:colOff>
      <xdr:row>48</xdr:row>
      <xdr:rowOff>94075</xdr:rowOff>
    </xdr:from>
    <xdr:to>
      <xdr:col>3</xdr:col>
      <xdr:colOff>556598</xdr:colOff>
      <xdr:row>55</xdr:row>
      <xdr:rowOff>385248</xdr:rowOff>
    </xdr:to>
    <xdr:pic>
      <xdr:nvPicPr>
        <xdr:cNvPr id="43" name="Graphic 42" descr="Aspiration with solid fill">
          <a:hlinkClick xmlns:r="http://schemas.openxmlformats.org/officeDocument/2006/relationships" r:id="rId12"/>
          <a:extLst>
            <a:ext uri="{FF2B5EF4-FFF2-40B4-BE49-F238E27FC236}">
              <a16:creationId xmlns:a16="http://schemas.microsoft.com/office/drawing/2014/main" id="{8B6AE570-2001-F44B-9632-9AA5CF95E0A4}"/>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321369" y="14487408"/>
          <a:ext cx="2775229" cy="2454877"/>
        </a:xfrm>
        <a:prstGeom prst="rect">
          <a:avLst/>
        </a:prstGeom>
      </xdr:spPr>
    </xdr:pic>
    <xdr:clientData/>
  </xdr:twoCellAnchor>
  <xdr:twoCellAnchor editAs="oneCell">
    <xdr:from>
      <xdr:col>0</xdr:col>
      <xdr:colOff>342428</xdr:colOff>
      <xdr:row>16</xdr:row>
      <xdr:rowOff>423333</xdr:rowOff>
    </xdr:from>
    <xdr:to>
      <xdr:col>3</xdr:col>
      <xdr:colOff>453981</xdr:colOff>
      <xdr:row>20</xdr:row>
      <xdr:rowOff>530267</xdr:rowOff>
    </xdr:to>
    <xdr:pic>
      <xdr:nvPicPr>
        <xdr:cNvPr id="44" name="Graphic 43" descr="Advertising with solid fill">
          <a:hlinkClick xmlns:r="http://schemas.openxmlformats.org/officeDocument/2006/relationships" r:id="rId15"/>
          <a:extLst>
            <a:ext uri="{FF2B5EF4-FFF2-40B4-BE49-F238E27FC236}">
              <a16:creationId xmlns:a16="http://schemas.microsoft.com/office/drawing/2014/main" id="{BE92974C-9851-8E49-B1E1-E1ECCACE9F57}"/>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342428" y="5644444"/>
          <a:ext cx="2651553" cy="2364712"/>
        </a:xfrm>
        <a:prstGeom prst="rect">
          <a:avLst/>
        </a:prstGeom>
      </xdr:spPr>
    </xdr:pic>
    <xdr:clientData/>
  </xdr:twoCellAnchor>
  <xdr:twoCellAnchor editAs="oneCell">
    <xdr:from>
      <xdr:col>0</xdr:col>
      <xdr:colOff>494941</xdr:colOff>
      <xdr:row>36</xdr:row>
      <xdr:rowOff>85170</xdr:rowOff>
    </xdr:from>
    <xdr:to>
      <xdr:col>3</xdr:col>
      <xdr:colOff>376296</xdr:colOff>
      <xdr:row>45</xdr:row>
      <xdr:rowOff>48446</xdr:rowOff>
    </xdr:to>
    <xdr:pic>
      <xdr:nvPicPr>
        <xdr:cNvPr id="45" name="Graphic 44" descr="3d Glasses with solid fill">
          <a:hlinkClick xmlns:r="http://schemas.openxmlformats.org/officeDocument/2006/relationships" r:id="rId18"/>
          <a:extLst>
            <a:ext uri="{FF2B5EF4-FFF2-40B4-BE49-F238E27FC236}">
              <a16:creationId xmlns:a16="http://schemas.microsoft.com/office/drawing/2014/main" id="{C434EC68-DA71-8B45-93B9-F8E719ECC2FA}"/>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494941" y="11515170"/>
          <a:ext cx="2421355" cy="2362165"/>
        </a:xfrm>
        <a:prstGeom prst="rect">
          <a:avLst/>
        </a:prstGeom>
      </xdr:spPr>
    </xdr:pic>
    <xdr:clientData/>
  </xdr:twoCellAnchor>
  <xdr:twoCellAnchor>
    <xdr:from>
      <xdr:col>5</xdr:col>
      <xdr:colOff>920429</xdr:colOff>
      <xdr:row>9</xdr:row>
      <xdr:rowOff>192491</xdr:rowOff>
    </xdr:from>
    <xdr:to>
      <xdr:col>6</xdr:col>
      <xdr:colOff>3176132</xdr:colOff>
      <xdr:row>13</xdr:row>
      <xdr:rowOff>38485</xdr:rowOff>
    </xdr:to>
    <xdr:grpSp>
      <xdr:nvGrpSpPr>
        <xdr:cNvPr id="90" name="Group 89">
          <a:extLst>
            <a:ext uri="{FF2B5EF4-FFF2-40B4-BE49-F238E27FC236}">
              <a16:creationId xmlns:a16="http://schemas.microsoft.com/office/drawing/2014/main" id="{605F47C5-2437-02F2-8A0B-165D65B9320B}"/>
            </a:ext>
          </a:extLst>
        </xdr:cNvPr>
        <xdr:cNvGrpSpPr/>
      </xdr:nvGrpSpPr>
      <xdr:grpSpPr>
        <a:xfrm>
          <a:off x="5042359" y="3155824"/>
          <a:ext cx="5308159" cy="1695293"/>
          <a:chOff x="4267640" y="2241115"/>
          <a:chExt cx="4526845" cy="1718019"/>
        </a:xfrm>
      </xdr:grpSpPr>
      <xdr:sp macro="" textlink="">
        <xdr:nvSpPr>
          <xdr:cNvPr id="2" name="Rounded Rectangle 1">
            <a:extLst>
              <a:ext uri="{FF2B5EF4-FFF2-40B4-BE49-F238E27FC236}">
                <a16:creationId xmlns:a16="http://schemas.microsoft.com/office/drawing/2014/main" id="{F03B97D3-B08C-0343-AD7D-F04FDD75571B}"/>
              </a:ext>
            </a:extLst>
          </xdr:cNvPr>
          <xdr:cNvSpPr/>
        </xdr:nvSpPr>
        <xdr:spPr>
          <a:xfrm>
            <a:off x="4267640" y="2241115"/>
            <a:ext cx="4526845" cy="1718019"/>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g.nike.input'!J5">
        <xdr:nvSpPr>
          <xdr:cNvPr id="4" name="TextBox 3">
            <a:extLst>
              <a:ext uri="{FF2B5EF4-FFF2-40B4-BE49-F238E27FC236}">
                <a16:creationId xmlns:a16="http://schemas.microsoft.com/office/drawing/2014/main" id="{8AD0B592-7FEC-0944-A938-7CE826B8A5E6}"/>
              </a:ext>
            </a:extLst>
          </xdr:cNvPr>
          <xdr:cNvSpPr txBox="1"/>
        </xdr:nvSpPr>
        <xdr:spPr>
          <a:xfrm>
            <a:off x="5331742" y="2961935"/>
            <a:ext cx="1995055" cy="533400"/>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42CFF70-BB21-C644-898C-37D7A087ED50}" type="TxLink">
              <a:rPr lang="en-US" sz="4000" b="1" i="0" u="none" strike="noStrike" baseline="0">
                <a:solidFill>
                  <a:schemeClr val="tx1"/>
                </a:solidFill>
                <a:latin typeface="Aptos Narrow"/>
                <a:ea typeface="+mn-ea"/>
                <a:cs typeface="+mn-cs"/>
              </a:rPr>
              <a:pPr marL="0" indent="0" algn="ctr"/>
              <a:t>$102.30</a:t>
            </a:fld>
            <a:endParaRPr lang="en-US" sz="4000" b="1" i="0" u="none" strike="noStrike" baseline="0">
              <a:solidFill>
                <a:schemeClr val="tx1"/>
              </a:solidFill>
              <a:latin typeface="Aptos Narrow"/>
              <a:ea typeface="+mn-ea"/>
              <a:cs typeface="+mn-cs"/>
            </a:endParaRPr>
          </a:p>
        </xdr:txBody>
      </xdr:sp>
      <xdr:sp macro="" textlink="">
        <xdr:nvSpPr>
          <xdr:cNvPr id="28" name="TextBox 27">
            <a:extLst>
              <a:ext uri="{FF2B5EF4-FFF2-40B4-BE49-F238E27FC236}">
                <a16:creationId xmlns:a16="http://schemas.microsoft.com/office/drawing/2014/main" id="{07BB25E1-4888-8044-9911-14AC8BE32E0C}"/>
              </a:ext>
            </a:extLst>
          </xdr:cNvPr>
          <xdr:cNvSpPr txBox="1"/>
        </xdr:nvSpPr>
        <xdr:spPr>
          <a:xfrm>
            <a:off x="4482622" y="2422709"/>
            <a:ext cx="3860800" cy="585492"/>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solidFill>
                  <a:schemeClr val="tx1"/>
                </a:solidFill>
              </a:rPr>
              <a:t>AVG PRICE</a:t>
            </a:r>
          </a:p>
          <a:p>
            <a:endParaRPr lang="en-US" sz="1100">
              <a:solidFill>
                <a:schemeClr val="tx1"/>
              </a:solidFill>
            </a:endParaRPr>
          </a:p>
        </xdr:txBody>
      </xdr:sp>
      <xdr:pic>
        <xdr:nvPicPr>
          <xdr:cNvPr id="54" name="Graphic 53" descr="Money with solid fill">
            <a:extLst>
              <a:ext uri="{FF2B5EF4-FFF2-40B4-BE49-F238E27FC236}">
                <a16:creationId xmlns:a16="http://schemas.microsoft.com/office/drawing/2014/main" id="{2DE6EF1A-5E33-D2F0-387B-121D7622CF7F}"/>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7438103" y="2825135"/>
            <a:ext cx="914400" cy="921774"/>
          </a:xfrm>
          <a:prstGeom prst="rect">
            <a:avLst/>
          </a:prstGeom>
        </xdr:spPr>
      </xdr:pic>
    </xdr:grpSp>
    <xdr:clientData/>
  </xdr:twoCellAnchor>
  <xdr:twoCellAnchor>
    <xdr:from>
      <xdr:col>19</xdr:col>
      <xdr:colOff>602848</xdr:colOff>
      <xdr:row>9</xdr:row>
      <xdr:rowOff>140337</xdr:rowOff>
    </xdr:from>
    <xdr:to>
      <xdr:col>21</xdr:col>
      <xdr:colOff>3708400</xdr:colOff>
      <xdr:row>12</xdr:row>
      <xdr:rowOff>101600</xdr:rowOff>
    </xdr:to>
    <xdr:grpSp>
      <xdr:nvGrpSpPr>
        <xdr:cNvPr id="18" name="Group 17">
          <a:extLst>
            <a:ext uri="{FF2B5EF4-FFF2-40B4-BE49-F238E27FC236}">
              <a16:creationId xmlns:a16="http://schemas.microsoft.com/office/drawing/2014/main" id="{F6B06C17-34BC-591E-E1A3-732BC0AE9F20}"/>
            </a:ext>
          </a:extLst>
        </xdr:cNvPr>
        <xdr:cNvGrpSpPr/>
      </xdr:nvGrpSpPr>
      <xdr:grpSpPr>
        <a:xfrm>
          <a:off x="38814252" y="3103670"/>
          <a:ext cx="4754323" cy="1610035"/>
          <a:chOff x="30981248" y="2121537"/>
          <a:chExt cx="4781952" cy="1637663"/>
        </a:xfrm>
      </xdr:grpSpPr>
      <xdr:sp macro="" textlink="">
        <xdr:nvSpPr>
          <xdr:cNvPr id="46" name="Rounded Rectangle 45">
            <a:extLst>
              <a:ext uri="{FF2B5EF4-FFF2-40B4-BE49-F238E27FC236}">
                <a16:creationId xmlns:a16="http://schemas.microsoft.com/office/drawing/2014/main" id="{9BC9BE38-E4A0-B94E-AC20-9A307160CA2D}"/>
              </a:ext>
            </a:extLst>
          </xdr:cNvPr>
          <xdr:cNvSpPr/>
        </xdr:nvSpPr>
        <xdr:spPr>
          <a:xfrm>
            <a:off x="30981248" y="2121537"/>
            <a:ext cx="4781952" cy="1637663"/>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g.nike.input'!J9">
        <xdr:nvSpPr>
          <xdr:cNvPr id="47" name="TextBox 46">
            <a:extLst>
              <a:ext uri="{FF2B5EF4-FFF2-40B4-BE49-F238E27FC236}">
                <a16:creationId xmlns:a16="http://schemas.microsoft.com/office/drawing/2014/main" id="{47F0F390-EACC-9547-B27D-58BA28FB712F}"/>
              </a:ext>
            </a:extLst>
          </xdr:cNvPr>
          <xdr:cNvSpPr txBox="1"/>
        </xdr:nvSpPr>
        <xdr:spPr>
          <a:xfrm>
            <a:off x="31410728" y="2728762"/>
            <a:ext cx="2261795" cy="560653"/>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7284E52-2E48-6640-BBBE-0A6177555317}" type="TxLink">
              <a:rPr lang="en-US" sz="4000" b="1" i="0" u="none" strike="noStrike" baseline="0">
                <a:solidFill>
                  <a:schemeClr val="tx1"/>
                </a:solidFill>
                <a:latin typeface="Aptos Narrow"/>
                <a:ea typeface="+mn-ea"/>
                <a:cs typeface="+mn-cs"/>
              </a:rPr>
              <a:pPr marL="0" indent="0" algn="ctr"/>
              <a:t>8</a:t>
            </a:fld>
            <a:endParaRPr lang="en-US" sz="4000" b="1" i="0" u="none" strike="noStrike" baseline="0">
              <a:solidFill>
                <a:schemeClr val="tx1"/>
              </a:solidFill>
              <a:latin typeface="Aptos Narrow"/>
              <a:ea typeface="+mn-ea"/>
              <a:cs typeface="+mn-cs"/>
            </a:endParaRPr>
          </a:p>
        </xdr:txBody>
      </xdr:sp>
      <xdr:sp macro="" textlink="">
        <xdr:nvSpPr>
          <xdr:cNvPr id="48" name="TextBox 47">
            <a:extLst>
              <a:ext uri="{FF2B5EF4-FFF2-40B4-BE49-F238E27FC236}">
                <a16:creationId xmlns:a16="http://schemas.microsoft.com/office/drawing/2014/main" id="{38B3695B-47CF-A84A-A8FB-A999F83E51D6}"/>
              </a:ext>
            </a:extLst>
          </xdr:cNvPr>
          <xdr:cNvSpPr txBox="1"/>
        </xdr:nvSpPr>
        <xdr:spPr>
          <a:xfrm>
            <a:off x="31247442" y="2249696"/>
            <a:ext cx="2975197" cy="589917"/>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800" b="1" baseline="0">
                <a:solidFill>
                  <a:schemeClr val="tx1"/>
                </a:solidFill>
                <a:latin typeface="+mn-lt"/>
                <a:ea typeface="+mn-ea"/>
                <a:cs typeface="+mn-cs"/>
              </a:rPr>
              <a:t>AVG REVIEW</a:t>
            </a:r>
          </a:p>
          <a:p>
            <a:pPr marL="0" indent="0"/>
            <a:endParaRPr lang="en-US" sz="2800" b="1" baseline="0">
              <a:solidFill>
                <a:schemeClr val="tx1"/>
              </a:solidFill>
              <a:latin typeface="+mn-lt"/>
              <a:ea typeface="+mn-ea"/>
              <a:cs typeface="+mn-cs"/>
            </a:endParaRPr>
          </a:p>
        </xdr:txBody>
      </xdr:sp>
      <xdr:pic>
        <xdr:nvPicPr>
          <xdr:cNvPr id="56" name="Graphic 55" descr="Scales of justice with solid fill">
            <a:extLst>
              <a:ext uri="{FF2B5EF4-FFF2-40B4-BE49-F238E27FC236}">
                <a16:creationId xmlns:a16="http://schemas.microsoft.com/office/drawing/2014/main" id="{A97F7F62-6E33-1CBD-C45D-A1E6772995FA}"/>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34095242" y="2311400"/>
            <a:ext cx="942597" cy="955836"/>
          </a:xfrm>
          <a:prstGeom prst="rect">
            <a:avLst/>
          </a:prstGeom>
        </xdr:spPr>
      </xdr:pic>
    </xdr:grpSp>
    <xdr:clientData/>
  </xdr:twoCellAnchor>
  <xdr:twoCellAnchor editAs="oneCell">
    <xdr:from>
      <xdr:col>12</xdr:col>
      <xdr:colOff>1397000</xdr:colOff>
      <xdr:row>9</xdr:row>
      <xdr:rowOff>42333</xdr:rowOff>
    </xdr:from>
    <xdr:to>
      <xdr:col>12</xdr:col>
      <xdr:colOff>2311400</xdr:colOff>
      <xdr:row>11</xdr:row>
      <xdr:rowOff>279400</xdr:rowOff>
    </xdr:to>
    <xdr:pic>
      <xdr:nvPicPr>
        <xdr:cNvPr id="60" name="Graphic 59" descr="Eyes with solid fill">
          <a:extLst>
            <a:ext uri="{FF2B5EF4-FFF2-40B4-BE49-F238E27FC236}">
              <a16:creationId xmlns:a16="http://schemas.microsoft.com/office/drawing/2014/main" id="{7EA041B8-497B-17D5-5BF8-5A9D300C84BF}"/>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19304000" y="2159000"/>
          <a:ext cx="914400" cy="914400"/>
        </a:xfrm>
        <a:prstGeom prst="rect">
          <a:avLst/>
        </a:prstGeom>
      </xdr:spPr>
    </xdr:pic>
    <xdr:clientData/>
  </xdr:twoCellAnchor>
  <xdr:twoCellAnchor>
    <xdr:from>
      <xdr:col>7</xdr:col>
      <xdr:colOff>1218129</xdr:colOff>
      <xdr:row>9</xdr:row>
      <xdr:rowOff>168067</xdr:rowOff>
    </xdr:from>
    <xdr:to>
      <xdr:col>10</xdr:col>
      <xdr:colOff>2111314</xdr:colOff>
      <xdr:row>13</xdr:row>
      <xdr:rowOff>59243</xdr:rowOff>
    </xdr:to>
    <xdr:grpSp>
      <xdr:nvGrpSpPr>
        <xdr:cNvPr id="19" name="Group 18">
          <a:extLst>
            <a:ext uri="{FF2B5EF4-FFF2-40B4-BE49-F238E27FC236}">
              <a16:creationId xmlns:a16="http://schemas.microsoft.com/office/drawing/2014/main" id="{A583AAF3-3812-B9E2-C96E-7E823727A43A}"/>
            </a:ext>
          </a:extLst>
        </xdr:cNvPr>
        <xdr:cNvGrpSpPr/>
      </xdr:nvGrpSpPr>
      <xdr:grpSpPr>
        <a:xfrm>
          <a:off x="12269357" y="3131400"/>
          <a:ext cx="6730729" cy="1740475"/>
          <a:chOff x="12147826" y="2092309"/>
          <a:chExt cx="5588337" cy="1699964"/>
        </a:xfrm>
      </xdr:grpSpPr>
      <xdr:sp macro="" textlink="">
        <xdr:nvSpPr>
          <xdr:cNvPr id="5" name="Rounded Rectangle 4">
            <a:extLst>
              <a:ext uri="{FF2B5EF4-FFF2-40B4-BE49-F238E27FC236}">
                <a16:creationId xmlns:a16="http://schemas.microsoft.com/office/drawing/2014/main" id="{ECC8845C-4428-154D-97E7-036B697F4767}"/>
              </a:ext>
            </a:extLst>
          </xdr:cNvPr>
          <xdr:cNvSpPr/>
        </xdr:nvSpPr>
        <xdr:spPr>
          <a:xfrm>
            <a:off x="12147826" y="2092309"/>
            <a:ext cx="5588337" cy="1699964"/>
          </a:xfrm>
          <a:prstGeom prst="round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endParaRPr lang="en-US" sz="2800" b="1" baseline="0">
              <a:solidFill>
                <a:schemeClr val="tx1"/>
              </a:solidFill>
              <a:latin typeface="+mn-lt"/>
              <a:ea typeface="+mn-ea"/>
              <a:cs typeface="+mn-cs"/>
            </a:endParaRPr>
          </a:p>
        </xdr:txBody>
      </xdr:sp>
      <xdr:sp macro="" textlink="">
        <xdr:nvSpPr>
          <xdr:cNvPr id="6" name="TextBox 5">
            <a:extLst>
              <a:ext uri="{FF2B5EF4-FFF2-40B4-BE49-F238E27FC236}">
                <a16:creationId xmlns:a16="http://schemas.microsoft.com/office/drawing/2014/main" id="{9204AE0F-4401-9443-B46B-A711E35BAC36}"/>
              </a:ext>
            </a:extLst>
          </xdr:cNvPr>
          <xdr:cNvSpPr txBox="1"/>
        </xdr:nvSpPr>
        <xdr:spPr>
          <a:xfrm>
            <a:off x="12363616" y="2298855"/>
            <a:ext cx="2533575" cy="564710"/>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800" b="1" baseline="0">
                <a:solidFill>
                  <a:schemeClr val="tx1"/>
                </a:solidFill>
                <a:latin typeface="+mn-lt"/>
                <a:ea typeface="+mn-ea"/>
                <a:cs typeface="+mn-cs"/>
              </a:rPr>
              <a:t>PRODUCT COUNT</a:t>
            </a:r>
          </a:p>
          <a:p>
            <a:pPr marL="0" indent="0"/>
            <a:endParaRPr lang="en-US" sz="2800" b="1" baseline="0">
              <a:solidFill>
                <a:schemeClr val="tx1"/>
              </a:solidFill>
              <a:latin typeface="+mn-lt"/>
              <a:ea typeface="+mn-ea"/>
              <a:cs typeface="+mn-cs"/>
            </a:endParaRPr>
          </a:p>
        </xdr:txBody>
      </xdr:sp>
      <xdr:sp macro="" textlink="'g.nike.input'!H5">
        <xdr:nvSpPr>
          <xdr:cNvPr id="7" name="TextBox 6">
            <a:extLst>
              <a:ext uri="{FF2B5EF4-FFF2-40B4-BE49-F238E27FC236}">
                <a16:creationId xmlns:a16="http://schemas.microsoft.com/office/drawing/2014/main" id="{6A6733CD-8435-9040-B515-BBEDF4D95EE4}"/>
              </a:ext>
            </a:extLst>
          </xdr:cNvPr>
          <xdr:cNvSpPr txBox="1"/>
        </xdr:nvSpPr>
        <xdr:spPr>
          <a:xfrm>
            <a:off x="12822722" y="2823304"/>
            <a:ext cx="1605956" cy="549759"/>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76A0723-5746-AA43-9E16-4A1033FFA15C}" type="TxLink">
              <a:rPr lang="en-US" sz="4000" b="1" baseline="0">
                <a:solidFill>
                  <a:schemeClr val="tx1"/>
                </a:solidFill>
                <a:latin typeface="+mn-lt"/>
                <a:ea typeface="+mn-ea"/>
                <a:cs typeface="+mn-cs"/>
              </a:rPr>
              <a:pPr marL="0" indent="0" algn="ctr"/>
              <a:t>553</a:t>
            </a:fld>
            <a:endParaRPr lang="en-US" sz="4000" b="1" baseline="0">
              <a:solidFill>
                <a:schemeClr val="tx1"/>
              </a:solidFill>
              <a:latin typeface="+mn-lt"/>
              <a:ea typeface="+mn-ea"/>
              <a:cs typeface="+mn-cs"/>
            </a:endParaRPr>
          </a:p>
        </xdr:txBody>
      </xdr:sp>
      <xdr:pic>
        <xdr:nvPicPr>
          <xdr:cNvPr id="62" name="Graphic 61" descr="Tally with solid fill">
            <a:extLst>
              <a:ext uri="{FF2B5EF4-FFF2-40B4-BE49-F238E27FC236}">
                <a16:creationId xmlns:a16="http://schemas.microsoft.com/office/drawing/2014/main" id="{76B88C57-2C75-9D1C-5EE5-7C89F7EC4D42}"/>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a:off x="15514080" y="2515906"/>
            <a:ext cx="914400" cy="899507"/>
          </a:xfrm>
          <a:prstGeom prst="rect">
            <a:avLst/>
          </a:prstGeom>
        </xdr:spPr>
      </xdr:pic>
    </xdr:grpSp>
    <xdr:clientData/>
  </xdr:twoCellAnchor>
  <xdr:twoCellAnchor>
    <xdr:from>
      <xdr:col>22</xdr:col>
      <xdr:colOff>892380</xdr:colOff>
      <xdr:row>9</xdr:row>
      <xdr:rowOff>78017</xdr:rowOff>
    </xdr:from>
    <xdr:to>
      <xdr:col>24</xdr:col>
      <xdr:colOff>2082799</xdr:colOff>
      <xdr:row>12</xdr:row>
      <xdr:rowOff>127000</xdr:rowOff>
    </xdr:to>
    <xdr:grpSp>
      <xdr:nvGrpSpPr>
        <xdr:cNvPr id="12" name="Group 11">
          <a:extLst>
            <a:ext uri="{FF2B5EF4-FFF2-40B4-BE49-F238E27FC236}">
              <a16:creationId xmlns:a16="http://schemas.microsoft.com/office/drawing/2014/main" id="{4F093B2E-E38A-2AFD-DC6D-72FBA364624C}"/>
            </a:ext>
          </a:extLst>
        </xdr:cNvPr>
        <xdr:cNvGrpSpPr/>
      </xdr:nvGrpSpPr>
      <xdr:grpSpPr>
        <a:xfrm>
          <a:off x="45498345" y="3041350"/>
          <a:ext cx="4354279" cy="1697755"/>
          <a:chOff x="39805179" y="2135417"/>
          <a:chExt cx="8785158" cy="1725383"/>
        </a:xfrm>
      </xdr:grpSpPr>
      <xdr:sp macro="" textlink="">
        <xdr:nvSpPr>
          <xdr:cNvPr id="63" name="Rounded Rectangle 62">
            <a:extLst>
              <a:ext uri="{FF2B5EF4-FFF2-40B4-BE49-F238E27FC236}">
                <a16:creationId xmlns:a16="http://schemas.microsoft.com/office/drawing/2014/main" id="{927E8FF3-0DA3-8F4B-AA84-81FA9AAEC435}"/>
              </a:ext>
            </a:extLst>
          </xdr:cNvPr>
          <xdr:cNvSpPr/>
        </xdr:nvSpPr>
        <xdr:spPr>
          <a:xfrm>
            <a:off x="39805179" y="2135417"/>
            <a:ext cx="8785158" cy="1725383"/>
          </a:xfrm>
          <a:prstGeom prst="roundRect">
            <a:avLst/>
          </a:prstGeom>
          <a:solidFill>
            <a:srgbClr val="FF635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65" name="TextBox 64">
            <a:extLst>
              <a:ext uri="{FF2B5EF4-FFF2-40B4-BE49-F238E27FC236}">
                <a16:creationId xmlns:a16="http://schemas.microsoft.com/office/drawing/2014/main" id="{02C17B10-CA5E-E141-AB91-D96DBAA8CED9}"/>
              </a:ext>
            </a:extLst>
          </xdr:cNvPr>
          <xdr:cNvSpPr txBox="1"/>
        </xdr:nvSpPr>
        <xdr:spPr>
          <a:xfrm>
            <a:off x="40452159" y="2520250"/>
            <a:ext cx="3923220" cy="1134692"/>
          </a:xfrm>
          <a:prstGeom prst="rect">
            <a:avLst/>
          </a:prstGeom>
          <a:solidFill>
            <a:srgbClr val="FF635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800" b="1" baseline="0">
                <a:solidFill>
                  <a:schemeClr val="tx1"/>
                </a:solidFill>
                <a:latin typeface="+mn-lt"/>
                <a:ea typeface="+mn-ea"/>
                <a:cs typeface="+mn-cs"/>
              </a:rPr>
              <a:t>BELOW AVG REVIEW CT.</a:t>
            </a:r>
          </a:p>
          <a:p>
            <a:pPr marL="0" indent="0"/>
            <a:endParaRPr lang="en-US" sz="2800" b="1" baseline="0">
              <a:solidFill>
                <a:schemeClr val="tx1"/>
              </a:solidFill>
              <a:latin typeface="+mn-lt"/>
              <a:ea typeface="+mn-ea"/>
              <a:cs typeface="+mn-cs"/>
            </a:endParaRPr>
          </a:p>
        </xdr:txBody>
      </xdr:sp>
      <xdr:sp macro="" textlink="'g.nike.input'!E11">
        <xdr:nvSpPr>
          <xdr:cNvPr id="66" name="TextBox 65">
            <a:extLst>
              <a:ext uri="{FF2B5EF4-FFF2-40B4-BE49-F238E27FC236}">
                <a16:creationId xmlns:a16="http://schemas.microsoft.com/office/drawing/2014/main" id="{F1FD86C7-BC59-7944-8E7D-50AC85B93D60}"/>
              </a:ext>
            </a:extLst>
          </xdr:cNvPr>
          <xdr:cNvSpPr txBox="1"/>
        </xdr:nvSpPr>
        <xdr:spPr>
          <a:xfrm>
            <a:off x="44582571" y="2569641"/>
            <a:ext cx="2957636" cy="754513"/>
          </a:xfrm>
          <a:prstGeom prst="rect">
            <a:avLst/>
          </a:prstGeom>
          <a:solidFill>
            <a:srgbClr val="FF635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57C7288-0A06-E34D-86DE-C6479F42B267}" type="TxLink">
              <a:rPr lang="en-US" sz="4000" b="1" i="0" u="none" strike="noStrike" baseline="0">
                <a:solidFill>
                  <a:schemeClr val="tx1"/>
                </a:solidFill>
                <a:latin typeface="Aptos Narrow"/>
                <a:ea typeface="+mn-ea"/>
                <a:cs typeface="+mn-cs"/>
              </a:rPr>
              <a:pPr marL="0" indent="0" algn="ctr"/>
              <a:t>74%</a:t>
            </a:fld>
            <a:endParaRPr lang="en-US" sz="4000" b="1" i="0" u="none" strike="noStrike" baseline="0">
              <a:solidFill>
                <a:schemeClr val="tx1"/>
              </a:solidFill>
              <a:latin typeface="Aptos Narrow"/>
              <a:ea typeface="+mn-ea"/>
              <a:cs typeface="+mn-cs"/>
            </a:endParaRPr>
          </a:p>
        </xdr:txBody>
      </xdr:sp>
    </xdr:grpSp>
    <xdr:clientData/>
  </xdr:twoCellAnchor>
  <xdr:twoCellAnchor>
    <xdr:from>
      <xdr:col>19</xdr:col>
      <xdr:colOff>817655</xdr:colOff>
      <xdr:row>33</xdr:row>
      <xdr:rowOff>149819</xdr:rowOff>
    </xdr:from>
    <xdr:to>
      <xdr:col>25</xdr:col>
      <xdr:colOff>18925</xdr:colOff>
      <xdr:row>51</xdr:row>
      <xdr:rowOff>138953</xdr:rowOff>
    </xdr:to>
    <mc:AlternateContent xmlns:mc="http://schemas.openxmlformats.org/markup-compatibility/2006">
      <mc:Choice xmlns:cx1="http://schemas.microsoft.com/office/drawing/2015/9/8/chartex" Requires="cx1">
        <xdr:graphicFrame macro="">
          <xdr:nvGraphicFramePr>
            <xdr:cNvPr id="80" name="Chart 79">
              <a:extLst>
                <a:ext uri="{FF2B5EF4-FFF2-40B4-BE49-F238E27FC236}">
                  <a16:creationId xmlns:a16="http://schemas.microsoft.com/office/drawing/2014/main" id="{C5BA8629-541E-DE4C-AE99-6A7A100BBE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9"/>
            </a:graphicData>
          </a:graphic>
        </xdr:graphicFrame>
      </mc:Choice>
      <mc:Fallback>
        <xdr:sp macro="" textlink="">
          <xdr:nvSpPr>
            <xdr:cNvPr id="0" name=""/>
            <xdr:cNvSpPr>
              <a:spLocks noTextEdit="1"/>
            </xdr:cNvSpPr>
          </xdr:nvSpPr>
          <xdr:spPr>
            <a:xfrm>
              <a:off x="39082755" y="11935419"/>
              <a:ext cx="11126570" cy="43198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755651</xdr:colOff>
      <xdr:row>15</xdr:row>
      <xdr:rowOff>643467</xdr:rowOff>
    </xdr:from>
    <xdr:to>
      <xdr:col>22</xdr:col>
      <xdr:colOff>1117599</xdr:colOff>
      <xdr:row>33</xdr:row>
      <xdr:rowOff>53291</xdr:rowOff>
    </xdr:to>
    <xdr:grpSp>
      <xdr:nvGrpSpPr>
        <xdr:cNvPr id="22" name="Group 21">
          <a:extLst>
            <a:ext uri="{FF2B5EF4-FFF2-40B4-BE49-F238E27FC236}">
              <a16:creationId xmlns:a16="http://schemas.microsoft.com/office/drawing/2014/main" id="{35D39278-C9D1-824A-86B3-564A07E4DE1C}"/>
            </a:ext>
          </a:extLst>
        </xdr:cNvPr>
        <xdr:cNvGrpSpPr/>
      </xdr:nvGrpSpPr>
      <xdr:grpSpPr>
        <a:xfrm>
          <a:off x="38967055" y="6124520"/>
          <a:ext cx="6756509" cy="6027192"/>
          <a:chOff x="38639751" y="5075427"/>
          <a:chExt cx="6762748" cy="5880815"/>
        </a:xfrm>
      </xdr:grpSpPr>
      <xdr:grpSp>
        <xdr:nvGrpSpPr>
          <xdr:cNvPr id="82" name="Group 81">
            <a:extLst>
              <a:ext uri="{FF2B5EF4-FFF2-40B4-BE49-F238E27FC236}">
                <a16:creationId xmlns:a16="http://schemas.microsoft.com/office/drawing/2014/main" id="{F0493DF7-9937-F775-90C2-BB4DB94DE0B7}"/>
              </a:ext>
            </a:extLst>
          </xdr:cNvPr>
          <xdr:cNvGrpSpPr/>
        </xdr:nvGrpSpPr>
        <xdr:grpSpPr>
          <a:xfrm>
            <a:off x="38639751" y="5075427"/>
            <a:ext cx="6762748" cy="5880815"/>
            <a:chOff x="32078708" y="5452792"/>
            <a:chExt cx="4732010" cy="6352765"/>
          </a:xfrm>
        </xdr:grpSpPr>
        <xdr:pic>
          <xdr:nvPicPr>
            <xdr:cNvPr id="73" name="Graphic 72" descr="Bookmark with solid fill">
              <a:extLst>
                <a:ext uri="{FF2B5EF4-FFF2-40B4-BE49-F238E27FC236}">
                  <a16:creationId xmlns:a16="http://schemas.microsoft.com/office/drawing/2014/main" id="{643A960E-5991-9FFA-AB47-EF7B7FC2D339}"/>
                </a:ext>
              </a:extLst>
            </xdr:cNvPr>
            <xdr:cNvPicPr>
              <a:picLocks noChangeAspect="1"/>
            </xdr:cNvPicPr>
          </xdr:nvPicPr>
          <xdr:blipFill>
            <a:blip xmlns:r="http://schemas.openxmlformats.org/officeDocument/2006/relationships" r:embed="rId30">
              <a:extLst>
                <a:ext uri="{96DAC541-7B7A-43D3-8B79-37D633B846F1}">
                  <asvg:svgBlip xmlns:asvg="http://schemas.microsoft.com/office/drawing/2016/SVG/main" r:embed="rId31"/>
                </a:ext>
              </a:extLst>
            </a:blip>
            <a:stretch>
              <a:fillRect/>
            </a:stretch>
          </xdr:blipFill>
          <xdr:spPr>
            <a:xfrm>
              <a:off x="32078708" y="5452792"/>
              <a:ext cx="4732010" cy="6352765"/>
            </a:xfrm>
            <a:prstGeom prst="rect">
              <a:avLst/>
            </a:prstGeom>
            <a:effectLst>
              <a:outerShdw blurRad="203650" dist="50800" dir="5400000" sx="104964" sy="104964" algn="ctr" rotWithShape="0">
                <a:srgbClr val="000000">
                  <a:alpha val="43137"/>
                </a:srgbClr>
              </a:outerShdw>
            </a:effectLst>
          </xdr:spPr>
        </xdr:pic>
        <xdr:sp macro="" textlink="">
          <xdr:nvSpPr>
            <xdr:cNvPr id="76" name="TextBox 75">
              <a:extLst>
                <a:ext uri="{FF2B5EF4-FFF2-40B4-BE49-F238E27FC236}">
                  <a16:creationId xmlns:a16="http://schemas.microsoft.com/office/drawing/2014/main" id="{D430FC42-A9BA-0D14-6648-9DBC0479983E}"/>
                </a:ext>
              </a:extLst>
            </xdr:cNvPr>
            <xdr:cNvSpPr txBox="1"/>
          </xdr:nvSpPr>
          <xdr:spPr>
            <a:xfrm>
              <a:off x="33646465" y="6325345"/>
              <a:ext cx="1560286" cy="9418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TOP </a:t>
              </a:r>
            </a:p>
            <a:p>
              <a:pPr algn="ctr"/>
              <a:r>
                <a:rPr lang="en-US" sz="2400" b="1"/>
                <a:t>SHOE</a:t>
              </a:r>
            </a:p>
          </xdr:txBody>
        </xdr:sp>
        <xdr:sp macro="" textlink="'g.nike.input'!D89">
          <xdr:nvSpPr>
            <xdr:cNvPr id="77" name="TextBox 76">
              <a:extLst>
                <a:ext uri="{FF2B5EF4-FFF2-40B4-BE49-F238E27FC236}">
                  <a16:creationId xmlns:a16="http://schemas.microsoft.com/office/drawing/2014/main" id="{B05A86DA-7599-A983-3906-949719E955D9}"/>
                </a:ext>
              </a:extLst>
            </xdr:cNvPr>
            <xdr:cNvSpPr txBox="1"/>
          </xdr:nvSpPr>
          <xdr:spPr>
            <a:xfrm>
              <a:off x="33458145" y="7959905"/>
              <a:ext cx="1955359" cy="13113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42AD00A-A113-B246-8B59-9C571BA54BC6}" type="TxLink">
                <a:rPr lang="en-US" sz="2800" b="1" i="0" u="none" strike="noStrike">
                  <a:solidFill>
                    <a:srgbClr val="000000"/>
                  </a:solidFill>
                  <a:latin typeface="Aptos Narrow"/>
                </a:rPr>
                <a:pPr algn="ctr"/>
                <a:t>Air Jordan 10 Retro</a:t>
              </a:fld>
              <a:endParaRPr lang="en-US" sz="2800" b="1"/>
            </a:p>
          </xdr:txBody>
        </xdr:sp>
        <xdr:sp macro="" textlink="'g.nike.input'!N5">
          <xdr:nvSpPr>
            <xdr:cNvPr id="78" name="TextBox 77">
              <a:extLst>
                <a:ext uri="{FF2B5EF4-FFF2-40B4-BE49-F238E27FC236}">
                  <a16:creationId xmlns:a16="http://schemas.microsoft.com/office/drawing/2014/main" id="{94592B42-4093-6BA8-1E9E-20F59C145CCF}"/>
                </a:ext>
              </a:extLst>
            </xdr:cNvPr>
            <xdr:cNvSpPr txBox="1"/>
          </xdr:nvSpPr>
          <xdr:spPr>
            <a:xfrm>
              <a:off x="33594504" y="7529316"/>
              <a:ext cx="1687891" cy="3812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81CCADE-7FE8-FE48-A5D5-746B581EE2F6}" type="TxLink">
                <a:rPr lang="en-US" sz="2000" b="1" i="0" u="none" strike="noStrike">
                  <a:solidFill>
                    <a:schemeClr val="accent6">
                      <a:lumMod val="75000"/>
                    </a:schemeClr>
                  </a:solidFill>
                  <a:latin typeface="Aptos Narrow"/>
                </a:rPr>
                <a:pPr algn="ctr"/>
                <a:t>223</a:t>
              </a:fld>
              <a:r>
                <a:rPr lang="en-US" sz="2000" b="1" i="0" u="none" strike="noStrike">
                  <a:solidFill>
                    <a:schemeClr val="accent6">
                      <a:lumMod val="75000"/>
                    </a:schemeClr>
                  </a:solidFill>
                  <a:latin typeface="Aptos Narrow"/>
                </a:rPr>
                <a:t> REVIEWS</a:t>
              </a:r>
              <a:endParaRPr lang="en-US" sz="2000">
                <a:solidFill>
                  <a:schemeClr val="accent6">
                    <a:lumMod val="75000"/>
                  </a:schemeClr>
                </a:solidFill>
              </a:endParaRPr>
            </a:p>
          </xdr:txBody>
        </xdr:sp>
        <xdr:sp macro="" textlink="'g.nike.input'!C89">
          <xdr:nvSpPr>
            <xdr:cNvPr id="79" name="TextBox 78">
              <a:extLst>
                <a:ext uri="{FF2B5EF4-FFF2-40B4-BE49-F238E27FC236}">
                  <a16:creationId xmlns:a16="http://schemas.microsoft.com/office/drawing/2014/main" id="{35F4695E-885D-475C-54D2-B10992173045}"/>
                </a:ext>
              </a:extLst>
            </xdr:cNvPr>
            <xdr:cNvSpPr txBox="1"/>
          </xdr:nvSpPr>
          <xdr:spPr>
            <a:xfrm>
              <a:off x="33506868" y="7133529"/>
              <a:ext cx="1807791" cy="3031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i="0" u="none" strike="noStrike">
                  <a:solidFill>
                    <a:srgbClr val="000000"/>
                  </a:solidFill>
                  <a:latin typeface="Aptos Narrow"/>
                </a:rPr>
                <a:t>Product ID </a:t>
              </a:r>
              <a:fld id="{6675FDC1-4FD1-6C47-BDAF-071FA217CDEB}" type="TxLink">
                <a:rPr lang="en-US" sz="1400" b="1" i="0" u="none" strike="noStrike">
                  <a:solidFill>
                    <a:srgbClr val="000000"/>
                  </a:solidFill>
                  <a:latin typeface="Aptos Narrow"/>
                </a:rPr>
                <a:pPr algn="ctr"/>
                <a:t>310805-137</a:t>
              </a:fld>
              <a:endParaRPr lang="en-US" sz="1400" b="1"/>
            </a:p>
          </xdr:txBody>
        </xdr:sp>
      </xdr:grpSp>
      <xdr:pic>
        <xdr:nvPicPr>
          <xdr:cNvPr id="75" name="Graphic 74" descr="Badge New with solid fill">
            <a:extLst>
              <a:ext uri="{FF2B5EF4-FFF2-40B4-BE49-F238E27FC236}">
                <a16:creationId xmlns:a16="http://schemas.microsoft.com/office/drawing/2014/main" id="{887894CB-C384-7218-F6F1-88A512D125FF}"/>
              </a:ext>
            </a:extLst>
          </xdr:cNvPr>
          <xdr:cNvPicPr>
            <a:picLocks noChangeAspect="1"/>
          </xdr:cNvPicPr>
        </xdr:nvPicPr>
        <xdr:blipFill>
          <a:blip xmlns:r="http://schemas.openxmlformats.org/officeDocument/2006/relationships" r:embed="rId32">
            <a:extLst>
              <a:ext uri="{96DAC541-7B7A-43D3-8B79-37D633B846F1}">
                <asvg:svgBlip xmlns:asvg="http://schemas.microsoft.com/office/drawing/2016/SVG/main" r:embed="rId33"/>
              </a:ext>
            </a:extLst>
          </a:blip>
          <a:stretch>
            <a:fillRect/>
          </a:stretch>
        </xdr:blipFill>
        <xdr:spPr>
          <a:xfrm>
            <a:off x="41415027" y="8190356"/>
            <a:ext cx="1194813" cy="1110993"/>
          </a:xfrm>
          <a:prstGeom prst="rect">
            <a:avLst/>
          </a:prstGeom>
        </xdr:spPr>
      </xdr:pic>
    </xdr:grpSp>
    <xdr:clientData/>
  </xdr:twoCellAnchor>
  <xdr:twoCellAnchor>
    <xdr:from>
      <xdr:col>21</xdr:col>
      <xdr:colOff>3435350</xdr:colOff>
      <xdr:row>15</xdr:row>
      <xdr:rowOff>599990</xdr:rowOff>
    </xdr:from>
    <xdr:to>
      <xdr:col>25</xdr:col>
      <xdr:colOff>24218</xdr:colOff>
      <xdr:row>33</xdr:row>
      <xdr:rowOff>51731</xdr:rowOff>
    </xdr:to>
    <xdr:grpSp>
      <xdr:nvGrpSpPr>
        <xdr:cNvPr id="10" name="Group 9">
          <a:extLst>
            <a:ext uri="{FF2B5EF4-FFF2-40B4-BE49-F238E27FC236}">
              <a16:creationId xmlns:a16="http://schemas.microsoft.com/office/drawing/2014/main" id="{2599BB13-0603-C89C-A125-22203875A0DF}"/>
            </a:ext>
          </a:extLst>
        </xdr:cNvPr>
        <xdr:cNvGrpSpPr/>
      </xdr:nvGrpSpPr>
      <xdr:grpSpPr>
        <a:xfrm>
          <a:off x="43295525" y="6081043"/>
          <a:ext cx="6860272" cy="6069109"/>
          <a:chOff x="37174672" y="5117451"/>
          <a:chExt cx="10540917" cy="6415378"/>
        </a:xfrm>
      </xdr:grpSpPr>
      <xdr:grpSp>
        <xdr:nvGrpSpPr>
          <xdr:cNvPr id="83" name="Group 82">
            <a:extLst>
              <a:ext uri="{FF2B5EF4-FFF2-40B4-BE49-F238E27FC236}">
                <a16:creationId xmlns:a16="http://schemas.microsoft.com/office/drawing/2014/main" id="{4CED4C0E-8E51-6D44-911F-F48F3B754D03}"/>
              </a:ext>
            </a:extLst>
          </xdr:cNvPr>
          <xdr:cNvGrpSpPr/>
        </xdr:nvGrpSpPr>
        <xdr:grpSpPr>
          <a:xfrm>
            <a:off x="37174672" y="5117451"/>
            <a:ext cx="10540917" cy="6415378"/>
            <a:chOff x="31073544" y="5402456"/>
            <a:chExt cx="7829914" cy="6403101"/>
          </a:xfrm>
        </xdr:grpSpPr>
        <xdr:pic>
          <xdr:nvPicPr>
            <xdr:cNvPr id="84" name="Graphic 83" descr="Bookmark with solid fill">
              <a:extLst>
                <a:ext uri="{FF2B5EF4-FFF2-40B4-BE49-F238E27FC236}">
                  <a16:creationId xmlns:a16="http://schemas.microsoft.com/office/drawing/2014/main" id="{E0027BBD-8A91-9B09-8CCE-92AA6F15CE68}"/>
                </a:ext>
              </a:extLst>
            </xdr:cNvPr>
            <xdr:cNvPicPr>
              <a:picLocks noChangeAspect="1"/>
            </xdr:cNvPicPr>
          </xdr:nvPicPr>
          <xdr:blipFill>
            <a:blip xmlns:r="http://schemas.openxmlformats.org/officeDocument/2006/relationships" r:embed="rId30">
              <a:extLst>
                <a:ext uri="{96DAC541-7B7A-43D3-8B79-37D633B846F1}">
                  <asvg:svgBlip xmlns:asvg="http://schemas.microsoft.com/office/drawing/2016/SVG/main" r:embed="rId31"/>
                </a:ext>
              </a:extLst>
            </a:blip>
            <a:stretch>
              <a:fillRect/>
            </a:stretch>
          </xdr:blipFill>
          <xdr:spPr>
            <a:xfrm>
              <a:off x="31073544" y="5402456"/>
              <a:ext cx="7829914" cy="6403101"/>
            </a:xfrm>
            <a:prstGeom prst="rect">
              <a:avLst/>
            </a:prstGeom>
            <a:effectLst>
              <a:outerShdw blurRad="203650" dist="50800" dir="5400000" sx="104964" sy="104964" algn="ctr" rotWithShape="0">
                <a:srgbClr val="000000">
                  <a:alpha val="43137"/>
                </a:srgbClr>
              </a:outerShdw>
            </a:effectLst>
          </xdr:spPr>
        </xdr:pic>
        <xdr:sp macro="" textlink="">
          <xdr:nvSpPr>
            <xdr:cNvPr id="85" name="TextBox 84">
              <a:extLst>
                <a:ext uri="{FF2B5EF4-FFF2-40B4-BE49-F238E27FC236}">
                  <a16:creationId xmlns:a16="http://schemas.microsoft.com/office/drawing/2014/main" id="{B2CAA70B-58CA-FAF4-DF14-949950BEEDFE}"/>
                </a:ext>
              </a:extLst>
            </xdr:cNvPr>
            <xdr:cNvSpPr txBox="1"/>
          </xdr:nvSpPr>
          <xdr:spPr>
            <a:xfrm>
              <a:off x="34210798" y="6469647"/>
              <a:ext cx="1560286" cy="921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MOST</a:t>
              </a:r>
              <a:br>
                <a:rPr lang="en-US" sz="2400" b="1"/>
              </a:br>
              <a:r>
                <a:rPr lang="en-US" sz="2400" b="1"/>
                <a:t>VIEWED</a:t>
              </a:r>
            </a:p>
          </xdr:txBody>
        </xdr:sp>
        <xdr:sp macro="" textlink="'g.nike.input'!C92">
          <xdr:nvSpPr>
            <xdr:cNvPr id="86" name="TextBox 85">
              <a:extLst>
                <a:ext uri="{FF2B5EF4-FFF2-40B4-BE49-F238E27FC236}">
                  <a16:creationId xmlns:a16="http://schemas.microsoft.com/office/drawing/2014/main" id="{099620B5-221E-450F-0996-135F46091607}"/>
                </a:ext>
              </a:extLst>
            </xdr:cNvPr>
            <xdr:cNvSpPr txBox="1"/>
          </xdr:nvSpPr>
          <xdr:spPr>
            <a:xfrm>
              <a:off x="34196473" y="8185591"/>
              <a:ext cx="1651000" cy="11040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5CC44A8-3AD5-2649-B12A-E831564895EA}" type="TxLink">
                <a:rPr lang="en-US" sz="2800" b="1" i="0" u="none" strike="noStrike">
                  <a:solidFill>
                    <a:srgbClr val="000000"/>
                  </a:solidFill>
                  <a:latin typeface="Aptos Narrow"/>
                </a:rPr>
                <a:pPr algn="ctr"/>
                <a:t>Nike Air Max 90</a:t>
              </a:fld>
              <a:endParaRPr lang="en-US" sz="2800" b="1"/>
            </a:p>
          </xdr:txBody>
        </xdr:sp>
        <xdr:sp macro="" textlink="'g.nike.input'!L14">
          <xdr:nvSpPr>
            <xdr:cNvPr id="87" name="TextBox 86">
              <a:extLst>
                <a:ext uri="{FF2B5EF4-FFF2-40B4-BE49-F238E27FC236}">
                  <a16:creationId xmlns:a16="http://schemas.microsoft.com/office/drawing/2014/main" id="{881AF147-2EC3-4EF1-AC81-34EF5E0DE046}"/>
                </a:ext>
              </a:extLst>
            </xdr:cNvPr>
            <xdr:cNvSpPr txBox="1"/>
          </xdr:nvSpPr>
          <xdr:spPr>
            <a:xfrm>
              <a:off x="34630919" y="7731452"/>
              <a:ext cx="745028" cy="3373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81F18A6-5012-4A4A-9558-E52670D8E33D}" type="TxLink">
                <a:rPr lang="en-US" sz="2400" b="1" i="0" u="none" strike="noStrike">
                  <a:solidFill>
                    <a:schemeClr val="accent2">
                      <a:lumMod val="75000"/>
                    </a:schemeClr>
                  </a:solidFill>
                  <a:latin typeface="Aptos Narrow"/>
                </a:rPr>
                <a:pPr algn="ctr"/>
                <a:t>14</a:t>
              </a:fld>
              <a:r>
                <a:rPr lang="en-US" sz="2400" b="1" i="0" u="none" strike="noStrike">
                  <a:solidFill>
                    <a:schemeClr val="accent2">
                      <a:lumMod val="75000"/>
                    </a:schemeClr>
                  </a:solidFill>
                  <a:latin typeface="Aptos Narrow"/>
                </a:rPr>
                <a:t> VIEWS</a:t>
              </a:r>
              <a:endParaRPr lang="en-US" sz="2400">
                <a:solidFill>
                  <a:schemeClr val="accent2">
                    <a:lumMod val="75000"/>
                  </a:schemeClr>
                </a:solidFill>
              </a:endParaRPr>
            </a:p>
          </xdr:txBody>
        </xdr:sp>
        <xdr:sp macro="" textlink="'g.nike.input'!C89">
          <xdr:nvSpPr>
            <xdr:cNvPr id="88" name="TextBox 87">
              <a:extLst>
                <a:ext uri="{FF2B5EF4-FFF2-40B4-BE49-F238E27FC236}">
                  <a16:creationId xmlns:a16="http://schemas.microsoft.com/office/drawing/2014/main" id="{575CD2E4-0CC7-CE03-6E17-D52B544A7AAF}"/>
                </a:ext>
              </a:extLst>
            </xdr:cNvPr>
            <xdr:cNvSpPr txBox="1"/>
          </xdr:nvSpPr>
          <xdr:spPr>
            <a:xfrm>
              <a:off x="34124318" y="7313254"/>
              <a:ext cx="1807791" cy="4238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i="0" u="none" strike="noStrike">
                  <a:solidFill>
                    <a:srgbClr val="000000"/>
                  </a:solidFill>
                  <a:latin typeface="Aptos Narrow"/>
                </a:rPr>
                <a:t>Product ID </a:t>
              </a:r>
              <a:fld id="{6675FDC1-4FD1-6C47-BDAF-071FA217CDEB}" type="TxLink">
                <a:rPr lang="en-US" sz="1400" b="1" i="0" u="none" strike="noStrike">
                  <a:solidFill>
                    <a:srgbClr val="000000"/>
                  </a:solidFill>
                  <a:latin typeface="Aptos Narrow"/>
                </a:rPr>
                <a:pPr algn="ctr"/>
                <a:t>310805-137</a:t>
              </a:fld>
              <a:endParaRPr lang="en-US" sz="1400" b="1"/>
            </a:p>
          </xdr:txBody>
        </xdr:sp>
      </xdr:grpSp>
      <xdr:pic>
        <xdr:nvPicPr>
          <xdr:cNvPr id="9" name="Graphic 8" descr="Eyes with solid fill">
            <a:extLst>
              <a:ext uri="{FF2B5EF4-FFF2-40B4-BE49-F238E27FC236}">
                <a16:creationId xmlns:a16="http://schemas.microsoft.com/office/drawing/2014/main" id="{656F9D8D-4F34-21B6-E945-CC445D860F0B}"/>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41790721" y="8446573"/>
            <a:ext cx="1405105" cy="1405106"/>
          </a:xfrm>
          <a:prstGeom prst="rect">
            <a:avLst/>
          </a:prstGeom>
        </xdr:spPr>
      </xdr:pic>
    </xdr:grpSp>
    <xdr:clientData/>
  </xdr:twoCellAnchor>
  <xdr:twoCellAnchor editAs="oneCell">
    <xdr:from>
      <xdr:col>19</xdr:col>
      <xdr:colOff>810233</xdr:colOff>
      <xdr:row>51</xdr:row>
      <xdr:rowOff>163286</xdr:rowOff>
    </xdr:from>
    <xdr:to>
      <xdr:col>25</xdr:col>
      <xdr:colOff>121702</xdr:colOff>
      <xdr:row>54</xdr:row>
      <xdr:rowOff>25399</xdr:rowOff>
    </xdr:to>
    <mc:AlternateContent xmlns:mc="http://schemas.openxmlformats.org/markup-compatibility/2006" xmlns:a14="http://schemas.microsoft.com/office/drawing/2010/main">
      <mc:Choice Requires="a14">
        <xdr:graphicFrame macro="">
          <xdr:nvGraphicFramePr>
            <xdr:cNvPr id="24" name="Rate_Group 1">
              <a:extLst>
                <a:ext uri="{FF2B5EF4-FFF2-40B4-BE49-F238E27FC236}">
                  <a16:creationId xmlns:a16="http://schemas.microsoft.com/office/drawing/2014/main" id="{0175350B-880F-7091-21ED-40267AFC5A63}"/>
                </a:ext>
              </a:extLst>
            </xdr:cNvPr>
            <xdr:cNvGraphicFramePr/>
          </xdr:nvGraphicFramePr>
          <xdr:xfrm>
            <a:off x="0" y="0"/>
            <a:ext cx="0" cy="0"/>
          </xdr:xfrm>
          <a:graphic>
            <a:graphicData uri="http://schemas.microsoft.com/office/drawing/2010/slicer">
              <sle:slicer xmlns:sle="http://schemas.microsoft.com/office/drawing/2010/slicer" name="Rate_Group 1"/>
            </a:graphicData>
          </a:graphic>
        </xdr:graphicFrame>
      </mc:Choice>
      <mc:Fallback xmlns="">
        <xdr:sp macro="" textlink="">
          <xdr:nvSpPr>
            <xdr:cNvPr id="0" name=""/>
            <xdr:cNvSpPr>
              <a:spLocks noTextEdit="1"/>
            </xdr:cNvSpPr>
          </xdr:nvSpPr>
          <xdr:spPr>
            <a:xfrm>
              <a:off x="39075333" y="16279586"/>
              <a:ext cx="11261170" cy="10051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786190</xdr:colOff>
      <xdr:row>15</xdr:row>
      <xdr:rowOff>781539</xdr:rowOff>
    </xdr:from>
    <xdr:to>
      <xdr:col>19</xdr:col>
      <xdr:colOff>120952</xdr:colOff>
      <xdr:row>51</xdr:row>
      <xdr:rowOff>31750</xdr:rowOff>
    </xdr:to>
    <xdr:graphicFrame macro="">
      <xdr:nvGraphicFramePr>
        <xdr:cNvPr id="25" name="Chart 24">
          <a:extLst>
            <a:ext uri="{FF2B5EF4-FFF2-40B4-BE49-F238E27FC236}">
              <a16:creationId xmlns:a16="http://schemas.microsoft.com/office/drawing/2014/main" id="{8C108510-3197-3101-7FBD-DA6CE4CF13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4</xdr:col>
      <xdr:colOff>189745</xdr:colOff>
      <xdr:row>16</xdr:row>
      <xdr:rowOff>762000</xdr:rowOff>
    </xdr:from>
    <xdr:to>
      <xdr:col>8</xdr:col>
      <xdr:colOff>508000</xdr:colOff>
      <xdr:row>46</xdr:row>
      <xdr:rowOff>50800</xdr:rowOff>
    </xdr:to>
    <xdr:graphicFrame macro="">
      <xdr:nvGraphicFramePr>
        <xdr:cNvPr id="26" name="Chart 25">
          <a:extLst>
            <a:ext uri="{FF2B5EF4-FFF2-40B4-BE49-F238E27FC236}">
              <a16:creationId xmlns:a16="http://schemas.microsoft.com/office/drawing/2014/main" id="{5A350FEF-01B7-62BF-CB50-5FE846C363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881944</xdr:colOff>
      <xdr:row>10</xdr:row>
      <xdr:rowOff>77037</xdr:rowOff>
    </xdr:from>
    <xdr:to>
      <xdr:col>7</xdr:col>
      <xdr:colOff>1446389</xdr:colOff>
      <xdr:row>12</xdr:row>
      <xdr:rowOff>211666</xdr:rowOff>
    </xdr:to>
    <xdr:sp macro="" textlink="">
      <xdr:nvSpPr>
        <xdr:cNvPr id="4" name="Rounded Rectangle 3">
          <a:extLst>
            <a:ext uri="{FF2B5EF4-FFF2-40B4-BE49-F238E27FC236}">
              <a16:creationId xmlns:a16="http://schemas.microsoft.com/office/drawing/2014/main" id="{427D2A73-F67B-D2B3-B623-546781F26CB1}"/>
            </a:ext>
          </a:extLst>
        </xdr:cNvPr>
        <xdr:cNvSpPr/>
      </xdr:nvSpPr>
      <xdr:spPr>
        <a:xfrm>
          <a:off x="4127500" y="2899259"/>
          <a:ext cx="3845278" cy="1757407"/>
        </a:xfrm>
        <a:prstGeom prst="round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1707662</xdr:colOff>
      <xdr:row>10</xdr:row>
      <xdr:rowOff>406400</xdr:rowOff>
    </xdr:from>
    <xdr:to>
      <xdr:col>7</xdr:col>
      <xdr:colOff>799630</xdr:colOff>
      <xdr:row>10</xdr:row>
      <xdr:rowOff>939800</xdr:rowOff>
    </xdr:to>
    <xdr:sp macro="" textlink="">
      <xdr:nvSpPr>
        <xdr:cNvPr id="23" name="TextBox 22">
          <a:extLst>
            <a:ext uri="{FF2B5EF4-FFF2-40B4-BE49-F238E27FC236}">
              <a16:creationId xmlns:a16="http://schemas.microsoft.com/office/drawing/2014/main" id="{DBDBE957-F516-1D06-6D2B-F6B3834FC29F}"/>
            </a:ext>
          </a:extLst>
        </xdr:cNvPr>
        <xdr:cNvSpPr txBox="1"/>
      </xdr:nvSpPr>
      <xdr:spPr>
        <a:xfrm>
          <a:off x="4964977" y="3604919"/>
          <a:ext cx="2831412" cy="533400"/>
        </a:xfrm>
        <a:prstGeom prst="rect">
          <a:avLst/>
        </a:prstGeom>
        <a:solidFill>
          <a:schemeClr val="tx2">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1"/>
              </a:solidFill>
            </a:rPr>
            <a:t>AVG </a:t>
          </a:r>
          <a:r>
            <a:rPr lang="en-US" sz="2800" b="1" baseline="0">
              <a:solidFill>
                <a:schemeClr val="bg1"/>
              </a:solidFill>
            </a:rPr>
            <a:t>SALE PRICE</a:t>
          </a:r>
        </a:p>
        <a:p>
          <a:endParaRPr lang="en-US" sz="1100"/>
        </a:p>
      </xdr:txBody>
    </xdr:sp>
    <xdr:clientData/>
  </xdr:twoCellAnchor>
  <xdr:twoCellAnchor>
    <xdr:from>
      <xdr:col>5</xdr:col>
      <xdr:colOff>2135908</xdr:colOff>
      <xdr:row>11</xdr:row>
      <xdr:rowOff>61769</xdr:rowOff>
    </xdr:from>
    <xdr:to>
      <xdr:col>7</xdr:col>
      <xdr:colOff>168563</xdr:colOff>
      <xdr:row>11</xdr:row>
      <xdr:rowOff>595169</xdr:rowOff>
    </xdr:to>
    <xdr:sp macro="" textlink="'g.nike.input'!J23">
      <xdr:nvSpPr>
        <xdr:cNvPr id="24" name="TextBox 23">
          <a:extLst>
            <a:ext uri="{FF2B5EF4-FFF2-40B4-BE49-F238E27FC236}">
              <a16:creationId xmlns:a16="http://schemas.microsoft.com/office/drawing/2014/main" id="{32FDF1DD-E1AA-2349-B29A-9A121159550A}"/>
            </a:ext>
          </a:extLst>
        </xdr:cNvPr>
        <xdr:cNvSpPr txBox="1"/>
      </xdr:nvSpPr>
      <xdr:spPr>
        <a:xfrm>
          <a:off x="5397499" y="4261428"/>
          <a:ext cx="1770496" cy="533400"/>
        </a:xfrm>
        <a:prstGeom prst="rect">
          <a:avLst/>
        </a:prstGeom>
        <a:solidFill>
          <a:schemeClr val="tx2">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E354C8-EF9E-864B-B5E6-54700B6E7E30}" type="TxLink">
            <a:rPr lang="en-US" sz="4000" b="1" i="0" u="none" strike="noStrike" baseline="0">
              <a:solidFill>
                <a:schemeClr val="bg1"/>
              </a:solidFill>
              <a:latin typeface="Aptos Narrow"/>
            </a:rPr>
            <a:pPr algn="ctr"/>
            <a:t>$84.50</a:t>
          </a:fld>
          <a:endParaRPr lang="en-US" sz="4000">
            <a:solidFill>
              <a:schemeClr val="bg1"/>
            </a:solidFill>
          </a:endParaRPr>
        </a:p>
      </xdr:txBody>
    </xdr:sp>
    <xdr:clientData/>
  </xdr:twoCellAnchor>
  <xdr:twoCellAnchor>
    <xdr:from>
      <xdr:col>5</xdr:col>
      <xdr:colOff>817966</xdr:colOff>
      <xdr:row>13</xdr:row>
      <xdr:rowOff>294682</xdr:rowOff>
    </xdr:from>
    <xdr:to>
      <xdr:col>7</xdr:col>
      <xdr:colOff>1382411</xdr:colOff>
      <xdr:row>16</xdr:row>
      <xdr:rowOff>300158</xdr:rowOff>
    </xdr:to>
    <xdr:sp macro="" textlink="">
      <xdr:nvSpPr>
        <xdr:cNvPr id="25" name="Rounded Rectangle 24">
          <a:extLst>
            <a:ext uri="{FF2B5EF4-FFF2-40B4-BE49-F238E27FC236}">
              <a16:creationId xmlns:a16="http://schemas.microsoft.com/office/drawing/2014/main" id="{4CC345B2-CC5D-D44F-B76B-133C3E23DAEB}"/>
            </a:ext>
          </a:extLst>
        </xdr:cNvPr>
        <xdr:cNvSpPr/>
      </xdr:nvSpPr>
      <xdr:spPr>
        <a:xfrm>
          <a:off x="4068305" y="5439258"/>
          <a:ext cx="4288343" cy="1770561"/>
        </a:xfrm>
        <a:prstGeom prst="round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1155222</xdr:colOff>
      <xdr:row>14</xdr:row>
      <xdr:rowOff>85909</xdr:rowOff>
    </xdr:from>
    <xdr:to>
      <xdr:col>7</xdr:col>
      <xdr:colOff>1053622</xdr:colOff>
      <xdr:row>15</xdr:row>
      <xdr:rowOff>188801</xdr:rowOff>
    </xdr:to>
    <xdr:sp macro="" textlink="">
      <xdr:nvSpPr>
        <xdr:cNvPr id="26" name="TextBox 25">
          <a:extLst>
            <a:ext uri="{FF2B5EF4-FFF2-40B4-BE49-F238E27FC236}">
              <a16:creationId xmlns:a16="http://schemas.microsoft.com/office/drawing/2014/main" id="{67A629FA-A91E-1542-9A5C-65866CB4FDBB}"/>
            </a:ext>
          </a:extLst>
        </xdr:cNvPr>
        <xdr:cNvSpPr txBox="1"/>
      </xdr:nvSpPr>
      <xdr:spPr>
        <a:xfrm>
          <a:off x="4405561" y="5768621"/>
          <a:ext cx="3622298" cy="533400"/>
        </a:xfrm>
        <a:prstGeom prst="rect">
          <a:avLst/>
        </a:prstGeom>
        <a:solidFill>
          <a:schemeClr val="tx2">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bg1"/>
              </a:solidFill>
            </a:rPr>
            <a:t>AVG</a:t>
          </a:r>
          <a:r>
            <a:rPr lang="en-US" sz="2800" b="1" baseline="0">
              <a:solidFill>
                <a:schemeClr val="bg1"/>
              </a:solidFill>
            </a:rPr>
            <a:t> VIEW COUNT</a:t>
          </a:r>
        </a:p>
        <a:p>
          <a:endParaRPr lang="en-US" sz="1100"/>
        </a:p>
      </xdr:txBody>
    </xdr:sp>
    <xdr:clientData/>
  </xdr:twoCellAnchor>
  <xdr:twoCellAnchor>
    <xdr:from>
      <xdr:col>5</xdr:col>
      <xdr:colOff>2071930</xdr:colOff>
      <xdr:row>15</xdr:row>
      <xdr:rowOff>300940</xdr:rowOff>
    </xdr:from>
    <xdr:to>
      <xdr:col>7</xdr:col>
      <xdr:colOff>104585</xdr:colOff>
      <xdr:row>16</xdr:row>
      <xdr:rowOff>37899</xdr:rowOff>
    </xdr:to>
    <xdr:sp macro="" textlink="'g.nike.input'!J14">
      <xdr:nvSpPr>
        <xdr:cNvPr id="27" name="TextBox 26">
          <a:extLst>
            <a:ext uri="{FF2B5EF4-FFF2-40B4-BE49-F238E27FC236}">
              <a16:creationId xmlns:a16="http://schemas.microsoft.com/office/drawing/2014/main" id="{D2A3457B-D127-E04C-98B7-07D2CC856EF7}"/>
            </a:ext>
          </a:extLst>
        </xdr:cNvPr>
        <xdr:cNvSpPr txBox="1"/>
      </xdr:nvSpPr>
      <xdr:spPr>
        <a:xfrm>
          <a:off x="5322269" y="6414160"/>
          <a:ext cx="1756553" cy="533400"/>
        </a:xfrm>
        <a:prstGeom prst="rect">
          <a:avLst/>
        </a:prstGeom>
        <a:solidFill>
          <a:schemeClr val="tx2">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A52C84E-F51F-5445-B36C-99565F497350}" type="TxLink">
            <a:rPr lang="en-US" sz="4000" b="1" i="0" u="none" strike="noStrike" baseline="0">
              <a:solidFill>
                <a:schemeClr val="bg1"/>
              </a:solidFill>
              <a:latin typeface="Aptos Narrow"/>
            </a:rPr>
            <a:pPr algn="ctr"/>
            <a:t>1</a:t>
          </a:fld>
          <a:endParaRPr lang="en-US" sz="4000">
            <a:solidFill>
              <a:schemeClr val="bg1"/>
            </a:solidFill>
          </a:endParaRPr>
        </a:p>
      </xdr:txBody>
    </xdr:sp>
    <xdr:clientData/>
  </xdr:twoCellAnchor>
  <xdr:twoCellAnchor>
    <xdr:from>
      <xdr:col>13</xdr:col>
      <xdr:colOff>839492</xdr:colOff>
      <xdr:row>10</xdr:row>
      <xdr:rowOff>21526</xdr:rowOff>
    </xdr:from>
    <xdr:to>
      <xdr:col>15</xdr:col>
      <xdr:colOff>1554615</xdr:colOff>
      <xdr:row>12</xdr:row>
      <xdr:rowOff>156155</xdr:rowOff>
    </xdr:to>
    <xdr:sp macro="" textlink="">
      <xdr:nvSpPr>
        <xdr:cNvPr id="28" name="Rounded Rectangle 27">
          <a:extLst>
            <a:ext uri="{FF2B5EF4-FFF2-40B4-BE49-F238E27FC236}">
              <a16:creationId xmlns:a16="http://schemas.microsoft.com/office/drawing/2014/main" id="{B0E69FEF-CCD8-6949-AC87-46B797D3D94A}"/>
            </a:ext>
          </a:extLst>
        </xdr:cNvPr>
        <xdr:cNvSpPr/>
      </xdr:nvSpPr>
      <xdr:spPr>
        <a:xfrm>
          <a:off x="19286780" y="3228814"/>
          <a:ext cx="4288343" cy="1770561"/>
        </a:xfrm>
        <a:prstGeom prst="round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1700509</xdr:colOff>
      <xdr:row>10</xdr:row>
      <xdr:rowOff>286313</xdr:rowOff>
    </xdr:from>
    <xdr:to>
      <xdr:col>15</xdr:col>
      <xdr:colOff>730741</xdr:colOff>
      <xdr:row>10</xdr:row>
      <xdr:rowOff>819713</xdr:rowOff>
    </xdr:to>
    <xdr:sp macro="" textlink="">
      <xdr:nvSpPr>
        <xdr:cNvPr id="29" name="TextBox 28">
          <a:extLst>
            <a:ext uri="{FF2B5EF4-FFF2-40B4-BE49-F238E27FC236}">
              <a16:creationId xmlns:a16="http://schemas.microsoft.com/office/drawing/2014/main" id="{8802032F-4028-9A43-B95E-819855170A22}"/>
            </a:ext>
          </a:extLst>
        </xdr:cNvPr>
        <xdr:cNvSpPr txBox="1"/>
      </xdr:nvSpPr>
      <xdr:spPr>
        <a:xfrm>
          <a:off x="20147797" y="3493601"/>
          <a:ext cx="2603452" cy="533400"/>
        </a:xfrm>
        <a:prstGeom prst="rect">
          <a:avLst/>
        </a:prstGeom>
        <a:solidFill>
          <a:schemeClr val="tx2">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bg1"/>
              </a:solidFill>
            </a:rPr>
            <a:t>AVG</a:t>
          </a:r>
          <a:r>
            <a:rPr lang="en-US" sz="2800" b="1" baseline="0">
              <a:solidFill>
                <a:schemeClr val="bg1"/>
              </a:solidFill>
            </a:rPr>
            <a:t> DISCOUNT</a:t>
          </a:r>
        </a:p>
        <a:p>
          <a:endParaRPr lang="en-US" sz="2800" b="1" baseline="0"/>
        </a:p>
        <a:p>
          <a:endParaRPr lang="en-US" sz="1100"/>
        </a:p>
      </xdr:txBody>
    </xdr:sp>
    <xdr:clientData/>
  </xdr:twoCellAnchor>
  <xdr:twoCellAnchor>
    <xdr:from>
      <xdr:col>14</xdr:col>
      <xdr:colOff>688814</xdr:colOff>
      <xdr:row>11</xdr:row>
      <xdr:rowOff>6258</xdr:rowOff>
    </xdr:from>
    <xdr:to>
      <xdr:col>15</xdr:col>
      <xdr:colOff>61535</xdr:colOff>
      <xdr:row>11</xdr:row>
      <xdr:rowOff>539658</xdr:rowOff>
    </xdr:to>
    <xdr:sp macro="" textlink="'g.nike.input'!J27">
      <xdr:nvSpPr>
        <xdr:cNvPr id="30" name="TextBox 29">
          <a:extLst>
            <a:ext uri="{FF2B5EF4-FFF2-40B4-BE49-F238E27FC236}">
              <a16:creationId xmlns:a16="http://schemas.microsoft.com/office/drawing/2014/main" id="{5EAE9CD6-6058-6447-8D11-112998BB802A}"/>
            </a:ext>
          </a:extLst>
        </xdr:cNvPr>
        <xdr:cNvSpPr txBox="1"/>
      </xdr:nvSpPr>
      <xdr:spPr>
        <a:xfrm>
          <a:off x="20901187" y="4203716"/>
          <a:ext cx="1180856" cy="533400"/>
        </a:xfrm>
        <a:prstGeom prst="rect">
          <a:avLst/>
        </a:prstGeom>
        <a:solidFill>
          <a:schemeClr val="tx2">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880702D-407C-FB43-8A32-A4E65A44F612}" type="TxLink">
            <a:rPr lang="en-US" sz="4000" b="1" i="0" u="none" strike="noStrike" baseline="0">
              <a:solidFill>
                <a:schemeClr val="bg1"/>
              </a:solidFill>
              <a:latin typeface="Aptos Narrow"/>
            </a:rPr>
            <a:pPr algn="ctr"/>
            <a:t>30%</a:t>
          </a:fld>
          <a:endParaRPr lang="en-US" sz="4000">
            <a:solidFill>
              <a:schemeClr val="bg1"/>
            </a:solidFill>
          </a:endParaRPr>
        </a:p>
      </xdr:txBody>
    </xdr:sp>
    <xdr:clientData/>
  </xdr:twoCellAnchor>
  <xdr:twoCellAnchor>
    <xdr:from>
      <xdr:col>13</xdr:col>
      <xdr:colOff>817965</xdr:colOff>
      <xdr:row>13</xdr:row>
      <xdr:rowOff>236780</xdr:rowOff>
    </xdr:from>
    <xdr:to>
      <xdr:col>15</xdr:col>
      <xdr:colOff>1533088</xdr:colOff>
      <xdr:row>16</xdr:row>
      <xdr:rowOff>242256</xdr:rowOff>
    </xdr:to>
    <xdr:sp macro="" textlink="">
      <xdr:nvSpPr>
        <xdr:cNvPr id="31" name="Rounded Rectangle 30">
          <a:extLst>
            <a:ext uri="{FF2B5EF4-FFF2-40B4-BE49-F238E27FC236}">
              <a16:creationId xmlns:a16="http://schemas.microsoft.com/office/drawing/2014/main" id="{D98CF294-B36A-F14A-A5CE-81F69336ED06}"/>
            </a:ext>
          </a:extLst>
        </xdr:cNvPr>
        <xdr:cNvSpPr/>
      </xdr:nvSpPr>
      <xdr:spPr>
        <a:xfrm>
          <a:off x="19265253" y="5381356"/>
          <a:ext cx="4288343" cy="1770561"/>
        </a:xfrm>
        <a:prstGeom prst="round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1155221</xdr:colOff>
      <xdr:row>14</xdr:row>
      <xdr:rowOff>28007</xdr:rowOff>
    </xdr:from>
    <xdr:to>
      <xdr:col>15</xdr:col>
      <xdr:colOff>1204299</xdr:colOff>
      <xdr:row>15</xdr:row>
      <xdr:rowOff>130899</xdr:rowOff>
    </xdr:to>
    <xdr:sp macro="" textlink="">
      <xdr:nvSpPr>
        <xdr:cNvPr id="32" name="TextBox 31">
          <a:extLst>
            <a:ext uri="{FF2B5EF4-FFF2-40B4-BE49-F238E27FC236}">
              <a16:creationId xmlns:a16="http://schemas.microsoft.com/office/drawing/2014/main" id="{CF078339-4F56-1942-B1DA-719719A05153}"/>
            </a:ext>
          </a:extLst>
        </xdr:cNvPr>
        <xdr:cNvSpPr txBox="1"/>
      </xdr:nvSpPr>
      <xdr:spPr>
        <a:xfrm>
          <a:off x="19602509" y="5710719"/>
          <a:ext cx="3622298" cy="533400"/>
        </a:xfrm>
        <a:prstGeom prst="rect">
          <a:avLst/>
        </a:prstGeom>
        <a:solidFill>
          <a:schemeClr val="tx2">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solidFill>
                <a:schemeClr val="bg1"/>
              </a:solidFill>
            </a:rPr>
            <a:t>MAX DISCOUNT</a:t>
          </a:r>
        </a:p>
        <a:p>
          <a:endParaRPr lang="en-US" sz="1100"/>
        </a:p>
      </xdr:txBody>
    </xdr:sp>
    <xdr:clientData/>
  </xdr:twoCellAnchor>
  <xdr:twoCellAnchor>
    <xdr:from>
      <xdr:col>14</xdr:col>
      <xdr:colOff>306844</xdr:colOff>
      <xdr:row>15</xdr:row>
      <xdr:rowOff>243038</xdr:rowOff>
    </xdr:from>
    <xdr:to>
      <xdr:col>15</xdr:col>
      <xdr:colOff>255262</xdr:colOff>
      <xdr:row>15</xdr:row>
      <xdr:rowOff>776438</xdr:rowOff>
    </xdr:to>
    <xdr:sp macro="" textlink="'g.nike.input'!L27">
      <xdr:nvSpPr>
        <xdr:cNvPr id="33" name="TextBox 32">
          <a:extLst>
            <a:ext uri="{FF2B5EF4-FFF2-40B4-BE49-F238E27FC236}">
              <a16:creationId xmlns:a16="http://schemas.microsoft.com/office/drawing/2014/main" id="{7FF50840-2D8C-5C4A-8207-01AC3783D4D3}"/>
            </a:ext>
          </a:extLst>
        </xdr:cNvPr>
        <xdr:cNvSpPr txBox="1"/>
      </xdr:nvSpPr>
      <xdr:spPr>
        <a:xfrm>
          <a:off x="20519217" y="6356258"/>
          <a:ext cx="1756553" cy="533400"/>
        </a:xfrm>
        <a:prstGeom prst="rect">
          <a:avLst/>
        </a:prstGeom>
        <a:solidFill>
          <a:schemeClr val="tx2">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319820F-25C6-784B-A6FF-35F04DC27382}" type="TxLink">
            <a:rPr lang="en-US" sz="4000" b="1" i="0" u="none" strike="noStrike" baseline="0">
              <a:solidFill>
                <a:schemeClr val="bg1"/>
              </a:solidFill>
              <a:latin typeface="Aptos Narrow"/>
            </a:rPr>
            <a:pPr algn="ctr"/>
            <a:t>40%</a:t>
          </a:fld>
          <a:endParaRPr lang="en-US" sz="4000">
            <a:solidFill>
              <a:schemeClr val="bg1"/>
            </a:solidFill>
          </a:endParaRPr>
        </a:p>
      </xdr:txBody>
    </xdr:sp>
    <xdr:clientData/>
  </xdr:twoCellAnchor>
  <xdr:twoCellAnchor>
    <xdr:from>
      <xdr:col>5</xdr:col>
      <xdr:colOff>846667</xdr:colOff>
      <xdr:row>17</xdr:row>
      <xdr:rowOff>106774</xdr:rowOff>
    </xdr:from>
    <xdr:to>
      <xdr:col>7</xdr:col>
      <xdr:colOff>1370623</xdr:colOff>
      <xdr:row>20</xdr:row>
      <xdr:rowOff>331092</xdr:rowOff>
    </xdr:to>
    <xdr:sp macro="" textlink="">
      <xdr:nvSpPr>
        <xdr:cNvPr id="35" name="Rounded Rectangle 34">
          <a:extLst>
            <a:ext uri="{FF2B5EF4-FFF2-40B4-BE49-F238E27FC236}">
              <a16:creationId xmlns:a16="http://schemas.microsoft.com/office/drawing/2014/main" id="{07C50D1A-97FC-0F4C-A06A-347EE5410676}"/>
            </a:ext>
          </a:extLst>
        </xdr:cNvPr>
        <xdr:cNvSpPr/>
      </xdr:nvSpPr>
      <xdr:spPr>
        <a:xfrm>
          <a:off x="4082143" y="7636060"/>
          <a:ext cx="4273480" cy="1766461"/>
        </a:xfrm>
        <a:prstGeom prst="round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1183923</xdr:colOff>
      <xdr:row>18</xdr:row>
      <xdr:rowOff>224471</xdr:rowOff>
    </xdr:from>
    <xdr:to>
      <xdr:col>7</xdr:col>
      <xdr:colOff>1041834</xdr:colOff>
      <xdr:row>19</xdr:row>
      <xdr:rowOff>176684</xdr:rowOff>
    </xdr:to>
    <xdr:sp macro="" textlink="">
      <xdr:nvSpPr>
        <xdr:cNvPr id="36" name="TextBox 35">
          <a:extLst>
            <a:ext uri="{FF2B5EF4-FFF2-40B4-BE49-F238E27FC236}">
              <a16:creationId xmlns:a16="http://schemas.microsoft.com/office/drawing/2014/main" id="{2D8344F4-67D4-CB45-B1E2-16179182952B}"/>
            </a:ext>
          </a:extLst>
        </xdr:cNvPr>
        <xdr:cNvSpPr txBox="1"/>
      </xdr:nvSpPr>
      <xdr:spPr>
        <a:xfrm>
          <a:off x="4419399" y="7965423"/>
          <a:ext cx="3607435" cy="526737"/>
        </a:xfrm>
        <a:prstGeom prst="rect">
          <a:avLst/>
        </a:prstGeom>
        <a:solidFill>
          <a:schemeClr val="tx2">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800" b="1">
              <a:solidFill>
                <a:schemeClr val="bg1"/>
              </a:solidFill>
              <a:latin typeface="+mn-lt"/>
              <a:ea typeface="+mn-ea"/>
              <a:cs typeface="+mn-cs"/>
            </a:rPr>
            <a:t>TOTAL VIEW COUNT</a:t>
          </a:r>
        </a:p>
        <a:p>
          <a:pPr marL="0" indent="0"/>
          <a:endParaRPr lang="en-US" sz="2800" b="1">
            <a:solidFill>
              <a:schemeClr val="bg1"/>
            </a:solidFill>
            <a:latin typeface="+mn-lt"/>
            <a:ea typeface="+mn-ea"/>
            <a:cs typeface="+mn-cs"/>
          </a:endParaRPr>
        </a:p>
      </xdr:txBody>
    </xdr:sp>
    <xdr:clientData/>
  </xdr:twoCellAnchor>
  <xdr:twoCellAnchor>
    <xdr:from>
      <xdr:col>5</xdr:col>
      <xdr:colOff>2099094</xdr:colOff>
      <xdr:row>19</xdr:row>
      <xdr:rowOff>288823</xdr:rowOff>
    </xdr:from>
    <xdr:to>
      <xdr:col>7</xdr:col>
      <xdr:colOff>103048</xdr:colOff>
      <xdr:row>20</xdr:row>
      <xdr:rowOff>68833</xdr:rowOff>
    </xdr:to>
    <xdr:sp macro="" textlink="'g.nike.input'!H27">
      <xdr:nvSpPr>
        <xdr:cNvPr id="37" name="TextBox 36">
          <a:extLst>
            <a:ext uri="{FF2B5EF4-FFF2-40B4-BE49-F238E27FC236}">
              <a16:creationId xmlns:a16="http://schemas.microsoft.com/office/drawing/2014/main" id="{35A2CC40-9FF5-FC45-8B6A-3DCD6D84DF03}"/>
            </a:ext>
          </a:extLst>
        </xdr:cNvPr>
        <xdr:cNvSpPr txBox="1"/>
      </xdr:nvSpPr>
      <xdr:spPr>
        <a:xfrm>
          <a:off x="5334570" y="8604299"/>
          <a:ext cx="1753478" cy="535963"/>
        </a:xfrm>
        <a:prstGeom prst="rect">
          <a:avLst/>
        </a:prstGeom>
        <a:solidFill>
          <a:schemeClr val="tx2">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F249897-80CF-3F4E-9D1C-CE0CB3E9E489}" type="TxLink">
            <a:rPr lang="en-US" sz="4000" b="1" i="0" u="none" strike="noStrike" baseline="0">
              <a:solidFill>
                <a:schemeClr val="bg1"/>
              </a:solidFill>
              <a:latin typeface="Aptos Narrow"/>
              <a:ea typeface="+mn-ea"/>
              <a:cs typeface="+mn-cs"/>
            </a:rPr>
            <a:pPr marL="0" indent="0" algn="ctr"/>
            <a:t>217</a:t>
          </a:fld>
          <a:endParaRPr lang="en-US" sz="4000" b="1" i="0" u="none" strike="noStrike" baseline="0">
            <a:solidFill>
              <a:schemeClr val="bg1"/>
            </a:solidFill>
            <a:latin typeface="Aptos Narrow"/>
            <a:ea typeface="+mn-ea"/>
            <a:cs typeface="+mn-cs"/>
          </a:endParaRPr>
        </a:p>
      </xdr:txBody>
    </xdr:sp>
    <xdr:clientData/>
  </xdr:twoCellAnchor>
  <xdr:twoCellAnchor>
    <xdr:from>
      <xdr:col>13</xdr:col>
      <xdr:colOff>819689</xdr:colOff>
      <xdr:row>17</xdr:row>
      <xdr:rowOff>82871</xdr:rowOff>
    </xdr:from>
    <xdr:to>
      <xdr:col>15</xdr:col>
      <xdr:colOff>1534812</xdr:colOff>
      <xdr:row>20</xdr:row>
      <xdr:rowOff>325126</xdr:rowOff>
    </xdr:to>
    <xdr:sp macro="" textlink="">
      <xdr:nvSpPr>
        <xdr:cNvPr id="38" name="Rounded Rectangle 37">
          <a:extLst>
            <a:ext uri="{FF2B5EF4-FFF2-40B4-BE49-F238E27FC236}">
              <a16:creationId xmlns:a16="http://schemas.microsoft.com/office/drawing/2014/main" id="{73BCE07F-4BB2-064C-955C-8313E07F6AB7}"/>
            </a:ext>
          </a:extLst>
        </xdr:cNvPr>
        <xdr:cNvSpPr/>
      </xdr:nvSpPr>
      <xdr:spPr>
        <a:xfrm>
          <a:off x="19266977" y="7573718"/>
          <a:ext cx="4288343" cy="1770561"/>
        </a:xfrm>
        <a:prstGeom prst="roundRect">
          <a:avLst/>
        </a:prstGeom>
        <a:solidFill>
          <a:schemeClr val="tx2">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endParaRPr lang="en-US" sz="2800" b="1">
            <a:solidFill>
              <a:schemeClr val="bg1"/>
            </a:solidFill>
            <a:latin typeface="+mn-lt"/>
            <a:ea typeface="+mn-ea"/>
            <a:cs typeface="+mn-cs"/>
          </a:endParaRPr>
        </a:p>
      </xdr:txBody>
    </xdr:sp>
    <xdr:clientData/>
  </xdr:twoCellAnchor>
  <xdr:twoCellAnchor>
    <xdr:from>
      <xdr:col>13</xdr:col>
      <xdr:colOff>1156945</xdr:colOff>
      <xdr:row>18</xdr:row>
      <xdr:rowOff>218505</xdr:rowOff>
    </xdr:from>
    <xdr:to>
      <xdr:col>15</xdr:col>
      <xdr:colOff>1206023</xdr:colOff>
      <xdr:row>19</xdr:row>
      <xdr:rowOff>170718</xdr:rowOff>
    </xdr:to>
    <xdr:sp macro="" textlink="">
      <xdr:nvSpPr>
        <xdr:cNvPr id="39" name="TextBox 38">
          <a:extLst>
            <a:ext uri="{FF2B5EF4-FFF2-40B4-BE49-F238E27FC236}">
              <a16:creationId xmlns:a16="http://schemas.microsoft.com/office/drawing/2014/main" id="{7A9328E7-B746-FA4B-B0C3-30B0EB588122}"/>
            </a:ext>
          </a:extLst>
        </xdr:cNvPr>
        <xdr:cNvSpPr txBox="1"/>
      </xdr:nvSpPr>
      <xdr:spPr>
        <a:xfrm>
          <a:off x="19604233" y="7903081"/>
          <a:ext cx="3622298" cy="533400"/>
        </a:xfrm>
        <a:prstGeom prst="rect">
          <a:avLst/>
        </a:prstGeom>
        <a:solidFill>
          <a:schemeClr val="tx2">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800" b="1">
              <a:solidFill>
                <a:schemeClr val="bg1"/>
              </a:solidFill>
              <a:latin typeface="+mn-lt"/>
              <a:ea typeface="+mn-ea"/>
              <a:cs typeface="+mn-cs"/>
            </a:rPr>
            <a:t>TOTAL SHOE COUNT</a:t>
          </a:r>
        </a:p>
        <a:p>
          <a:pPr marL="0" indent="0"/>
          <a:endParaRPr lang="en-US" sz="2800" b="1">
            <a:solidFill>
              <a:schemeClr val="bg1"/>
            </a:solidFill>
            <a:latin typeface="+mn-lt"/>
            <a:ea typeface="+mn-ea"/>
            <a:cs typeface="+mn-cs"/>
          </a:endParaRPr>
        </a:p>
      </xdr:txBody>
    </xdr:sp>
    <xdr:clientData/>
  </xdr:twoCellAnchor>
  <xdr:twoCellAnchor>
    <xdr:from>
      <xdr:col>14</xdr:col>
      <xdr:colOff>308568</xdr:colOff>
      <xdr:row>19</xdr:row>
      <xdr:rowOff>282857</xdr:rowOff>
    </xdr:from>
    <xdr:to>
      <xdr:col>15</xdr:col>
      <xdr:colOff>256986</xdr:colOff>
      <xdr:row>20</xdr:row>
      <xdr:rowOff>62867</xdr:rowOff>
    </xdr:to>
    <xdr:sp macro="" textlink="'g.nike.input'!H23">
      <xdr:nvSpPr>
        <xdr:cNvPr id="40" name="TextBox 39">
          <a:extLst>
            <a:ext uri="{FF2B5EF4-FFF2-40B4-BE49-F238E27FC236}">
              <a16:creationId xmlns:a16="http://schemas.microsoft.com/office/drawing/2014/main" id="{6C265477-D4B4-8545-AF22-BFF5A1731534}"/>
            </a:ext>
          </a:extLst>
        </xdr:cNvPr>
        <xdr:cNvSpPr txBox="1"/>
      </xdr:nvSpPr>
      <xdr:spPr>
        <a:xfrm>
          <a:off x="20520941" y="8548620"/>
          <a:ext cx="1756553" cy="533400"/>
        </a:xfrm>
        <a:prstGeom prst="rect">
          <a:avLst/>
        </a:prstGeom>
        <a:solidFill>
          <a:schemeClr val="tx2">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6CC5A88-0684-4B4C-854F-F1162F89D4B4}" type="TxLink">
            <a:rPr lang="en-US" sz="4000" b="1" i="0" u="none" strike="noStrike" baseline="0">
              <a:solidFill>
                <a:schemeClr val="bg1"/>
              </a:solidFill>
              <a:latin typeface="Aptos Narrow"/>
              <a:ea typeface="+mn-ea"/>
              <a:cs typeface="+mn-cs"/>
            </a:rPr>
            <a:pPr marL="0" indent="0" algn="ctr"/>
            <a:t>192</a:t>
          </a:fld>
          <a:endParaRPr lang="en-US" sz="4000" b="1" i="0" u="none" strike="noStrike" baseline="0">
            <a:solidFill>
              <a:schemeClr val="bg1"/>
            </a:solidFill>
            <a:latin typeface="Aptos Narrow"/>
            <a:ea typeface="+mn-ea"/>
            <a:cs typeface="+mn-cs"/>
          </a:endParaRPr>
        </a:p>
      </xdr:txBody>
    </xdr:sp>
    <xdr:clientData/>
  </xdr:twoCellAnchor>
  <xdr:twoCellAnchor>
    <xdr:from>
      <xdr:col>12</xdr:col>
      <xdr:colOff>3378200</xdr:colOff>
      <xdr:row>21</xdr:row>
      <xdr:rowOff>0</xdr:rowOff>
    </xdr:from>
    <xdr:to>
      <xdr:col>16</xdr:col>
      <xdr:colOff>25400</xdr:colOff>
      <xdr:row>38</xdr:row>
      <xdr:rowOff>50800</xdr:rowOff>
    </xdr:to>
    <xdr:graphicFrame macro="">
      <xdr:nvGraphicFramePr>
        <xdr:cNvPr id="41" name="Chart 40">
          <a:extLst>
            <a:ext uri="{FF2B5EF4-FFF2-40B4-BE49-F238E27FC236}">
              <a16:creationId xmlns:a16="http://schemas.microsoft.com/office/drawing/2014/main" id="{22A8B35F-C46F-BC4D-AEEF-5B7EA8F75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38561</xdr:colOff>
      <xdr:row>20</xdr:row>
      <xdr:rowOff>787398</xdr:rowOff>
    </xdr:from>
    <xdr:to>
      <xdr:col>8</xdr:col>
      <xdr:colOff>787400</xdr:colOff>
      <xdr:row>38</xdr:row>
      <xdr:rowOff>76199</xdr:rowOff>
    </xdr:to>
    <xdr:graphicFrame macro="">
      <xdr:nvGraphicFramePr>
        <xdr:cNvPr id="42" name="Chart 41">
          <a:extLst>
            <a:ext uri="{FF2B5EF4-FFF2-40B4-BE49-F238E27FC236}">
              <a16:creationId xmlns:a16="http://schemas.microsoft.com/office/drawing/2014/main" id="{251FDC8E-E08C-9E41-BE95-265E975DC3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701842</xdr:colOff>
      <xdr:row>31</xdr:row>
      <xdr:rowOff>60634</xdr:rowOff>
    </xdr:from>
    <xdr:to>
      <xdr:col>3</xdr:col>
      <xdr:colOff>102101</xdr:colOff>
      <xdr:row>39</xdr:row>
      <xdr:rowOff>406659</xdr:rowOff>
    </xdr:to>
    <xdr:pic>
      <xdr:nvPicPr>
        <xdr:cNvPr id="44" name="Graphic 43" descr="Clipboard with solid fill">
          <a:hlinkClick xmlns:r="http://schemas.openxmlformats.org/officeDocument/2006/relationships" r:id="rId3"/>
          <a:extLst>
            <a:ext uri="{FF2B5EF4-FFF2-40B4-BE49-F238E27FC236}">
              <a16:creationId xmlns:a16="http://schemas.microsoft.com/office/drawing/2014/main" id="{DC8ACAC6-B39E-91CF-9892-3C045E2C0EE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701842" y="13462476"/>
          <a:ext cx="1906838" cy="1969325"/>
        </a:xfrm>
        <a:prstGeom prst="rect">
          <a:avLst/>
        </a:prstGeom>
      </xdr:spPr>
    </xdr:pic>
    <xdr:clientData/>
  </xdr:twoCellAnchor>
  <xdr:twoCellAnchor editAs="oneCell">
    <xdr:from>
      <xdr:col>0</xdr:col>
      <xdr:colOff>635000</xdr:colOff>
      <xdr:row>16</xdr:row>
      <xdr:rowOff>121468</xdr:rowOff>
    </xdr:from>
    <xdr:to>
      <xdr:col>3</xdr:col>
      <xdr:colOff>24306</xdr:colOff>
      <xdr:row>19</xdr:row>
      <xdr:rowOff>684621</xdr:rowOff>
    </xdr:to>
    <xdr:pic>
      <xdr:nvPicPr>
        <xdr:cNvPr id="49" name="Graphic 48" descr="Cmd Terminal with solid fill">
          <a:extLst>
            <a:ext uri="{FF2B5EF4-FFF2-40B4-BE49-F238E27FC236}">
              <a16:creationId xmlns:a16="http://schemas.microsoft.com/office/drawing/2014/main" id="{C19B9A05-BC80-B060-E5E1-96DC35EC597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35000" y="7039626"/>
          <a:ext cx="1895885" cy="1899995"/>
        </a:xfrm>
        <a:prstGeom prst="rect">
          <a:avLst/>
        </a:prstGeom>
      </xdr:spPr>
    </xdr:pic>
    <xdr:clientData/>
  </xdr:twoCellAnchor>
  <xdr:twoCellAnchor editAs="oneCell">
    <xdr:from>
      <xdr:col>0</xdr:col>
      <xdr:colOff>568159</xdr:colOff>
      <xdr:row>8</xdr:row>
      <xdr:rowOff>354795</xdr:rowOff>
    </xdr:from>
    <xdr:to>
      <xdr:col>3</xdr:col>
      <xdr:colOff>119892</xdr:colOff>
      <xdr:row>11</xdr:row>
      <xdr:rowOff>520942</xdr:rowOff>
    </xdr:to>
    <xdr:pic>
      <xdr:nvPicPr>
        <xdr:cNvPr id="53" name="Graphic 52" descr="Folder Search with solid fill">
          <a:hlinkClick xmlns:r="http://schemas.openxmlformats.org/officeDocument/2006/relationships" r:id="rId8"/>
          <a:extLst>
            <a:ext uri="{FF2B5EF4-FFF2-40B4-BE49-F238E27FC236}">
              <a16:creationId xmlns:a16="http://schemas.microsoft.com/office/drawing/2014/main" id="{94019470-CC62-E6F1-E3AB-9D0F2426041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68159" y="2660848"/>
          <a:ext cx="2058312" cy="2071147"/>
        </a:xfrm>
        <a:prstGeom prst="rect">
          <a:avLst/>
        </a:prstGeom>
      </xdr:spPr>
    </xdr:pic>
    <xdr:clientData/>
  </xdr:twoCellAnchor>
  <xdr:twoCellAnchor editAs="oneCell">
    <xdr:from>
      <xdr:col>0</xdr:col>
      <xdr:colOff>628334</xdr:colOff>
      <xdr:row>24</xdr:row>
      <xdr:rowOff>274530</xdr:rowOff>
    </xdr:from>
    <xdr:to>
      <xdr:col>3</xdr:col>
      <xdr:colOff>46277</xdr:colOff>
      <xdr:row>30</xdr:row>
      <xdr:rowOff>336892</xdr:rowOff>
    </xdr:to>
    <xdr:pic>
      <xdr:nvPicPr>
        <xdr:cNvPr id="57" name="Graphic 56" descr="Aspiration with solid fill">
          <a:hlinkClick xmlns:r="http://schemas.openxmlformats.org/officeDocument/2006/relationships" r:id="rId11"/>
          <a:extLst>
            <a:ext uri="{FF2B5EF4-FFF2-40B4-BE49-F238E27FC236}">
              <a16:creationId xmlns:a16="http://schemas.microsoft.com/office/drawing/2014/main" id="{22B1E8DE-57CB-CCEC-A022-0576174A0078}"/>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28334" y="11169793"/>
          <a:ext cx="1924522" cy="1744327"/>
        </a:xfrm>
        <a:prstGeom prst="rect">
          <a:avLst/>
        </a:prstGeom>
      </xdr:spPr>
    </xdr:pic>
    <xdr:clientData/>
  </xdr:twoCellAnchor>
  <xdr:twoCellAnchor editAs="oneCell">
    <xdr:from>
      <xdr:col>0</xdr:col>
      <xdr:colOff>735262</xdr:colOff>
      <xdr:row>12</xdr:row>
      <xdr:rowOff>184435</xdr:rowOff>
    </xdr:from>
    <xdr:to>
      <xdr:col>3</xdr:col>
      <xdr:colOff>53170</xdr:colOff>
      <xdr:row>15</xdr:row>
      <xdr:rowOff>742859</xdr:rowOff>
    </xdr:to>
    <xdr:pic>
      <xdr:nvPicPr>
        <xdr:cNvPr id="59" name="Graphic 58" descr="Advertising with solid fill">
          <a:hlinkClick xmlns:r="http://schemas.openxmlformats.org/officeDocument/2006/relationships" r:id="rId14"/>
          <a:extLst>
            <a:ext uri="{FF2B5EF4-FFF2-40B4-BE49-F238E27FC236}">
              <a16:creationId xmlns:a16="http://schemas.microsoft.com/office/drawing/2014/main" id="{E40FDEC5-40EC-8562-6C39-91745D67DCDE}"/>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35262" y="5030488"/>
          <a:ext cx="1824487" cy="1828424"/>
        </a:xfrm>
        <a:prstGeom prst="rect">
          <a:avLst/>
        </a:prstGeom>
      </xdr:spPr>
    </xdr:pic>
    <xdr:clientData/>
  </xdr:twoCellAnchor>
  <xdr:twoCellAnchor editAs="oneCell">
    <xdr:from>
      <xdr:col>0</xdr:col>
      <xdr:colOff>701842</xdr:colOff>
      <xdr:row>20</xdr:row>
      <xdr:rowOff>195879</xdr:rowOff>
    </xdr:from>
    <xdr:to>
      <xdr:col>3</xdr:col>
      <xdr:colOff>31705</xdr:colOff>
      <xdr:row>26</xdr:row>
      <xdr:rowOff>117377</xdr:rowOff>
    </xdr:to>
    <xdr:pic>
      <xdr:nvPicPr>
        <xdr:cNvPr id="61" name="Graphic 60" descr="3d Glasses with solid fill">
          <a:hlinkClick xmlns:r="http://schemas.openxmlformats.org/officeDocument/2006/relationships" r:id="rId17"/>
          <a:extLst>
            <a:ext uri="{FF2B5EF4-FFF2-40B4-BE49-F238E27FC236}">
              <a16:creationId xmlns:a16="http://schemas.microsoft.com/office/drawing/2014/main" id="{9A06F4A1-5FEE-B550-6027-E7FD4F5084EF}"/>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701842" y="9219563"/>
          <a:ext cx="1836442" cy="1734007"/>
        </a:xfrm>
        <a:prstGeom prst="rect">
          <a:avLst/>
        </a:prstGeom>
      </xdr:spPr>
    </xdr:pic>
    <xdr:clientData/>
  </xdr:twoCellAnchor>
  <xdr:twoCellAnchor>
    <xdr:from>
      <xdr:col>9</xdr:col>
      <xdr:colOff>1</xdr:colOff>
      <xdr:row>20</xdr:row>
      <xdr:rowOff>118141</xdr:rowOff>
    </xdr:from>
    <xdr:to>
      <xdr:col>12</xdr:col>
      <xdr:colOff>0</xdr:colOff>
      <xdr:row>38</xdr:row>
      <xdr:rowOff>175639</xdr:rowOff>
    </xdr:to>
    <xdr:graphicFrame macro="">
      <xdr:nvGraphicFramePr>
        <xdr:cNvPr id="2" name="Chart 1">
          <a:extLst>
            <a:ext uri="{FF2B5EF4-FFF2-40B4-BE49-F238E27FC236}">
              <a16:creationId xmlns:a16="http://schemas.microsoft.com/office/drawing/2014/main" id="{A9E43F6A-6302-9244-8E3E-8D56BFCE94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541385</xdr:colOff>
      <xdr:row>30</xdr:row>
      <xdr:rowOff>208196</xdr:rowOff>
    </xdr:from>
    <xdr:to>
      <xdr:col>0</xdr:col>
      <xdr:colOff>1889464</xdr:colOff>
      <xdr:row>36</xdr:row>
      <xdr:rowOff>188718</xdr:rowOff>
    </xdr:to>
    <xdr:pic>
      <xdr:nvPicPr>
        <xdr:cNvPr id="54" name="Graphic 53" descr="Clipboard with solid fill">
          <a:hlinkClick xmlns:r="http://schemas.openxmlformats.org/officeDocument/2006/relationships" r:id="rId1"/>
          <a:extLst>
            <a:ext uri="{FF2B5EF4-FFF2-40B4-BE49-F238E27FC236}">
              <a16:creationId xmlns:a16="http://schemas.microsoft.com/office/drawing/2014/main" id="{DFAE3EDE-81F0-FC49-8EA2-AB23EF93B22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41385" y="8744262"/>
          <a:ext cx="1348079" cy="1458718"/>
        </a:xfrm>
        <a:prstGeom prst="rect">
          <a:avLst/>
        </a:prstGeom>
      </xdr:spPr>
    </xdr:pic>
    <xdr:clientData/>
  </xdr:twoCellAnchor>
  <xdr:twoCellAnchor editAs="oneCell">
    <xdr:from>
      <xdr:col>0</xdr:col>
      <xdr:colOff>608212</xdr:colOff>
      <xdr:row>12</xdr:row>
      <xdr:rowOff>723522</xdr:rowOff>
    </xdr:from>
    <xdr:to>
      <xdr:col>0</xdr:col>
      <xdr:colOff>1706899</xdr:colOff>
      <xdr:row>16</xdr:row>
      <xdr:rowOff>113805</xdr:rowOff>
    </xdr:to>
    <xdr:pic>
      <xdr:nvPicPr>
        <xdr:cNvPr id="55" name="Graphic 54" descr="Cmd Terminal with solid fill">
          <a:hlinkClick xmlns:r="http://schemas.openxmlformats.org/officeDocument/2006/relationships" r:id="rId4"/>
          <a:extLst>
            <a:ext uri="{FF2B5EF4-FFF2-40B4-BE49-F238E27FC236}">
              <a16:creationId xmlns:a16="http://schemas.microsoft.com/office/drawing/2014/main" id="{81D41327-EE31-AD46-8BE1-9F6F5E85FE7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08212" y="4595981"/>
          <a:ext cx="1098687" cy="1139135"/>
        </a:xfrm>
        <a:prstGeom prst="rect">
          <a:avLst/>
        </a:prstGeom>
      </xdr:spPr>
    </xdr:pic>
    <xdr:clientData/>
  </xdr:twoCellAnchor>
  <xdr:twoCellAnchor editAs="oneCell">
    <xdr:from>
      <xdr:col>0</xdr:col>
      <xdr:colOff>427473</xdr:colOff>
      <xdr:row>8</xdr:row>
      <xdr:rowOff>85576</xdr:rowOff>
    </xdr:from>
    <xdr:to>
      <xdr:col>0</xdr:col>
      <xdr:colOff>1844795</xdr:colOff>
      <xdr:row>11</xdr:row>
      <xdr:rowOff>151326</xdr:rowOff>
    </xdr:to>
    <xdr:pic>
      <xdr:nvPicPr>
        <xdr:cNvPr id="56" name="Graphic 55" descr="Folder Search with solid fill">
          <a:hlinkClick xmlns:r="http://schemas.openxmlformats.org/officeDocument/2006/relationships" r:id="rId7"/>
          <a:extLst>
            <a:ext uri="{FF2B5EF4-FFF2-40B4-BE49-F238E27FC236}">
              <a16:creationId xmlns:a16="http://schemas.microsoft.com/office/drawing/2014/main" id="{A7EDE0CB-211D-0B4F-B640-05A533D5146D}"/>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427473" y="1751150"/>
          <a:ext cx="1417322" cy="1502307"/>
        </a:xfrm>
        <a:prstGeom prst="rect">
          <a:avLst/>
        </a:prstGeom>
      </xdr:spPr>
    </xdr:pic>
    <xdr:clientData/>
  </xdr:twoCellAnchor>
  <xdr:twoCellAnchor editAs="oneCell">
    <xdr:from>
      <xdr:col>0</xdr:col>
      <xdr:colOff>419169</xdr:colOff>
      <xdr:row>23</xdr:row>
      <xdr:rowOff>119126</xdr:rowOff>
    </xdr:from>
    <xdr:to>
      <xdr:col>0</xdr:col>
      <xdr:colOff>1834243</xdr:colOff>
      <xdr:row>30</xdr:row>
      <xdr:rowOff>4654</xdr:rowOff>
    </xdr:to>
    <xdr:pic>
      <xdr:nvPicPr>
        <xdr:cNvPr id="57" name="Graphic 56" descr="Aspiration with solid fill">
          <a:hlinkClick xmlns:r="http://schemas.openxmlformats.org/officeDocument/2006/relationships" r:id="rId10"/>
          <a:extLst>
            <a:ext uri="{FF2B5EF4-FFF2-40B4-BE49-F238E27FC236}">
              <a16:creationId xmlns:a16="http://schemas.microsoft.com/office/drawing/2014/main" id="{F30A2D71-F578-A644-85BE-27A8C29A0E8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19169" y="7197815"/>
          <a:ext cx="1415074" cy="1342905"/>
        </a:xfrm>
        <a:prstGeom prst="rect">
          <a:avLst/>
        </a:prstGeom>
      </xdr:spPr>
    </xdr:pic>
    <xdr:clientData/>
  </xdr:twoCellAnchor>
  <xdr:twoCellAnchor editAs="oneCell">
    <xdr:from>
      <xdr:col>0</xdr:col>
      <xdr:colOff>612098</xdr:colOff>
      <xdr:row>11</xdr:row>
      <xdr:rowOff>350164</xdr:rowOff>
    </xdr:from>
    <xdr:to>
      <xdr:col>0</xdr:col>
      <xdr:colOff>1688850</xdr:colOff>
      <xdr:row>12</xdr:row>
      <xdr:rowOff>683186</xdr:rowOff>
    </xdr:to>
    <xdr:pic>
      <xdr:nvPicPr>
        <xdr:cNvPr id="58" name="Graphic 57" descr="Advertising with solid fill">
          <a:hlinkClick xmlns:r="http://schemas.openxmlformats.org/officeDocument/2006/relationships" r:id="rId13"/>
          <a:extLst>
            <a:ext uri="{FF2B5EF4-FFF2-40B4-BE49-F238E27FC236}">
              <a16:creationId xmlns:a16="http://schemas.microsoft.com/office/drawing/2014/main" id="{7922137E-D1E0-C944-83D4-9573CE534D93}"/>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612098" y="3452295"/>
          <a:ext cx="1076752" cy="1103350"/>
        </a:xfrm>
        <a:prstGeom prst="rect">
          <a:avLst/>
        </a:prstGeom>
      </xdr:spPr>
    </xdr:pic>
    <xdr:clientData/>
  </xdr:twoCellAnchor>
  <xdr:twoCellAnchor editAs="oneCell">
    <xdr:from>
      <xdr:col>0</xdr:col>
      <xdr:colOff>686215</xdr:colOff>
      <xdr:row>17</xdr:row>
      <xdr:rowOff>37326</xdr:rowOff>
    </xdr:from>
    <xdr:to>
      <xdr:col>0</xdr:col>
      <xdr:colOff>1775368</xdr:colOff>
      <xdr:row>22</xdr:row>
      <xdr:rowOff>141110</xdr:rowOff>
    </xdr:to>
    <xdr:pic>
      <xdr:nvPicPr>
        <xdr:cNvPr id="59" name="Graphic 58" descr="3d Glasses with solid fill">
          <a:hlinkClick xmlns:r="http://schemas.openxmlformats.org/officeDocument/2006/relationships" r:id="rId16"/>
          <a:extLst>
            <a:ext uri="{FF2B5EF4-FFF2-40B4-BE49-F238E27FC236}">
              <a16:creationId xmlns:a16="http://schemas.microsoft.com/office/drawing/2014/main" id="{946DDA61-C614-2040-BB5B-0027B9283DB6}"/>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686215" y="5866834"/>
          <a:ext cx="1089153" cy="114476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469144</xdr:colOff>
      <xdr:row>14</xdr:row>
      <xdr:rowOff>184473</xdr:rowOff>
    </xdr:from>
    <xdr:to>
      <xdr:col>7</xdr:col>
      <xdr:colOff>33866</xdr:colOff>
      <xdr:row>32</xdr:row>
      <xdr:rowOff>57684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FEC843C-1CE9-4C4C-AD43-445C73AB47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93144" y="4807273"/>
              <a:ext cx="7578422" cy="374671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859364</xdr:colOff>
      <xdr:row>2</xdr:row>
      <xdr:rowOff>791633</xdr:rowOff>
    </xdr:from>
    <xdr:to>
      <xdr:col>29</xdr:col>
      <xdr:colOff>317499</xdr:colOff>
      <xdr:row>5</xdr:row>
      <xdr:rowOff>26702</xdr:rowOff>
    </xdr:to>
    <mc:AlternateContent xmlns:mc="http://schemas.openxmlformats.org/markup-compatibility/2006" xmlns:a14="http://schemas.microsoft.com/office/drawing/2010/main">
      <mc:Choice Requires="a14">
        <xdr:graphicFrame macro="">
          <xdr:nvGraphicFramePr>
            <xdr:cNvPr id="4" name="Rate_Group">
              <a:extLst>
                <a:ext uri="{FF2B5EF4-FFF2-40B4-BE49-F238E27FC236}">
                  <a16:creationId xmlns:a16="http://schemas.microsoft.com/office/drawing/2014/main" id="{AC0FEB8A-E627-4A53-E2D4-6E0410DE0FDD}"/>
                </a:ext>
              </a:extLst>
            </xdr:cNvPr>
            <xdr:cNvGraphicFramePr/>
          </xdr:nvGraphicFramePr>
          <xdr:xfrm>
            <a:off x="0" y="0"/>
            <a:ext cx="0" cy="0"/>
          </xdr:xfrm>
          <a:graphic>
            <a:graphicData uri="http://schemas.microsoft.com/office/drawing/2010/slicer">
              <sle:slicer xmlns:sle="http://schemas.microsoft.com/office/drawing/2010/slicer" name="Rate_Group"/>
            </a:graphicData>
          </a:graphic>
        </xdr:graphicFrame>
      </mc:Choice>
      <mc:Fallback xmlns="">
        <xdr:sp macro="" textlink="">
          <xdr:nvSpPr>
            <xdr:cNvPr id="0" name=""/>
            <xdr:cNvSpPr>
              <a:spLocks noTextEdit="1"/>
            </xdr:cNvSpPr>
          </xdr:nvSpPr>
          <xdr:spPr>
            <a:xfrm>
              <a:off x="26356731" y="1612900"/>
              <a:ext cx="5304369" cy="6490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298027</xdr:colOff>
      <xdr:row>27</xdr:row>
      <xdr:rowOff>48981</xdr:rowOff>
    </xdr:from>
    <xdr:to>
      <xdr:col>0</xdr:col>
      <xdr:colOff>1357852</xdr:colOff>
      <xdr:row>32</xdr:row>
      <xdr:rowOff>127281</xdr:rowOff>
    </xdr:to>
    <xdr:pic>
      <xdr:nvPicPr>
        <xdr:cNvPr id="13" name="Graphic 12" descr="Clipboard with solid fill">
          <a:hlinkClick xmlns:r="http://schemas.openxmlformats.org/officeDocument/2006/relationships" r:id="rId2"/>
          <a:extLst>
            <a:ext uri="{FF2B5EF4-FFF2-40B4-BE49-F238E27FC236}">
              <a16:creationId xmlns:a16="http://schemas.microsoft.com/office/drawing/2014/main" id="{3002E1F1-786B-2547-8B8D-D0099A64A78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98027" y="7906048"/>
          <a:ext cx="1059825" cy="1094300"/>
        </a:xfrm>
        <a:prstGeom prst="rect">
          <a:avLst/>
        </a:prstGeom>
      </xdr:spPr>
    </xdr:pic>
    <xdr:clientData/>
  </xdr:twoCellAnchor>
  <xdr:twoCellAnchor editAs="oneCell">
    <xdr:from>
      <xdr:col>0</xdr:col>
      <xdr:colOff>269868</xdr:colOff>
      <xdr:row>12</xdr:row>
      <xdr:rowOff>144903</xdr:rowOff>
    </xdr:from>
    <xdr:to>
      <xdr:col>0</xdr:col>
      <xdr:colOff>1355520</xdr:colOff>
      <xdr:row>16</xdr:row>
      <xdr:rowOff>148667</xdr:rowOff>
    </xdr:to>
    <xdr:pic>
      <xdr:nvPicPr>
        <xdr:cNvPr id="14" name="Graphic 13" descr="Cmd Terminal with solid fill">
          <a:hlinkClick xmlns:r="http://schemas.openxmlformats.org/officeDocument/2006/relationships" r:id="rId5"/>
          <a:extLst>
            <a:ext uri="{FF2B5EF4-FFF2-40B4-BE49-F238E27FC236}">
              <a16:creationId xmlns:a16="http://schemas.microsoft.com/office/drawing/2014/main" id="{1E544816-6889-D94F-9968-2721A93F85D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69868" y="4310503"/>
          <a:ext cx="1085652" cy="1104431"/>
        </a:xfrm>
        <a:prstGeom prst="rect">
          <a:avLst/>
        </a:prstGeom>
      </xdr:spPr>
    </xdr:pic>
    <xdr:clientData/>
  </xdr:twoCellAnchor>
  <xdr:twoCellAnchor editAs="oneCell">
    <xdr:from>
      <xdr:col>0</xdr:col>
      <xdr:colOff>224457</xdr:colOff>
      <xdr:row>3</xdr:row>
      <xdr:rowOff>220133</xdr:rowOff>
    </xdr:from>
    <xdr:to>
      <xdr:col>0</xdr:col>
      <xdr:colOff>1363021</xdr:colOff>
      <xdr:row>7</xdr:row>
      <xdr:rowOff>219210</xdr:rowOff>
    </xdr:to>
    <xdr:pic>
      <xdr:nvPicPr>
        <xdr:cNvPr id="15" name="Graphic 14" descr="Folder Search with solid fill">
          <a:hlinkClick xmlns:r="http://schemas.openxmlformats.org/officeDocument/2006/relationships" r:id="rId8"/>
          <a:extLst>
            <a:ext uri="{FF2B5EF4-FFF2-40B4-BE49-F238E27FC236}">
              <a16:creationId xmlns:a16="http://schemas.microsoft.com/office/drawing/2014/main" id="{EDE5287F-2808-724B-BC92-5D241109AB7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24457" y="1828800"/>
          <a:ext cx="1138564" cy="1151083"/>
        </a:xfrm>
        <a:prstGeom prst="rect">
          <a:avLst/>
        </a:prstGeom>
      </xdr:spPr>
    </xdr:pic>
    <xdr:clientData/>
  </xdr:twoCellAnchor>
  <xdr:twoCellAnchor editAs="oneCell">
    <xdr:from>
      <xdr:col>0</xdr:col>
      <xdr:colOff>259919</xdr:colOff>
      <xdr:row>22</xdr:row>
      <xdr:rowOff>109184</xdr:rowOff>
    </xdr:from>
    <xdr:to>
      <xdr:col>0</xdr:col>
      <xdr:colOff>1262189</xdr:colOff>
      <xdr:row>25</xdr:row>
      <xdr:rowOff>160032</xdr:rowOff>
    </xdr:to>
    <xdr:pic>
      <xdr:nvPicPr>
        <xdr:cNvPr id="16" name="Graphic 15" descr="Aspiration with solid fill">
          <a:hlinkClick xmlns:r="http://schemas.openxmlformats.org/officeDocument/2006/relationships" r:id="rId11"/>
          <a:extLst>
            <a:ext uri="{FF2B5EF4-FFF2-40B4-BE49-F238E27FC236}">
              <a16:creationId xmlns:a16="http://schemas.microsoft.com/office/drawing/2014/main" id="{229150CB-E440-894D-927A-CBCD3BE7E30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59919" y="6730117"/>
          <a:ext cx="1002270" cy="880583"/>
        </a:xfrm>
        <a:prstGeom prst="rect">
          <a:avLst/>
        </a:prstGeom>
      </xdr:spPr>
    </xdr:pic>
    <xdr:clientData/>
  </xdr:twoCellAnchor>
  <xdr:twoCellAnchor editAs="oneCell">
    <xdr:from>
      <xdr:col>0</xdr:col>
      <xdr:colOff>264094</xdr:colOff>
      <xdr:row>8</xdr:row>
      <xdr:rowOff>102621</xdr:rowOff>
    </xdr:from>
    <xdr:to>
      <xdr:col>0</xdr:col>
      <xdr:colOff>1354667</xdr:colOff>
      <xdr:row>11</xdr:row>
      <xdr:rowOff>276927</xdr:rowOff>
    </xdr:to>
    <xdr:pic>
      <xdr:nvPicPr>
        <xdr:cNvPr id="17" name="Graphic 16" descr="Advertising with solid fill">
          <a:hlinkClick xmlns:r="http://schemas.openxmlformats.org/officeDocument/2006/relationships" r:id="rId14"/>
          <a:extLst>
            <a:ext uri="{FF2B5EF4-FFF2-40B4-BE49-F238E27FC236}">
              <a16:creationId xmlns:a16="http://schemas.microsoft.com/office/drawing/2014/main" id="{3123E86B-74F8-7146-9590-B0BBEC88DDF9}"/>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264094" y="3065954"/>
          <a:ext cx="1090573" cy="1088705"/>
        </a:xfrm>
        <a:prstGeom prst="rect">
          <a:avLst/>
        </a:prstGeom>
      </xdr:spPr>
    </xdr:pic>
    <xdr:clientData/>
  </xdr:twoCellAnchor>
  <xdr:twoCellAnchor editAs="oneCell">
    <xdr:from>
      <xdr:col>0</xdr:col>
      <xdr:colOff>281531</xdr:colOff>
      <xdr:row>17</xdr:row>
      <xdr:rowOff>77652</xdr:rowOff>
    </xdr:from>
    <xdr:to>
      <xdr:col>0</xdr:col>
      <xdr:colOff>1270207</xdr:colOff>
      <xdr:row>21</xdr:row>
      <xdr:rowOff>121914</xdr:rowOff>
    </xdr:to>
    <xdr:pic>
      <xdr:nvPicPr>
        <xdr:cNvPr id="18" name="Graphic 17" descr="3d Glasses with solid fill">
          <a:hlinkClick xmlns:r="http://schemas.openxmlformats.org/officeDocument/2006/relationships" r:id="rId17"/>
          <a:extLst>
            <a:ext uri="{FF2B5EF4-FFF2-40B4-BE49-F238E27FC236}">
              <a16:creationId xmlns:a16="http://schemas.microsoft.com/office/drawing/2014/main" id="{4F75FE83-8927-6A44-A22E-7812A7E2A94D}"/>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281531" y="5580985"/>
          <a:ext cx="988676" cy="958662"/>
        </a:xfrm>
        <a:prstGeom prst="rect">
          <a:avLst/>
        </a:prstGeom>
      </xdr:spPr>
    </xdr:pic>
    <xdr:clientData/>
  </xdr:twoCellAnchor>
  <xdr:twoCellAnchor>
    <xdr:from>
      <xdr:col>1</xdr:col>
      <xdr:colOff>449700</xdr:colOff>
      <xdr:row>5</xdr:row>
      <xdr:rowOff>116086</xdr:rowOff>
    </xdr:from>
    <xdr:to>
      <xdr:col>7</xdr:col>
      <xdr:colOff>47535</xdr:colOff>
      <xdr:row>7</xdr:row>
      <xdr:rowOff>2652</xdr:rowOff>
    </xdr:to>
    <mc:AlternateContent xmlns:mc="http://schemas.openxmlformats.org/markup-compatibility/2006" xmlns:a14="http://schemas.microsoft.com/office/drawing/2010/main">
      <mc:Choice Requires="a14">
        <xdr:graphicFrame macro="">
          <xdr:nvGraphicFramePr>
            <xdr:cNvPr id="2" name="Rate_Group 3">
              <a:extLst>
                <a:ext uri="{FF2B5EF4-FFF2-40B4-BE49-F238E27FC236}">
                  <a16:creationId xmlns:a16="http://schemas.microsoft.com/office/drawing/2014/main" id="{5A4BAEDF-73A2-AAFD-9FE3-4C39DECF3BFC}"/>
                </a:ext>
              </a:extLst>
            </xdr:cNvPr>
            <xdr:cNvGraphicFramePr/>
          </xdr:nvGraphicFramePr>
          <xdr:xfrm>
            <a:off x="0" y="0"/>
            <a:ext cx="0" cy="0"/>
          </xdr:xfrm>
          <a:graphic>
            <a:graphicData uri="http://schemas.microsoft.com/office/drawing/2010/slicer">
              <sle:slicer xmlns:sle="http://schemas.microsoft.com/office/drawing/2010/slicer" name="Rate_Group 3"/>
            </a:graphicData>
          </a:graphic>
        </xdr:graphicFrame>
      </mc:Choice>
      <mc:Fallback xmlns="">
        <xdr:sp macro="" textlink="">
          <xdr:nvSpPr>
            <xdr:cNvPr id="0" name=""/>
            <xdr:cNvSpPr>
              <a:spLocks noTextEdit="1"/>
            </xdr:cNvSpPr>
          </xdr:nvSpPr>
          <xdr:spPr>
            <a:xfrm>
              <a:off x="1976402" y="2345341"/>
              <a:ext cx="7596133" cy="372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118534</xdr:colOff>
      <xdr:row>28</xdr:row>
      <xdr:rowOff>42829</xdr:rowOff>
    </xdr:from>
    <xdr:to>
      <xdr:col>0</xdr:col>
      <xdr:colOff>938350</xdr:colOff>
      <xdr:row>32</xdr:row>
      <xdr:rowOff>27220</xdr:rowOff>
    </xdr:to>
    <xdr:pic>
      <xdr:nvPicPr>
        <xdr:cNvPr id="2" name="Graphic 1" descr="Clipboard with solid fill">
          <a:hlinkClick xmlns:r="http://schemas.openxmlformats.org/officeDocument/2006/relationships" r:id="rId1"/>
          <a:extLst>
            <a:ext uri="{FF2B5EF4-FFF2-40B4-BE49-F238E27FC236}">
              <a16:creationId xmlns:a16="http://schemas.microsoft.com/office/drawing/2014/main" id="{9B323CE6-94AC-2144-9525-4834CF6CFDCF}"/>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8534" y="5732429"/>
          <a:ext cx="819816" cy="797191"/>
        </a:xfrm>
        <a:prstGeom prst="rect">
          <a:avLst/>
        </a:prstGeom>
      </xdr:spPr>
    </xdr:pic>
    <xdr:clientData/>
  </xdr:twoCellAnchor>
  <xdr:twoCellAnchor editAs="oneCell">
    <xdr:from>
      <xdr:col>0</xdr:col>
      <xdr:colOff>118534</xdr:colOff>
      <xdr:row>13</xdr:row>
      <xdr:rowOff>178340</xdr:rowOff>
    </xdr:from>
    <xdr:to>
      <xdr:col>0</xdr:col>
      <xdr:colOff>957288</xdr:colOff>
      <xdr:row>17</xdr:row>
      <xdr:rowOff>193575</xdr:rowOff>
    </xdr:to>
    <xdr:pic>
      <xdr:nvPicPr>
        <xdr:cNvPr id="3" name="Graphic 2" descr="Cmd Terminal with solid fill">
          <a:hlinkClick xmlns:r="http://schemas.openxmlformats.org/officeDocument/2006/relationships" r:id="rId4"/>
          <a:extLst>
            <a:ext uri="{FF2B5EF4-FFF2-40B4-BE49-F238E27FC236}">
              <a16:creationId xmlns:a16="http://schemas.microsoft.com/office/drawing/2014/main" id="{D2F0A233-272E-0745-B90D-CE870989818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8534" y="2819940"/>
          <a:ext cx="838754" cy="828035"/>
        </a:xfrm>
        <a:prstGeom prst="rect">
          <a:avLst/>
        </a:prstGeom>
      </xdr:spPr>
    </xdr:pic>
    <xdr:clientData/>
  </xdr:twoCellAnchor>
  <xdr:twoCellAnchor editAs="oneCell">
    <xdr:from>
      <xdr:col>0</xdr:col>
      <xdr:colOff>135468</xdr:colOff>
      <xdr:row>3</xdr:row>
      <xdr:rowOff>160370</xdr:rowOff>
    </xdr:from>
    <xdr:to>
      <xdr:col>0</xdr:col>
      <xdr:colOff>910108</xdr:colOff>
      <xdr:row>7</xdr:row>
      <xdr:rowOff>32708</xdr:rowOff>
    </xdr:to>
    <xdr:pic>
      <xdr:nvPicPr>
        <xdr:cNvPr id="4" name="Graphic 3" descr="Folder Search with solid fill">
          <a:hlinkClick xmlns:r="http://schemas.openxmlformats.org/officeDocument/2006/relationships" r:id="rId7"/>
          <a:extLst>
            <a:ext uri="{FF2B5EF4-FFF2-40B4-BE49-F238E27FC236}">
              <a16:creationId xmlns:a16="http://schemas.microsoft.com/office/drawing/2014/main" id="{A91D39C1-9B9A-DE4C-8F2A-338F80B79996}"/>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35468" y="769970"/>
          <a:ext cx="774640" cy="685138"/>
        </a:xfrm>
        <a:prstGeom prst="rect">
          <a:avLst/>
        </a:prstGeom>
      </xdr:spPr>
    </xdr:pic>
    <xdr:clientData/>
  </xdr:twoCellAnchor>
  <xdr:twoCellAnchor editAs="oneCell">
    <xdr:from>
      <xdr:col>0</xdr:col>
      <xdr:colOff>118534</xdr:colOff>
      <xdr:row>24</xdr:row>
      <xdr:rowOff>42826</xdr:rowOff>
    </xdr:from>
    <xdr:to>
      <xdr:col>0</xdr:col>
      <xdr:colOff>891071</xdr:colOff>
      <xdr:row>27</xdr:row>
      <xdr:rowOff>107287</xdr:rowOff>
    </xdr:to>
    <xdr:pic>
      <xdr:nvPicPr>
        <xdr:cNvPr id="5" name="Graphic 4" descr="Aspiration with solid fill">
          <a:hlinkClick xmlns:r="http://schemas.openxmlformats.org/officeDocument/2006/relationships" r:id="rId10"/>
          <a:extLst>
            <a:ext uri="{FF2B5EF4-FFF2-40B4-BE49-F238E27FC236}">
              <a16:creationId xmlns:a16="http://schemas.microsoft.com/office/drawing/2014/main" id="{A8574569-ED54-3B46-B7B2-34720CE5EA1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8534" y="4919626"/>
          <a:ext cx="772537" cy="674061"/>
        </a:xfrm>
        <a:prstGeom prst="rect">
          <a:avLst/>
        </a:prstGeom>
      </xdr:spPr>
    </xdr:pic>
    <xdr:clientData/>
  </xdr:twoCellAnchor>
  <xdr:twoCellAnchor editAs="oneCell">
    <xdr:from>
      <xdr:col>0</xdr:col>
      <xdr:colOff>118534</xdr:colOff>
      <xdr:row>9</xdr:row>
      <xdr:rowOff>20420</xdr:rowOff>
    </xdr:from>
    <xdr:to>
      <xdr:col>0</xdr:col>
      <xdr:colOff>974959</xdr:colOff>
      <xdr:row>12</xdr:row>
      <xdr:rowOff>159933</xdr:rowOff>
    </xdr:to>
    <xdr:pic>
      <xdr:nvPicPr>
        <xdr:cNvPr id="6" name="Graphic 5" descr="Advertising with solid fill">
          <a:hlinkClick xmlns:r="http://schemas.openxmlformats.org/officeDocument/2006/relationships" r:id="rId13"/>
          <a:extLst>
            <a:ext uri="{FF2B5EF4-FFF2-40B4-BE49-F238E27FC236}">
              <a16:creationId xmlns:a16="http://schemas.microsoft.com/office/drawing/2014/main" id="{5645BCC2-92BF-8D4E-8D60-9C0B5BA3227E}"/>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18534" y="1849220"/>
          <a:ext cx="856425" cy="749113"/>
        </a:xfrm>
        <a:prstGeom prst="rect">
          <a:avLst/>
        </a:prstGeom>
      </xdr:spPr>
    </xdr:pic>
    <xdr:clientData/>
  </xdr:twoCellAnchor>
  <xdr:twoCellAnchor editAs="oneCell">
    <xdr:from>
      <xdr:col>0</xdr:col>
      <xdr:colOff>186267</xdr:colOff>
      <xdr:row>19</xdr:row>
      <xdr:rowOff>57100</xdr:rowOff>
    </xdr:from>
    <xdr:to>
      <xdr:col>0</xdr:col>
      <xdr:colOff>949772</xdr:colOff>
      <xdr:row>22</xdr:row>
      <xdr:rowOff>176826</xdr:rowOff>
    </xdr:to>
    <xdr:pic>
      <xdr:nvPicPr>
        <xdr:cNvPr id="7" name="Graphic 6" descr="3d Glasses with solid fill">
          <a:hlinkClick xmlns:r="http://schemas.openxmlformats.org/officeDocument/2006/relationships" r:id="rId16"/>
          <a:extLst>
            <a:ext uri="{FF2B5EF4-FFF2-40B4-BE49-F238E27FC236}">
              <a16:creationId xmlns:a16="http://schemas.microsoft.com/office/drawing/2014/main" id="{050AD665-218E-A14A-B2E6-8C8244244C7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86267" y="3917900"/>
          <a:ext cx="763505" cy="72932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rdan Lloyd" refreshedDate="45850.415199189818" createdVersion="8" refreshedVersion="8" minRefreshableVersion="3" recordCount="553" xr:uid="{9FB476C2-21C1-8B48-8C4F-96C6753C18CB}">
  <cacheSource type="worksheet">
    <worksheetSource name="b.nike.views"/>
  </cacheSource>
  <cacheFields count="11">
    <cacheField name="product_ID" numFmtId="0">
      <sharedItems count="554">
        <s v="CD0490-101"/>
        <s v="CD0490-104"/>
        <s v="CK4363-100"/>
        <s v="AQ2222-200"/>
        <s v="CK2531-001"/>
        <s v="AV6259-500"/>
        <s v="CD3395-006"/>
        <s v="BQ3381-600"/>
        <s v="AT7946-414"/>
        <s v="AO1742-004"/>
        <s v="BQ4430-400"/>
        <s v="CN8490-100"/>
        <s v="CD0888-002"/>
        <s v="CD0887-201"/>
        <s v="CD4570-300"/>
        <s v="AQ7497-300"/>
        <s v="CI1291-400"/>
        <s v="BV7725-500"/>
        <s v="AV1201-600"/>
        <s v="AQ2456-007"/>
        <s v="CI3898-200"/>
        <s v="AO3166-300"/>
        <s v="CT7698-600"/>
        <s v="CK2595-500"/>
        <s v="CI9842-500"/>
        <s v="CJ0219-400"/>
        <s v="CQ0912-100"/>
        <s v="AT6099-606"/>
        <s v="CJ9684-001"/>
        <s v="AJ6959-717"/>
        <s v="AT7975-606"/>
        <s v="AT7324-001"/>
        <s v="CD4161-606"/>
        <s v="BQ5469-703"/>
        <s v="CJ5472-900"/>
        <s v="AT7978-414"/>
        <s v="CD5036-100"/>
        <s v="CD3002-103"/>
        <s v="BV4584-001"/>
        <s v="AO3095-100"/>
        <s v="CI1718-001"/>
        <s v="BQ3448-400"/>
        <s v="AT5301-003"/>
        <s v="864348-019"/>
        <s v="881105-800"/>
        <s v="CD4573-001"/>
        <s v="844127-108"/>
        <s v="AO0571-606"/>
        <s v="CJ0220-400"/>
        <s v="CJ1794-600"/>
        <s v="CD2053-105"/>
        <s v="CI7815-602"/>
        <s v="CI1290-100"/>
        <s v="AV9370-001"/>
        <s v="CT2007-100"/>
        <s v="CI3708-700"/>
        <s v="CT4526-100"/>
        <s v="CD0113-400"/>
        <s v="CD2153-001"/>
        <s v="CJ0861-017"/>
        <s v="CK1195-101"/>
        <s v="CJ0861-010"/>
        <s v="CD7288-001"/>
        <s v="CD7005-001"/>
        <s v="CI1396-600"/>
        <s v="CI3835-002"/>
        <s v="CI1694-300"/>
        <s v="CK5836-100"/>
        <s v="CD0916-001"/>
        <s v="AV3866-001"/>
        <s v="CJ3312-001"/>
        <s v="CD6615-100"/>
        <s v="CD4962-001"/>
        <s v="CD5029-001"/>
        <s v="CU5646-001"/>
        <s v="CD0200-003"/>
        <s v="BV5502-600"/>
        <s v="BQ5615-002"/>
        <s v="CN7664-800"/>
        <s v="705265-006"/>
        <s v="BQ5190-101"/>
        <s v="CD4387-100"/>
        <s v="CJ6106-100"/>
        <s v="CW4409-100"/>
        <s v="CU3459-200"/>
        <s v="BQ3611-100"/>
        <s v="CN3591-002"/>
        <s v="AQ2567-002"/>
        <s v="BQ4424-700"/>
        <s v="CK2085-002"/>
        <s v="CU0675-300"/>
        <s v="CK3314-400"/>
        <s v="CU9174-600"/>
        <s v="AT6817-300"/>
        <s v="AV4052-116"/>
        <s v="CI1396-004"/>
        <s v="CQ6549-001"/>
        <s v="BV7775-100"/>
        <s v="BQ9138-601"/>
        <s v="AV5187-602"/>
        <s v="BV7756-001"/>
        <s v="CI7388-600"/>
        <s v="CT5770-300"/>
        <s v="CI3446-001"/>
        <s v="BV7757-500"/>
        <s v="CI1236-100"/>
        <s v="AR9293-603"/>
        <s v="BV0415-300"/>
        <s v="AO0354-108"/>
        <s v="CK2351-601"/>
        <s v="AR4543-013"/>
        <s v="CI0919-100"/>
        <s v="AR7410-603"/>
        <s v="852542-087"/>
        <s v="AT8241-002"/>
        <s v="CT5342-007"/>
        <s v="BQ6826-003"/>
        <s v="313358-006"/>
        <s v="AQ0114-101"/>
        <s v="BV1507-001"/>
        <s v="CD4363-103"/>
        <s v="CI5646-200"/>
        <s v="CK6360-001"/>
        <s v="CT7695-401"/>
        <s v="BQ5240-200"/>
        <s v="CD4366-002"/>
        <s v="310805-137"/>
        <s v="AO4568-600"/>
        <s v="BV1021-007"/>
        <s v="CD0881-104"/>
        <s v="BV0657-400"/>
        <s v="BV5739-500"/>
        <s v="CD4373-001"/>
        <s v="BV7106-400"/>
        <s v="CQ6566-700"/>
        <s v="CD0431-107"/>
        <s v="553558-125"/>
        <s v="CD4371-001"/>
        <s v="AR4229-003"/>
        <s v="AQ4312-107"/>
        <s v="CN2932-100"/>
        <s v="AT6175-100"/>
        <s v="CD7070-009"/>
        <s v="CT2692-002"/>
        <s v="AR5677-200"/>
        <s v="885118-001"/>
        <s v="CI3794-600"/>
        <s v="CD5050-400"/>
        <s v="CQ7731-900"/>
        <s v="BQ3177-100"/>
        <s v="315122-001"/>
        <s v="315115-112"/>
        <s v="634835-108"/>
        <s v="554724-066"/>
        <s v="130690-017"/>
        <s v="AR5339-002"/>
        <s v="807471-101"/>
        <s v="807471-103"/>
        <s v="CD3460-010"/>
        <s v="AQ2568-100"/>
        <s v="315123-111"/>
        <s v="832528-001"/>
        <s v="AV4417-002"/>
        <s v="BQ3212-600"/>
        <s v="CN5455-160"/>
        <s v="AV6337-003"/>
        <s v="CJ9712-001"/>
        <s v="CT8919-700"/>
        <s v="CD5082-001"/>
        <s v="BQ5102-400"/>
        <s v="AT5410-003"/>
        <s v="AV6243-400"/>
        <s v="AQ4126-100"/>
        <s v="CQ0492-001"/>
        <s v="CD2189-002"/>
        <s v="CK3309-001"/>
        <s v="AQ7483-001"/>
        <s v="BV7099-400"/>
        <s v="AO7353-105"/>
        <s v="AJ6910-009"/>
        <s v="BQ6623-070"/>
        <s v="BQ7043-668"/>
        <s v="AO9819-001"/>
        <s v="AQ2731-500"/>
        <s v="528895-003"/>
        <s v="AO2982-076"/>
        <s v="BQ4630-500"/>
        <s v="AQ2210-002"/>
        <s v="BV0417-401"/>
        <s v="AO1023-005"/>
        <s v="CJ2586-100"/>
        <s v="AV4789-104"/>
        <s v="CU5133-600"/>
        <s v="AT8179-100"/>
        <s v="CI3871-300"/>
        <s v="AO2132-401"/>
        <s v="BQ9665-301"/>
        <s v="880848-005"/>
        <s v="921826-016"/>
        <s v="921733-104"/>
        <s v="AQ4174-049"/>
        <s v="AA1640-002"/>
        <s v="CK6357-005"/>
        <s v="343881-412"/>
        <s v="AQ7492-010"/>
        <s v="AA8018-101"/>
        <s v="AV5555-001"/>
        <s v="704939-103"/>
        <s v="CD2717-001"/>
        <s v="CI3899-200"/>
        <s v="BQ4632-602"/>
        <s v="CD4365-003"/>
        <s v="CI7523-002"/>
        <s v="CQ2503-900"/>
        <s v="AO2924-401"/>
        <s v="BQ8927-102"/>
        <s v="AR4561-200"/>
        <s v="BQ5422-200"/>
        <s v="AT6174-004"/>
        <s v="CD4372-004"/>
        <s v="812654-011"/>
        <s v="AH7857-009"/>
        <s v="AQ1316-500"/>
        <s v="923112-001"/>
        <s v="487471-003"/>
        <s v="AA1625-009"/>
        <s v="AR5676-401"/>
        <s v="AR4225-003"/>
        <s v="AR4225-100"/>
        <s v="749571-154"/>
        <s v="AR6374-402"/>
        <s v="AT3378-471"/>
        <s v="415445-102"/>
        <s v="BQ8928-011"/>
        <s v="943806-602"/>
        <s v="343880-090"/>
        <s v="CK2630-700"/>
        <s v="CK2630-001"/>
        <s v="AQ8830-016"/>
        <s v="AQ5708-201"/>
        <s v="BQ1896-002"/>
        <s v="CK2718-003"/>
        <s v="640744-016"/>
        <s v="618919-031"/>
        <s v="AO9820-001"/>
        <s v="AQ2730-009"/>
        <s v="812655-011"/>
        <s v="AO2607-401"/>
        <s v="AT8240-003"/>
        <s v="AH1015-010"/>
        <s v="AO3108-018"/>
        <s v="AO3258-080"/>
        <s v="AJ1285-101"/>
        <s v="AT6395-002"/>
        <s v="CN6916-100"/>
        <s v="BV1134-001"/>
        <s v="CN6928-300"/>
        <s v="BQ5467-101"/>
        <s v="AH6799-300"/>
        <s v="AO3269-717"/>
        <s v="CN2408-001"/>
        <s v="AA8027-109"/>
        <s v="CT1264-101"/>
        <s v="CK9671-001"/>
        <s v="BV5841-800"/>
        <s v="CI3831-200"/>
        <s v="CD2803-001"/>
        <s v="CU0814-102"/>
        <s v="CT5543-300"/>
        <s v="CD6964-002"/>
        <s v="CQ0989-002"/>
        <s v="CI3709-001"/>
        <s v="414571-030"/>
        <s v="AH6789-023"/>
        <s v="942851-002"/>
        <s v="AO4971-700"/>
        <s v="AQ1289-003"/>
        <s v="BQ6044-100"/>
        <s v="BQ2728-012"/>
        <s v="487754-303"/>
        <s v="AQ5707-001"/>
        <s v="AH8050-100"/>
        <s v="922474-001"/>
        <s v="AR6631-004"/>
        <s v="AQ7487-201"/>
        <s v="488161-602"/>
        <s v="366731-100"/>
        <s v="AA8022-107"/>
        <s v="AQ1189-009"/>
        <s v="AJ6900-102"/>
        <s v="BQ6166-003"/>
        <s v="AV2605-101"/>
        <s v="CI2666-400"/>
        <s v="BV6344-001"/>
        <s v="BQ3203-007"/>
        <s v="AQ8228-102"/>
        <s v="AO1741-003"/>
        <s v="CJ6971-001"/>
        <s v="BQ6046-010"/>
        <s v="CI1246-302"/>
        <s v="807443-503"/>
        <s v="AQ2203-003"/>
        <s v="918193-700"/>
        <s v="AJ4115-060"/>
        <s v="AQ7489-008"/>
        <s v="AA1636-406"/>
        <s v="AA0287-002"/>
        <s v="325213-139"/>
        <s v="849560-001"/>
        <s v="AR6632-603"/>
        <s v="AQ4176-049"/>
        <s v="AO3189-600"/>
        <s v="BQ0129-106"/>
        <s v="CI9367-301"/>
        <s v="CU7623-002"/>
        <s v="AH1016-602"/>
        <s v="AQ8306-407"/>
        <s v="AR7718-001"/>
        <s v="AO3116-004"/>
        <s v="AA8030-108"/>
        <s v="CD2722-001"/>
        <s v="AA7408-008"/>
        <s v="CD0917-300"/>
        <s v="AT2863-100"/>
        <s v="AT5293-004"/>
        <s v="BQ3202-011"/>
        <s v="CD8526-446"/>
        <s v="AA7406-006"/>
        <s v="631261-035"/>
        <s v="BV1357-003"/>
        <s v="CD2182-001"/>
        <s v="BV0612-001"/>
        <s v="BV0614-005"/>
        <s v="AH7249-118"/>
        <s v="CD5007-102"/>
        <s v="AV4126-002"/>
        <s v="BQ3378-002"/>
        <s v="CD0683-600"/>
        <s v="CT9155-063"/>
        <s v="849559-004"/>
        <s v="BQ5401-001"/>
        <s v="AQ7491-008"/>
        <s v="AH7858-010"/>
        <s v="AO0566-606"/>
        <s v="AA1626-602"/>
        <s v="AT8242-009"/>
        <s v="BV7766-100"/>
        <s v="AO7351-104"/>
        <s v="AT5303-100"/>
        <s v="AQ7477-009"/>
        <s v="BV6348-300"/>
        <s v="918194-003"/>
        <s v="AT3381-008"/>
        <s v="CK2719-400"/>
        <s v="AT6110-004"/>
        <s v="CI5546-100"/>
        <s v="AT5292-606"/>
        <s v="AT5292-004"/>
        <s v="749747-010"/>
        <s v="AQ7878-003"/>
        <s v="CJ0636-100"/>
        <s v="CI1214-004"/>
        <s v="AO3424-001"/>
        <s v="AR4347-600"/>
        <s v="CI2668-004"/>
        <s v="CT1030-100"/>
        <s v="CT4352-104"/>
        <s v="CU3005-171"/>
        <s v="CI3866-100"/>
        <s v="CT5528-001"/>
        <s v="CJ0619-100"/>
        <s v="CT2535-001"/>
        <s v="CT4525-001"/>
        <s v="CI3868-001"/>
        <s v="CJ0592-001"/>
        <s v="BV9977-101"/>
        <s v="CW4286-100"/>
        <s v="CK9670-100"/>
        <s v="CT5229-001"/>
        <s v="CT5063-100"/>
        <s v="CU3013-070"/>
        <s v="CI3870-100"/>
        <s v="CT4328-101"/>
        <s v="CJ1379-001"/>
        <s v="CK2608-100"/>
        <s v="CT1099-093"/>
        <s v="CD6721-808"/>
        <s v="CJ0579-400"/>
        <s v="BV7774-100"/>
        <s v="CZ6156-101"/>
        <s v="CJ6314-146"/>
        <s v="CI3707-100"/>
        <s v="CJ0710-004"/>
        <s v="CN5501-046"/>
        <s v="CJ0404-001"/>
        <s v="CK7200-800"/>
        <s v="AT7960-104"/>
        <s v="CJ0280-001"/>
        <s v="AT7980-606"/>
        <s v="CJ1646-600"/>
        <s v="CD0479-200"/>
        <s v="CJ0860-668"/>
        <s v="CQ9500-100"/>
        <s v="CJ1642-002"/>
        <s v="AT8000-104"/>
        <s v="CJ0267-001"/>
        <s v="CD5086-500"/>
        <s v="CD4156-606"/>
        <s v="CD4159-606"/>
        <s v="CI9921-001"/>
        <s v="AT7949-606"/>
        <s v="AH7378-801"/>
        <s v="CT3110-400"/>
        <s v="AT6107-606"/>
        <s v="AT7999-414"/>
        <s v="CJ0266-001"/>
        <s v="AO0578-717"/>
        <s v="CD4172-606"/>
        <s v="CD0132-001"/>
        <s v="CJ0277-002"/>
        <s v="AT7998-104"/>
        <s v="AT7898-104"/>
        <s v="AT7997-606"/>
        <s v="AT7995-104"/>
        <s v="CJ0773-010"/>
        <s v="AT1198-401"/>
        <s v="AT7996-606"/>
        <s v="BQ5427-401"/>
        <s v="CJ0270-601"/>
        <s v="CT1020-001"/>
        <s v="CJ1300-401"/>
        <s v="CT3632-001"/>
        <s v="AO0570-810"/>
        <s v="BQ5435-703"/>
        <s v="133000-106"/>
        <s v="AT7967-104"/>
        <s v="CK1069-001"/>
        <s v="CD4173-606"/>
        <s v="CJ0217-001"/>
        <s v="CK0980-002"/>
        <s v="CJ0588-001"/>
        <s v="AT5269-606"/>
        <s v="AO0577-717"/>
        <s v="BQ5430-401"/>
        <s v="CJ1292-401"/>
        <s v="CI9994-001"/>
        <s v="CJ1306-401"/>
        <s v="AT6109-606"/>
        <s v="CQ6278-001"/>
        <s v="832655-001"/>
        <s v="554724-050"/>
        <s v="CJ0625-700"/>
        <s v="CQ6569-001"/>
        <s v="AR3863-101"/>
        <s v="CD0191-009"/>
        <s v="AV5186-101"/>
        <s v="CT1726-100"/>
        <s v="CT1104-700"/>
        <s v="CK2772-101"/>
        <s v="CI3703-401"/>
        <s v="CI3706-100"/>
        <s v="CI9949-001"/>
        <s v="AQ0925-002"/>
        <s v="CQ6639-001"/>
        <s v="CK4126-001"/>
        <s v="CD6105-007"/>
        <s v="CT3890-101"/>
        <s v="BQ5808-100"/>
        <s v="CD0189-001"/>
        <s v="CU2708-901"/>
        <s v="CT2584-100"/>
        <s v="CI3482-200"/>
        <s v="CI0808-100"/>
        <s v="CT3867-001"/>
        <s v="DA4155-400"/>
        <s v="CQ2344-100"/>
        <s v="CK3022-005"/>
        <s v="AJ9515-001"/>
        <s v="AO2434-101"/>
        <s v="CK5669-400"/>
        <s v="CK5668-600"/>
        <s v="CD5028-900"/>
        <s v="AT1369-103"/>
        <s v="AQ0926-001"/>
        <s v="CD6404-800"/>
        <s v="CI3705-600"/>
        <s v="AJ7695-100"/>
        <s v="CU8861-460"/>
        <s v="CQ3317-001"/>
        <s v="AO3622-006"/>
        <s v="CD0188-101"/>
        <s v="CT3509-001"/>
        <s v="AO2605-600"/>
        <s v="AQ0927-100"/>
        <s v="CK0986-002"/>
        <s v="AR8836-009"/>
        <s v="CT5062-100"/>
        <s v="CI1504-100"/>
        <s v="BV1712-001"/>
        <s v="CW6565-900"/>
        <s v="CK0089-100"/>
        <s v="BQ3610-100"/>
        <s v="CV5515-001"/>
        <s v="AJ6844-007"/>
        <s v="BQ5613-001"/>
        <s v="BQ4631-100"/>
        <s v="AT7993-414"/>
        <s v="CD3398-063"/>
        <s v="CT5064-001"/>
        <s v="AQ7488-004"/>
        <s v="BV7754-001"/>
        <s v="AR5149-005"/>
        <s v="CQ7619-700"/>
        <s v="CJ0509-001"/>
        <s v="CK3312-001"/>
        <s v="CT0624-100"/>
        <s v="CT1549-001"/>
        <s v="AT7996-414"/>
        <s v="CJ0882-001"/>
        <s v="AO3267-080"/>
        <s v="BV5740-101"/>
        <s v="CJ9681-001"/>
        <s v="CK4122-100"/>
        <s v="CJ1292-703"/>
        <s v="CI7395-100"/>
        <s v="AT5673-700"/>
        <s v="CJ0818-146"/>
        <s v="CI1289-100"/>
        <s v="CD7287-003"/>
        <s v="BQ5972-001"/>
        <s v="BV6484-002"/>
        <s v="BV3387-400"/>
        <s v="CN7383-300"/>
        <s v="BV7782-001"/>
        <s v="CN6867-001"/>
        <s v="BQ7978-001"/>
        <s v="844896-002"/>
        <s v="CU3004-176"/>
        <s v="BV0389-001"/>
        <s v="CI7379-400"/>
        <s v="CN6881-300"/>
        <s v="CI3869-500"/>
        <s v="CT1531-001"/>
        <s v="BQ5435-401"/>
        <s v="CK3321-100"/>
        <s v="CQ7620-001"/>
        <s v="CJ0842-600"/>
        <s v="AV9373-002"/>
        <s v="CI3867-001"/>
        <s v="CQ0278-200"/>
        <s v="AT7968-606"/>
        <s v="AT6100-606"/>
        <s v="CJ9585-600"/>
        <s v="CD6720-808" u="1"/>
      </sharedItems>
    </cacheField>
    <cacheField name="Product" numFmtId="0">
      <sharedItems count="392">
        <s v="Nike Air Max 90"/>
        <s v="Nike Air Force 1 '07 LV8"/>
        <s v="Nike Air Zoom Wildhorse 5"/>
        <s v="Nike Air Max 720 (OBJ)"/>
        <s v="Nike Air Zoom Pegasus 36 Premium Rise"/>
        <s v="Nike Metcon 5 AMP"/>
        <s v="Air Jordan XXXIV PF"/>
        <s v="Nike Mercurial Superfly 7 Academy MG"/>
        <s v="Nike Joyride CC"/>
        <s v="Nike Air Max 720 Waves"/>
        <s v="Nike Zoom Fly 3 Premium"/>
        <s v="Nike Air Zoom Winflo 6"/>
        <s v="Nike Epic Phantom React"/>
        <s v="Nike Daybreak SP"/>
        <s v="Jordan Trunner NXT React"/>
        <s v="Kyrie 5"/>
        <s v="Nike Air Max Dia"/>
        <s v="Nike Pre-Love O.X."/>
        <s v="Nike Air Max 2090"/>
        <s v="Nike Air Max 270 React ENG"/>
        <s v="Nike Air Max Verona"/>
        <s v="Nike Air Zoom Terra Kiger 6"/>
        <s v="Nike Air Max 90 Premium"/>
        <s v="Nike Tiempo Legend 8 Academy IC"/>
        <s v="Nike Air Max Plus III"/>
        <s v="Nike Phantom Vision Club Dynamic Fit FG"/>
        <s v="Nike Mercurial Superfly 7 Academy IC"/>
        <s v="Nike SB Zoom Stefan Janoski Mid RM"/>
        <s v="Nike Phantom Vision 2 Elite Dynamic Fit FG"/>
        <s v="Nike Mercurial Superfly 7 Elite MDS FG"/>
        <s v="Nike Air Max 720 BETRUE"/>
        <s v="Nike Mercurial Superfly 7 Academy TF"/>
        <s v="Nike SB Air Zoom Bruin Edge"/>
        <s v="Jordan 'Why Not?' Zer0.3 PF"/>
        <s v="Nike ISPA Joyride Envelope"/>
        <s v="Nike EXP-X14 SE"/>
        <s v="Nike Epic Phantom React A.I.R. Cody Hudson"/>
        <s v="Jordan Jumpman 2020 PF"/>
        <s v="Nike React Sertu"/>
        <s v="Nike SB Blazer Low XT"/>
        <s v="Nike Air Max 90 NS SE"/>
        <s v="Nike Air Zoom Pegasus 36"/>
        <s v="Nike Potential 3"/>
        <s v="Nike Phantom Venom Academy TF"/>
        <s v="Nike Air Max Triax 96"/>
        <s v="Air Jordan 1 Jester XX Low Laced"/>
        <s v="Nike Blazer Low LE"/>
        <s v="Nike Air Max 97"/>
        <s v="Nike React Element 55 SE"/>
        <s v="Nike Free Metcon 3"/>
        <s v="Nike Zoom KD12"/>
        <s v="Nike Zoom Rival Fly"/>
        <s v="Nike Air Max Impact"/>
        <s v="Nike React Element 55 Premium"/>
        <s v="Nike Zoom Vomero 5 SE SP"/>
        <s v="Kyrie 5 x Bandulu"/>
        <s v="Nike Air Max 90 QS"/>
        <s v="Nike x Carhartt WIP Air Max 95"/>
        <s v="Nike React Kenny 55"/>
        <s v="Nike Air Max 270 SE"/>
        <s v="Zoom Freak 1 'Employee of the Month'"/>
        <s v="Kyrie 6 EP 'Chinese New Year'"/>
        <s v="LeBron 7 QS"/>
        <s v="Nike Renew Fusion"/>
        <s v="Jordan Aerospace 720"/>
        <s v="Nike Air Max 97 Utility"/>
        <s v="Nike React Presto Premium"/>
        <s v="Nike SB Check"/>
        <s v="Nike Drop-Type Mid"/>
        <s v="Nike Air Streak Lite"/>
        <s v="Nike x Hawkins High Cortez"/>
        <s v="Air Jordan 13 Retro Chinese New Year"/>
        <s v="Nike x Undercover React Presto"/>
        <s v="Nike Vandalised LX"/>
        <s v="Nike Air Max Tailwind IV"/>
        <s v="Nike Air Force 1 '07 Premium"/>
        <s v="Nike Shox TL Nova SP"/>
        <s v="Nike x Olivia Kim Air Force 1 '07"/>
        <s v="Nike Air VaporMax 2019 Premium"/>
        <s v="Air Jordan 1 Nova XX"/>
        <s v="Nike Air Max 270 Special Edition"/>
        <s v="Nike Free RN 5.0 AW"/>
        <s v="NikeCourt Royale AC"/>
        <s v="Jordan Air Latitude 720"/>
        <s v="Nike ZoomX Vista Grind SP"/>
        <s v="Nike Air Force 1 '07 SE"/>
        <s v="Nike Zoom Pegasus Turbo 2 Special Edition"/>
        <s v="Air Jordan 8 Retro"/>
        <s v="Nike Air Max 720"/>
        <s v="Nike Epic Phantom React Flyknit"/>
        <s v="Nike Zoom 2K"/>
        <s v="Nike Daybreak"/>
        <s v="Nike In-Season TR 9"/>
        <s v="Nike Air Force 1 Shadow"/>
        <s v="Nike Air Max Dia SE"/>
        <s v="Air Jordan 1 Mid SE"/>
        <s v="Nike Zoom Fly 3"/>
        <s v="Air Jordan 4 Retro SE"/>
        <s v="Nike SB Dunk High Pro"/>
        <s v="Air Jordan 7 Retro"/>
        <s v="LeBron x John Elliott Icon"/>
        <s v="Nike Joyride Dual Run"/>
        <s v="Nike Renew Run"/>
        <s v="Nike Xarr"/>
        <s v="Nike Air Force 1 React"/>
        <s v="Air Jordan 10 Retro"/>
        <s v="Nike ZoomX Vaporfly NEXT%"/>
        <s v="Nike P-6000 Icon Clash"/>
        <s v="Nike SB Shane"/>
        <s v="Nike React Vision"/>
        <s v="Nike Wildhorse 6"/>
        <s v="Nike Air Force 1 SP"/>
        <s v="NikeCourt Air Zoom Vapor Cage 4"/>
        <s v="Air Jordan 1 Low"/>
        <s v="Nike React Infinity Run Flyknit"/>
        <s v="Nike Air Max Dia Icon Clash"/>
        <s v="Air Jordan 5 Retro"/>
        <s v="Nike Air Max 200"/>
        <s v="Jordan Mars 270"/>
        <s v="Nike iSPA React"/>
        <s v="Nike Air Zoom Pegasus 36 Trail"/>
        <s v="Nike Air Huarache Ultra"/>
        <s v="Jordan Proto-React Z"/>
        <s v="LeBron 17 Monstars"/>
        <s v="Nike Zoom KD12 'YouTube'"/>
        <s v="LeBron 17"/>
        <s v="Nike Air Force 1 '07"/>
        <s v="Nike Air Huarache"/>
        <s v="Air Jordan 1 Mid"/>
        <s v="Air Jordan 12 Retro"/>
        <s v="Nike Air Force 1 Sage Low"/>
        <s v="Nike Classic Cortez"/>
        <s v="Nike Air Zoom SuperRep"/>
        <s v="Nike Air Force 1 Mid '07"/>
        <s v="Nike Kawa Shower"/>
        <s v="Nike Air Max 98 LX"/>
        <s v="Nike Revolution 5 FlyEase"/>
        <s v="Kyrie Low 2"/>
        <s v="Nike Zoom Pegasus Turbo Shield"/>
        <s v="Nike ZoomX Vista Grind"/>
        <s v="PG 4 EP"/>
        <s v="Nike Huarache Type"/>
        <s v="Nike Air Ghost Racer"/>
        <s v="Nike Air Force Max II"/>
        <s v="Nike Air Max 97 SE"/>
        <s v="Nike Air Force 1 Low Retro"/>
        <s v="Nike Air Skarn"/>
        <s v="Nike x Olivia Kim Air Max 98"/>
        <s v="Nike Flex RN 2019"/>
        <s v="NikeCourt Air Max Wildcard"/>
        <s v="Nike Air VaporMax Flyknit 3"/>
        <s v="Jordan Proto-Max 720"/>
        <s v="Nike Odyssey React"/>
        <s v="Nike Joyride Run Flyknit"/>
        <s v="Air Jordan 11 Retro Low"/>
        <s v="Nike Metcon 5"/>
        <s v="Kyrie 6 'Enlightenment'"/>
        <s v="Nike Air Max 270 Flyknit"/>
        <s v="Nike Cortez '72 S.D."/>
        <s v="Nike M2K Tekno"/>
        <s v="LeBron 7"/>
        <s v="Nike Air DSVM"/>
        <s v="Nike MX-720-818"/>
        <s v="Nike Air Force 1 '07 Essential"/>
        <s v="Nike Air Max Dia Winter"/>
        <s v="Nike Zoom Fly"/>
        <s v="Nike Mercurial Superfly 7 Elite FG"/>
        <s v="Nike Air Zoom Structure 22"/>
        <s v="Nike Benassi"/>
        <s v="Nike Air Max Bella TR 2"/>
        <s v="NikeCourt Air Zoom Zero"/>
        <s v="Nike React Ianga"/>
        <s v="Nike SB Blazer Low GT"/>
        <s v="Nike Benassi JDI BETRUE"/>
        <s v="Nike Air Max 270 React"/>
        <s v="Nike Offcourt"/>
        <s v="Nike Air Max Dia NRG"/>
        <s v="Nike Epic React Flyknit 2"/>
        <s v="Nike Zoom Fly Flyknit"/>
        <s v="Zoom Freak 1"/>
        <s v="Nike Tanjun"/>
        <s v="Nike Air Zoom Vomero 14"/>
        <s v="Nike Free RN 5.0"/>
        <s v="Nike SB Bruin High"/>
        <s v="Air Jordan 14 Retro"/>
        <s v="Nike Legend React"/>
        <s v="LeBron Soldier 13 SFG"/>
        <s v="Jordan Break"/>
        <s v="Nike Air Max Alpha Savage"/>
        <s v="Nike Air Monarch IV"/>
        <s v="Kyrie 4"/>
        <s v="Nike Air Force 1 GORE-TEX ¬Æ"/>
        <s v="Air Jordan XXXIII"/>
        <s v="Nike Free RN Flyknit 3.0"/>
        <s v="Nike Air VaporMax 360"/>
        <s v="Nike Air Max 98"/>
        <s v="Nike Benassi JDI Floral"/>
        <s v="PG 3"/>
        <s v="Nike Odyssey React Flyknit 2"/>
        <s v="Nike Phantom Vision Academy Dynamic Fit MG"/>
        <s v="Nike Air Max 90 Essential"/>
        <s v="Nike Joyride CC3 Setter"/>
        <s v="Nike Drop-Type Premium"/>
        <s v="Nike Zoom Pegasus Turbo 2 Rise"/>
        <s v="Nike Zoom Pegasus Turbo 2"/>
        <s v="Nike Zoom Rise"/>
        <s v="Nike Phantom Vision Academy Dynamic Fit TF"/>
        <s v="Nike x Undercover Air Max 720"/>
        <s v="NikeCourt Air Zoom Vapor X"/>
        <s v="Jordan Hydro 8"/>
        <s v="Nike Air Max 90 FlyEase"/>
        <s v="Nike Air Max Triax 96 SP"/>
        <s v="Nike Drop-Type"/>
        <s v="Air Jordan 13 Retro"/>
        <s v="Nike Air Max 270"/>
        <s v="Nike Air Zoom Pegasus 35"/>
        <s v="Nike React Metcon"/>
        <s v="Nike React Element 55"/>
        <s v="Nike Air Tailwind 79"/>
        <s v="Nike SFB Gen 2 20cm (approx.)"/>
        <s v="Nike Air VaporMax 2019"/>
        <s v="Nike Solarsoft"/>
        <s v="Nike React Presto"/>
        <s v="PG 3 NASA"/>
        <s v="Nike ACG React Terra Gobe"/>
        <s v="Nike Zoom Gravity"/>
        <s v="Nike Air Max2 Light"/>
        <s v="Nike x Undercover React"/>
        <s v="Nike Air VaporMax SE"/>
        <s v="Nike Air Max 95 Premium"/>
        <s v="NikeCourt Zoom Cage 3"/>
        <s v="Nike Zoom Pegasus Turbo"/>
        <s v="Nike Metcon Sport"/>
        <s v="Nike Air Max 2017"/>
        <s v="Nike Mercurial Vapor 13 Elite FG"/>
        <s v="Nike Air Max FF 720"/>
        <s v="NikeCourt Air Max Vapor Wing MS"/>
        <s v="Nike ACG MOC 3.0"/>
        <s v="Nike x MMW Joyride CC3 Setter"/>
        <s v="Nike Free X Metcon 2"/>
        <s v="Nike SB Zoom Stefan Janoski Canvas RM"/>
        <s v="Nike Air Wildwood ACG"/>
        <s v="Nike Flex RN 2018"/>
        <s v="Nike Tiempo Legend 8 Elite FG"/>
        <s v="Nike Air Zoom Winflo 5"/>
        <s v="Nike Benassi JDI"/>
        <s v="Nike Air Max Tailwind IV SP"/>
        <s v="Nike ISPA Air Max 720"/>
        <s v="Nike Pegasus 36 FlyEase (Extra Wide)"/>
        <s v="Nike Air Zoom Pegasus 36 FlyEase"/>
        <s v="Nike TiempoX Lunar Legend VII Pro TF"/>
        <s v="LeBron 17 Low"/>
        <s v="Jordan 'Why Not?' Zer0.2 SE PF"/>
        <s v="Nike Air Max 720 SE"/>
        <s v="Nike React Metcon AMP"/>
        <s v="Nike AlphaDunk"/>
        <s v="Nike Flex TR 9"/>
        <s v="Nike Phantom Venom Academy FG"/>
        <s v="Nike Signal D/MS/X"/>
        <s v="Nike SB Air Max Stefan Janoski 2"/>
        <s v="Nike ACG Air Terra Antarktik"/>
        <s v="NikeCourt Air Zoom Resistance"/>
        <s v="Jordan Proto-Lyte"/>
        <s v="Nike Tiempo Legend 8 Club IC"/>
        <s v="Nike Blazer Low QS Flyleather with at least 50% leather fibre"/>
        <s v="Nike Tiempo Legend 8 Academy MG"/>
        <s v="NikeCourt Royale"/>
        <s v="Nike SB Zoom Stefan Janoski Canvas RM Premium"/>
        <s v="Nike Air Max Dia LX"/>
        <s v="Nike Free TR Ultra"/>
        <s v="Nike Zoom Pegasus Turbo XX"/>
        <s v="LeBron 16 Low"/>
        <s v="Nike Mercurial Superfly 7 Elite SE FG"/>
        <s v="Nike Zoom Rival Fly 2"/>
        <s v="Nike Mercurial Vapor 13 Academy Neymar Jr. MG"/>
        <s v="Nike React Phantom Run Flyknit 2"/>
        <s v="Nike Mercurial Superfly 7 Club TF"/>
        <s v="Nike SuperRep Go"/>
        <s v="Nike Mercurial Vapor 13 Club Neymar Jr. TF"/>
        <s v="Nike Free RN Flyknit 3.0 2020"/>
        <s v="Nike Phantom Vision 2 Academy Dynamic Fit MG"/>
        <s v="Nike Phantom Vision 2 Club Dynamic Fit MG"/>
        <s v="Nike Free RN 5.0 2020"/>
        <s v="Nike Mercurial Superfly 7 Club MG"/>
        <s v="Nike Mercurial Vapor XII Club MG"/>
        <s v="Nike SB Charge Slip Premium"/>
        <s v="Nike Tiempo Legend 8 Club MG"/>
        <s v="Nike Mercurial Vapor 13 Club TF"/>
        <s v="Nike Phantom Venom Club IC"/>
        <s v="Nike Phantom Vision 2 Academy Dynamic Fit TF"/>
        <s v="Nike Air Max 98 SE"/>
        <s v="Nike Mercurial Vapor 13 Club Neymar Jr IC"/>
        <s v="Nike Mercurial Vapor 13 Elite Neymar Jr. FG"/>
        <s v="Nike Mercurial Vapor 13 Club IC"/>
        <s v="Nike Mercurial Vapor 13 Academy Neymar Jr. TF"/>
        <s v="KD Trey 5 VII EP"/>
        <s v="Nike Mercurial Vapor 13 Academy TF"/>
        <s v="Nike Mercurial Superfly 7 Academy MDS MG"/>
        <s v="Nike Mercurial Vapor 13 Academy MDS IC"/>
        <s v="Nike SB Adversary Premium"/>
        <s v="Nike Phantom Venom Academy IC"/>
        <s v="Nike Mercurial Superfly 7 Academy MDS TF"/>
        <s v="Air Jordan OG"/>
        <s v="Nike Mercurial Vapor 13 Club Neymar Jr. MG"/>
        <s v="Nike Precision 4"/>
        <s v="Nike Phantom Vision 2 Club Dynamic Fit TF"/>
        <s v="Nike Flex 2020 RN"/>
        <s v="Nike SB Chron Solarsoft Premium"/>
        <s v="Nike Mercurial Vapor 13 Academy MG"/>
        <s v="Nike PhantomVNM Club FG"/>
        <s v="Nike Mercurial Superfly 7 Academy MDS IC"/>
        <s v="Nike Mercurial Vapor 13 Academy MDS MG"/>
        <s v="Nike Mercurial Vapor 13 Academy MDS TF"/>
        <s v="Nike Tiempo Legend 8 Club TF"/>
        <s v="Air Max 97 LX"/>
        <s v="Nike Air Max Tailwind 99"/>
        <s v="Nike Air Max 1 DNA Ch. 1"/>
        <s v="Kyrie Flytrap 3 EP"/>
        <s v="Jordan Air Max 200 XX"/>
        <s v="Nike Court Vintage Premium"/>
        <s v="Nike Air Max Triax"/>
        <s v="Jordan React Havoc SE"/>
        <s v="Nike Air Max 2 Light"/>
        <s v="Nike Joyride Flyknit AW"/>
        <s v="KD13 EP"/>
        <s v="Nike Air Max 95 Print"/>
        <s v="Nike Air Max 90 SP"/>
        <s v="Nike Air Max 270 React LX"/>
        <s v="Jordan Max 200"/>
        <s v="NikeCourt Air Max Vapor Wing Premium"/>
        <s v="Nike Air Max 720 Horizon"/>
        <s v="Nike Fly.By Mid"/>
        <s v="Jordan Modero 2 VP"/>
        <s v="Nike Air Force 1 Type-2"/>
        <s v="Nike Air Force 1 Sage Low LX"/>
        <s v="NikeCourt Blanc"/>
        <s v="Nike Joyride Dual Run Premium"/>
        <s v="Nike Air Max 720 OBJ Slip"/>
        <s v="Nike Air Force 1 Type"/>
        <s v="Air Jordan 1 Low SE"/>
        <s v="Nike Blazer Low"/>
        <s v="Zoom LeBron 3 QS"/>
        <s v="Nike Air Max 95 SP"/>
        <s v="Nike Air Max 200 SP"/>
        <s v="Kyrie 6 AS EP"/>
        <s v="Nike Legend React 2"/>
        <s v="Nike Air Max 90 Print"/>
        <s v="Nike P-6000"/>
        <s v="Nike Air Max 95 Essential"/>
        <s v="Nike Air Max 90/1"/>
        <s v="Nike Air Max 1 Premium"/>
        <s v="Nike AF-1 Shadow SE"/>
        <s v="Nike Bella Kai"/>
        <s v="LeBron Witness 4 EP"/>
        <s v="Nike Renew Run Special Edition"/>
        <s v="Nike Zoom KD11 EP"/>
        <s v="Nike Air Max 1 Print"/>
        <s v="Nike Benassi JDI SE"/>
        <s v="NikeCourt Lite 2"/>
        <s v="Air Max 200 20"/>
        <s v="Nike Air Max 97 On Air Jasmine Lasode"/>
        <s v="Nike Air VaporMax LX"/>
        <s v="Jordan 'Why Not?' Zer0.2 SE"/>
        <s v="Nike Epic Phantom React Flyknit Icon Clash"/>
        <s v="Nike Vandalised"/>
        <s v="Nike Canyon"/>
        <s v="Nike Joyride Optik"/>
        <s v="Nike Air Max 98 NRG"/>
        <s v="Kyrie 6 EP"/>
        <s v="Nike Mercurial Vapor 13 Academy IC"/>
        <s v="Nike Flex Contact 3"/>
        <s v="Nike React City"/>
        <s v="Air Jordan 11 Low"/>
        <s v="Nike x Olivia Kim Air Mowabb"/>
        <s v="Nike Offcourt SE"/>
        <s v="Nike SB Alleyoop"/>
        <s v="Nike Phantom Vision Academy Dynamic Fit IC"/>
        <s v="Nike Air Max Tailwind IV SE"/>
        <s v="Nike Air VaporMax Flyknit 2 LXX"/>
        <s v="Nike Metcon 5 Premium"/>
        <s v="Nike Air Max 270 React SE"/>
        <s v="Nike Metcon 4 XD Patch"/>
        <s v="NikeCourt Royale SL"/>
        <s v="Nike Zoom Fly SP Fast"/>
        <s v="Nike x Olivia Kim Air Footscape"/>
        <s v="Nike Air Max Bella TR 3"/>
        <s v="Nike Blazer Low Suede"/>
        <s v="Air Jordan 1 Jester XX Low Laced SE"/>
        <s v="Nike Mercurial Vapor 13 Club MG"/>
        <s v="Nike Tiempo Legend 8 Academy TF"/>
        <s v="Nike P-6000 SE"/>
        <s v="Nike Mercurial Vapor 13 Elite SE FG" u="1"/>
      </sharedItems>
    </cacheField>
    <cacheField name="Rate_Group" numFmtId="0">
      <sharedItems count="3">
        <s v="4 - 5"/>
        <s v="3 - 3.9"/>
        <s v="0 - 2.9"/>
      </sharedItems>
    </cacheField>
    <cacheField name="Rating" numFmtId="0">
      <sharedItems containsSemiMixedTypes="0" containsString="0" containsNumber="1" minValue="0" maxValue="5"/>
    </cacheField>
    <cacheField name="Sales_Price" numFmtId="164">
      <sharedItems containsSemiMixedTypes="0" containsString="0" containsNumber="1" containsInteger="1" minValue="16" maxValue="365"/>
    </cacheField>
    <cacheField name="Sales_Price_Group" numFmtId="0">
      <sharedItems count="4">
        <s v="$100 +"/>
        <s v="under $100"/>
        <s v="$50 and under"/>
        <s v="$20 and under"/>
      </sharedItems>
    </cacheField>
    <cacheField name="View_Count" numFmtId="0">
      <sharedItems containsSemiMixedTypes="0" containsString="0" containsNumber="1" containsInteger="1" minValue="1" maxValue="2"/>
    </cacheField>
    <cacheField name="Review_Group" numFmtId="0">
      <sharedItems/>
    </cacheField>
    <cacheField name="Review_Count" numFmtId="0">
      <sharedItems containsSemiMixedTypes="0" containsString="0" containsNumber="1" containsInteger="1" minValue="0" maxValue="223"/>
    </cacheField>
    <cacheField name="discount" numFmtId="9">
      <sharedItems containsSemiMixedTypes="0" containsString="0" containsNumber="1" minValue="0" maxValue="0.4"/>
    </cacheField>
    <cacheField name="Date" numFmtId="0">
      <sharedItems/>
    </cacheField>
  </cacheFields>
  <extLst>
    <ext xmlns:x14="http://schemas.microsoft.com/office/spreadsheetml/2009/9/main" uri="{725AE2AE-9491-48be-B2B4-4EB974FC3084}">
      <x14:pivotCacheDefinition pivotCacheId="54060988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rdan Lloyd" refreshedDate="45850.462592824071" createdVersion="8" refreshedVersion="8" minRefreshableVersion="3" recordCount="192" xr:uid="{56D84176-3AD0-8B4E-AA98-C1A78807CD03}">
  <cacheSource type="worksheet">
    <worksheetSource name="e.nike.discount"/>
  </cacheSource>
  <cacheFields count="11">
    <cacheField name="product_ID" numFmtId="0">
      <sharedItems/>
    </cacheField>
    <cacheField name="Product" numFmtId="0">
      <sharedItems/>
    </cacheField>
    <cacheField name="Rate_Group" numFmtId="0">
      <sharedItems count="3">
        <s v="4 - 5"/>
        <s v="3 - 3.9"/>
        <s v="0 - 2.9"/>
      </sharedItems>
    </cacheField>
    <cacheField name="Rating" numFmtId="0">
      <sharedItems containsSemiMixedTypes="0" containsString="0" containsNumber="1" minValue="0" maxValue="5"/>
    </cacheField>
    <cacheField name="Sales_Price" numFmtId="0">
      <sharedItems containsSemiMixedTypes="0" containsString="0" containsNumber="1" containsInteger="1" minValue="21" maxValue="160"/>
    </cacheField>
    <cacheField name="Sales_Price_Group" numFmtId="0">
      <sharedItems/>
    </cacheField>
    <cacheField name="View_Count" numFmtId="0">
      <sharedItems containsSemiMixedTypes="0" containsString="0" containsNumber="1" containsInteger="1" minValue="1" maxValue="2"/>
    </cacheField>
    <cacheField name="Review_Group" numFmtId="0">
      <sharedItems/>
    </cacheField>
    <cacheField name="Review_Count" numFmtId="0">
      <sharedItems containsSemiMixedTypes="0" containsString="0" containsNumber="1" containsInteger="1" minValue="0" maxValue="72"/>
    </cacheField>
    <cacheField name="discount" numFmtId="9">
      <sharedItems containsSemiMixedTypes="0" containsString="0" containsNumber="1" minValue="0.2" maxValue="40" count="8">
        <n v="0.2"/>
        <n v="0.4"/>
        <n v="0.3"/>
        <n v="0.25"/>
        <n v="30" u="1"/>
        <n v="20" u="1"/>
        <n v="40" u="1"/>
        <n v="25" u="1"/>
      </sharedItems>
    </cacheField>
    <cacheField name="Date" numFmtId="0">
      <sharedItems/>
    </cacheField>
  </cacheFields>
  <extLst>
    <ext xmlns:x14="http://schemas.microsoft.com/office/spreadsheetml/2009/9/main" uri="{725AE2AE-9491-48be-B2B4-4EB974FC3084}">
      <x14:pivotCacheDefinition pivotCacheId="3951645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3">
  <r>
    <x v="0"/>
    <x v="0"/>
    <x v="0"/>
    <n v="5"/>
    <n v="100"/>
    <x v="0"/>
    <n v="1"/>
    <s v="Average +"/>
    <n v="9"/>
    <n v="0"/>
    <s v="2020-04-13"/>
  </r>
  <r>
    <x v="1"/>
    <x v="0"/>
    <x v="0"/>
    <n v="5"/>
    <n v="100"/>
    <x v="0"/>
    <n v="1"/>
    <s v="Average +"/>
    <n v="9"/>
    <n v="0"/>
    <s v="2020-04-13"/>
  </r>
  <r>
    <x v="2"/>
    <x v="1"/>
    <x v="0"/>
    <n v="5"/>
    <n v="76"/>
    <x v="1"/>
    <n v="1"/>
    <s v="Below Average"/>
    <n v="6"/>
    <n v="0"/>
    <s v="2020-04-13"/>
  </r>
  <r>
    <x v="3"/>
    <x v="2"/>
    <x v="0"/>
    <n v="5"/>
    <n v="90"/>
    <x v="1"/>
    <n v="1"/>
    <s v="Below Average"/>
    <n v="6"/>
    <n v="0"/>
    <s v="2020-04-13"/>
  </r>
  <r>
    <x v="4"/>
    <x v="3"/>
    <x v="0"/>
    <n v="5"/>
    <n v="136"/>
    <x v="0"/>
    <n v="1"/>
    <s v="Below Average"/>
    <n v="5"/>
    <n v="0.2"/>
    <s v="2020-04-13"/>
  </r>
  <r>
    <x v="5"/>
    <x v="4"/>
    <x v="0"/>
    <n v="5"/>
    <n v="66"/>
    <x v="1"/>
    <n v="1"/>
    <s v="Below Average"/>
    <n v="5"/>
    <n v="0.4"/>
    <s v="2020-04-13"/>
  </r>
  <r>
    <x v="6"/>
    <x v="5"/>
    <x v="0"/>
    <n v="5"/>
    <n v="120"/>
    <x v="0"/>
    <n v="2"/>
    <s v="Below Average"/>
    <n v="4"/>
    <n v="0"/>
    <s v="2020-04-13"/>
  </r>
  <r>
    <x v="7"/>
    <x v="6"/>
    <x v="0"/>
    <n v="5"/>
    <n v="150"/>
    <x v="0"/>
    <n v="2"/>
    <s v="Below Average"/>
    <n v="4"/>
    <n v="0"/>
    <s v="2020-04-13"/>
  </r>
  <r>
    <x v="8"/>
    <x v="7"/>
    <x v="0"/>
    <n v="5"/>
    <n v="85"/>
    <x v="1"/>
    <n v="2"/>
    <s v="Below Average"/>
    <n v="4"/>
    <n v="0"/>
    <s v="2020-04-13"/>
  </r>
  <r>
    <x v="9"/>
    <x v="8"/>
    <x v="0"/>
    <n v="5"/>
    <n v="84"/>
    <x v="1"/>
    <n v="1"/>
    <s v="Below Average"/>
    <n v="4"/>
    <n v="0.3"/>
    <s v="2020-04-13"/>
  </r>
  <r>
    <x v="10"/>
    <x v="9"/>
    <x v="0"/>
    <n v="5"/>
    <n v="112"/>
    <x v="0"/>
    <n v="1"/>
    <s v="Below Average"/>
    <n v="4"/>
    <n v="0.3"/>
    <s v="2020-04-13"/>
  </r>
  <r>
    <x v="11"/>
    <x v="0"/>
    <x v="0"/>
    <n v="5"/>
    <n v="100"/>
    <x v="0"/>
    <n v="1"/>
    <s v="Below Average"/>
    <n v="3"/>
    <n v="0"/>
    <s v="2020-04-13"/>
  </r>
  <r>
    <x v="12"/>
    <x v="1"/>
    <x v="0"/>
    <n v="5"/>
    <n v="76"/>
    <x v="1"/>
    <n v="1"/>
    <s v="Below Average"/>
    <n v="3"/>
    <n v="0"/>
    <s v="2020-04-13"/>
  </r>
  <r>
    <x v="13"/>
    <x v="1"/>
    <x v="0"/>
    <n v="5"/>
    <n v="80"/>
    <x v="1"/>
    <n v="1"/>
    <s v="Below Average"/>
    <n v="3"/>
    <n v="0"/>
    <s v="2020-04-13"/>
  </r>
  <r>
    <x v="14"/>
    <x v="10"/>
    <x v="0"/>
    <n v="5"/>
    <n v="150"/>
    <x v="0"/>
    <n v="1"/>
    <s v="Below Average"/>
    <n v="3"/>
    <n v="0"/>
    <s v="2020-04-13"/>
  </r>
  <r>
    <x v="15"/>
    <x v="11"/>
    <x v="0"/>
    <n v="5"/>
    <n v="80"/>
    <x v="1"/>
    <n v="1"/>
    <s v="Below Average"/>
    <n v="3"/>
    <n v="0"/>
    <s v="2020-04-13"/>
  </r>
  <r>
    <x v="16"/>
    <x v="12"/>
    <x v="0"/>
    <n v="5"/>
    <n v="84"/>
    <x v="1"/>
    <n v="1"/>
    <s v="Below Average"/>
    <n v="3"/>
    <n v="0.4"/>
    <s v="2020-04-13"/>
  </r>
  <r>
    <x v="17"/>
    <x v="13"/>
    <x v="0"/>
    <n v="5"/>
    <n v="48"/>
    <x v="2"/>
    <n v="1"/>
    <s v="Below Average"/>
    <n v="3"/>
    <n v="0.4"/>
    <s v="2020-04-13"/>
  </r>
  <r>
    <x v="18"/>
    <x v="14"/>
    <x v="0"/>
    <n v="5"/>
    <n v="120"/>
    <x v="0"/>
    <n v="1"/>
    <s v="Below Average"/>
    <n v="3"/>
    <n v="0"/>
    <s v="2020-04-13"/>
  </r>
  <r>
    <x v="19"/>
    <x v="15"/>
    <x v="0"/>
    <n v="5"/>
    <n v="85"/>
    <x v="1"/>
    <n v="1"/>
    <s v="Below Average"/>
    <n v="3"/>
    <n v="0"/>
    <s v="2020-04-13"/>
  </r>
  <r>
    <x v="20"/>
    <x v="16"/>
    <x v="0"/>
    <n v="5"/>
    <n v="90"/>
    <x v="1"/>
    <n v="1"/>
    <s v="Below Average"/>
    <n v="3"/>
    <n v="0"/>
    <s v="2020-04-13"/>
  </r>
  <r>
    <x v="21"/>
    <x v="17"/>
    <x v="0"/>
    <n v="5"/>
    <n v="75"/>
    <x v="1"/>
    <n v="1"/>
    <s v="Below Average"/>
    <n v="3"/>
    <n v="0"/>
    <s v="2020-04-13"/>
  </r>
  <r>
    <x v="22"/>
    <x v="18"/>
    <x v="0"/>
    <n v="5"/>
    <n v="120"/>
    <x v="0"/>
    <n v="1"/>
    <s v="Below Average"/>
    <n v="2"/>
    <n v="0"/>
    <s v="2020-04-13"/>
  </r>
  <r>
    <x v="23"/>
    <x v="19"/>
    <x v="0"/>
    <n v="5"/>
    <n v="150"/>
    <x v="0"/>
    <n v="1"/>
    <s v="Below Average"/>
    <n v="2"/>
    <n v="0"/>
    <s v="2020-04-13"/>
  </r>
  <r>
    <x v="24"/>
    <x v="20"/>
    <x v="0"/>
    <n v="5"/>
    <n v="100"/>
    <x v="0"/>
    <n v="1"/>
    <s v="Below Average"/>
    <n v="2"/>
    <n v="0"/>
    <s v="2020-04-13"/>
  </r>
  <r>
    <x v="25"/>
    <x v="21"/>
    <x v="0"/>
    <n v="5"/>
    <n v="110"/>
    <x v="0"/>
    <n v="1"/>
    <s v="Below Average"/>
    <n v="2"/>
    <n v="0"/>
    <s v="2020-04-13"/>
  </r>
  <r>
    <x v="26"/>
    <x v="22"/>
    <x v="0"/>
    <n v="5"/>
    <n v="120"/>
    <x v="0"/>
    <n v="1"/>
    <s v="Below Average"/>
    <n v="2"/>
    <n v="0"/>
    <s v="2020-04-13"/>
  </r>
  <r>
    <x v="27"/>
    <x v="23"/>
    <x v="0"/>
    <n v="5"/>
    <n v="65"/>
    <x v="1"/>
    <n v="2"/>
    <s v="Below Average"/>
    <n v="2"/>
    <n v="0"/>
    <s v="2020-04-13"/>
  </r>
  <r>
    <x v="28"/>
    <x v="24"/>
    <x v="0"/>
    <n v="5"/>
    <n v="112"/>
    <x v="0"/>
    <n v="1"/>
    <s v="Below Average"/>
    <n v="2"/>
    <n v="0.3"/>
    <s v="2020-04-13"/>
  </r>
  <r>
    <x v="29"/>
    <x v="25"/>
    <x v="0"/>
    <n v="5"/>
    <n v="45"/>
    <x v="2"/>
    <n v="2"/>
    <s v="Below Average"/>
    <n v="2"/>
    <n v="0.25"/>
    <s v="2020-04-13"/>
  </r>
  <r>
    <x v="30"/>
    <x v="26"/>
    <x v="0"/>
    <n v="5"/>
    <n v="85"/>
    <x v="1"/>
    <n v="2"/>
    <s v="Below Average"/>
    <n v="2"/>
    <n v="0"/>
    <s v="2020-04-13"/>
  </r>
  <r>
    <x v="31"/>
    <x v="27"/>
    <x v="0"/>
    <n v="5"/>
    <n v="64"/>
    <x v="1"/>
    <n v="2"/>
    <s v="Below Average"/>
    <n v="2"/>
    <n v="0.2"/>
    <s v="2020-04-13"/>
  </r>
  <r>
    <x v="32"/>
    <x v="28"/>
    <x v="0"/>
    <n v="5"/>
    <n v="230"/>
    <x v="0"/>
    <n v="2"/>
    <s v="Below Average"/>
    <n v="2"/>
    <n v="0"/>
    <s v="2020-04-13"/>
  </r>
  <r>
    <x v="33"/>
    <x v="29"/>
    <x v="0"/>
    <n v="5"/>
    <n v="250"/>
    <x v="0"/>
    <n v="2"/>
    <s v="Below Average"/>
    <n v="2"/>
    <n v="0"/>
    <s v="2020-04-13"/>
  </r>
  <r>
    <x v="34"/>
    <x v="30"/>
    <x v="0"/>
    <n v="5"/>
    <n v="160"/>
    <x v="0"/>
    <n v="2"/>
    <s v="Below Average"/>
    <n v="2"/>
    <n v="0"/>
    <s v="2020-04-13"/>
  </r>
  <r>
    <x v="35"/>
    <x v="31"/>
    <x v="0"/>
    <n v="5"/>
    <n v="59"/>
    <x v="1"/>
    <n v="2"/>
    <s v="Below Average"/>
    <n v="2"/>
    <n v="0.3"/>
    <s v="2020-04-13"/>
  </r>
  <r>
    <x v="36"/>
    <x v="32"/>
    <x v="0"/>
    <n v="5"/>
    <n v="80"/>
    <x v="1"/>
    <n v="2"/>
    <s v="Below Average"/>
    <n v="2"/>
    <n v="0"/>
    <s v="2020-04-13"/>
  </r>
  <r>
    <x v="37"/>
    <x v="33"/>
    <x v="0"/>
    <n v="5"/>
    <n v="110"/>
    <x v="0"/>
    <n v="1"/>
    <s v="Below Average"/>
    <n v="2"/>
    <n v="0"/>
    <s v="2020-04-13"/>
  </r>
  <r>
    <x v="38"/>
    <x v="34"/>
    <x v="0"/>
    <n v="5"/>
    <n v="136"/>
    <x v="0"/>
    <n v="1"/>
    <s v="Below Average"/>
    <n v="2"/>
    <n v="0.2"/>
    <s v="2020-04-13"/>
  </r>
  <r>
    <x v="39"/>
    <x v="35"/>
    <x v="0"/>
    <n v="5"/>
    <n v="120"/>
    <x v="0"/>
    <n v="1"/>
    <s v="Below Average"/>
    <n v="2"/>
    <n v="0"/>
    <s v="2020-04-13"/>
  </r>
  <r>
    <x v="40"/>
    <x v="36"/>
    <x v="0"/>
    <n v="5"/>
    <n v="84"/>
    <x v="1"/>
    <n v="1"/>
    <s v="Below Average"/>
    <n v="2"/>
    <n v="0.4"/>
    <s v="2020-04-13"/>
  </r>
  <r>
    <x v="41"/>
    <x v="37"/>
    <x v="0"/>
    <n v="5"/>
    <n v="90"/>
    <x v="1"/>
    <n v="1"/>
    <s v="Below Average"/>
    <n v="2"/>
    <n v="0"/>
    <s v="2020-04-13"/>
  </r>
  <r>
    <x v="42"/>
    <x v="38"/>
    <x v="0"/>
    <n v="5"/>
    <n v="130"/>
    <x v="0"/>
    <n v="1"/>
    <s v="Below Average"/>
    <n v="2"/>
    <n v="0"/>
    <s v="2020-04-13"/>
  </r>
  <r>
    <x v="43"/>
    <x v="39"/>
    <x v="0"/>
    <n v="5"/>
    <n v="64"/>
    <x v="1"/>
    <n v="1"/>
    <s v="Below Average"/>
    <n v="2"/>
    <n v="0.2"/>
    <s v="2020-04-13"/>
  </r>
  <r>
    <x v="44"/>
    <x v="40"/>
    <x v="0"/>
    <n v="5"/>
    <n v="80"/>
    <x v="1"/>
    <n v="1"/>
    <s v="Below Average"/>
    <n v="2"/>
    <n v="0.2"/>
    <s v="2020-04-13"/>
  </r>
  <r>
    <x v="45"/>
    <x v="41"/>
    <x v="0"/>
    <n v="5"/>
    <n v="110"/>
    <x v="0"/>
    <n v="1"/>
    <s v="Below Average"/>
    <n v="2"/>
    <n v="0"/>
    <s v="2020-04-13"/>
  </r>
  <r>
    <x v="46"/>
    <x v="42"/>
    <x v="0"/>
    <n v="5"/>
    <n v="45"/>
    <x v="2"/>
    <n v="2"/>
    <s v="Below Average"/>
    <n v="2"/>
    <n v="0"/>
    <s v="2020-04-13"/>
  </r>
  <r>
    <x v="47"/>
    <x v="43"/>
    <x v="0"/>
    <n v="5"/>
    <n v="75"/>
    <x v="1"/>
    <n v="2"/>
    <s v="Below Average"/>
    <n v="2"/>
    <n v="0"/>
    <s v="2020-04-13"/>
  </r>
  <r>
    <x v="48"/>
    <x v="21"/>
    <x v="0"/>
    <n v="5"/>
    <n v="110"/>
    <x v="0"/>
    <n v="1"/>
    <s v="Below Average"/>
    <n v="2"/>
    <n v="0"/>
    <s v="2020-04-13"/>
  </r>
  <r>
    <x v="49"/>
    <x v="22"/>
    <x v="0"/>
    <n v="5"/>
    <n v="120"/>
    <x v="0"/>
    <n v="1"/>
    <s v="Below Average"/>
    <n v="2"/>
    <n v="0"/>
    <s v="2020-04-13"/>
  </r>
  <r>
    <x v="50"/>
    <x v="44"/>
    <x v="0"/>
    <n v="5"/>
    <n v="110"/>
    <x v="0"/>
    <n v="1"/>
    <s v="Below Average"/>
    <n v="2"/>
    <n v="0"/>
    <s v="2020-04-13"/>
  </r>
  <r>
    <x v="51"/>
    <x v="45"/>
    <x v="0"/>
    <n v="5"/>
    <n v="80"/>
    <x v="1"/>
    <n v="1"/>
    <s v="Below Average"/>
    <n v="2"/>
    <n v="0"/>
    <s v="2020-04-13"/>
  </r>
  <r>
    <x v="52"/>
    <x v="12"/>
    <x v="0"/>
    <n v="5"/>
    <n v="84"/>
    <x v="1"/>
    <n v="1"/>
    <s v="Below Average"/>
    <n v="2"/>
    <n v="0.4"/>
    <s v="2020-04-13"/>
  </r>
  <r>
    <x v="53"/>
    <x v="46"/>
    <x v="0"/>
    <n v="5"/>
    <n v="56"/>
    <x v="1"/>
    <n v="1"/>
    <s v="Below Average"/>
    <n v="2"/>
    <n v="0.2"/>
    <s v="2020-04-13"/>
  </r>
  <r>
    <x v="54"/>
    <x v="0"/>
    <x v="0"/>
    <n v="5"/>
    <n v="100"/>
    <x v="0"/>
    <n v="1"/>
    <s v="Below Average"/>
    <n v="1"/>
    <n v="0"/>
    <s v="2020-04-13"/>
  </r>
  <r>
    <x v="55"/>
    <x v="47"/>
    <x v="0"/>
    <n v="5"/>
    <n v="150"/>
    <x v="0"/>
    <n v="1"/>
    <s v="Below Average"/>
    <n v="1"/>
    <n v="0"/>
    <s v="2020-04-13"/>
  </r>
  <r>
    <x v="56"/>
    <x v="47"/>
    <x v="0"/>
    <n v="5"/>
    <n v="160"/>
    <x v="0"/>
    <n v="1"/>
    <s v="Below Average"/>
    <n v="1"/>
    <n v="0"/>
    <s v="2020-04-13"/>
  </r>
  <r>
    <x v="57"/>
    <x v="19"/>
    <x v="0"/>
    <n v="5"/>
    <n v="150"/>
    <x v="0"/>
    <n v="1"/>
    <s v="Below Average"/>
    <n v="1"/>
    <n v="0"/>
    <s v="2020-04-13"/>
  </r>
  <r>
    <x v="58"/>
    <x v="48"/>
    <x v="0"/>
    <n v="5"/>
    <n v="110"/>
    <x v="0"/>
    <n v="1"/>
    <s v="Below Average"/>
    <n v="1"/>
    <n v="0"/>
    <s v="2020-04-13"/>
  </r>
  <r>
    <x v="59"/>
    <x v="49"/>
    <x v="0"/>
    <n v="5"/>
    <n v="100"/>
    <x v="0"/>
    <n v="1"/>
    <s v="Below Average"/>
    <n v="1"/>
    <n v="0"/>
    <s v="2020-04-13"/>
  </r>
  <r>
    <x v="60"/>
    <x v="50"/>
    <x v="0"/>
    <n v="5"/>
    <n v="130"/>
    <x v="0"/>
    <n v="1"/>
    <s v="Below Average"/>
    <n v="1"/>
    <n v="0"/>
    <s v="2020-04-13"/>
  </r>
  <r>
    <x v="61"/>
    <x v="49"/>
    <x v="0"/>
    <n v="5"/>
    <n v="100"/>
    <x v="0"/>
    <n v="1"/>
    <s v="Below Average"/>
    <n v="1"/>
    <n v="0"/>
    <s v="2020-04-13"/>
  </r>
  <r>
    <x v="62"/>
    <x v="51"/>
    <x v="0"/>
    <n v="5"/>
    <n v="64"/>
    <x v="1"/>
    <n v="1"/>
    <s v="Below Average"/>
    <n v="1"/>
    <n v="0.2"/>
    <s v="2020-04-13"/>
  </r>
  <r>
    <x v="63"/>
    <x v="24"/>
    <x v="0"/>
    <n v="5"/>
    <n v="160"/>
    <x v="0"/>
    <n v="1"/>
    <s v="Below Average"/>
    <n v="1"/>
    <n v="0"/>
    <s v="2020-04-13"/>
  </r>
  <r>
    <x v="64"/>
    <x v="52"/>
    <x v="0"/>
    <n v="5"/>
    <n v="80"/>
    <x v="1"/>
    <n v="1"/>
    <s v="Below Average"/>
    <n v="1"/>
    <n v="0"/>
    <s v="2020-04-13"/>
  </r>
  <r>
    <x v="65"/>
    <x v="53"/>
    <x v="0"/>
    <n v="5"/>
    <n v="72"/>
    <x v="1"/>
    <n v="1"/>
    <s v="Below Average"/>
    <n v="1"/>
    <n v="0.4"/>
    <s v="2020-04-13"/>
  </r>
  <r>
    <x v="66"/>
    <x v="54"/>
    <x v="0"/>
    <n v="5"/>
    <n v="112"/>
    <x v="0"/>
    <n v="1"/>
    <s v="Below Average"/>
    <n v="1"/>
    <n v="0.2"/>
    <s v="2020-04-13"/>
  </r>
  <r>
    <x v="67"/>
    <x v="55"/>
    <x v="0"/>
    <n v="5"/>
    <n v="88"/>
    <x v="1"/>
    <n v="1"/>
    <s v="Below Average"/>
    <n v="1"/>
    <n v="0.2"/>
    <s v="2020-04-13"/>
  </r>
  <r>
    <x v="68"/>
    <x v="56"/>
    <x v="0"/>
    <n v="5"/>
    <n v="120"/>
    <x v="0"/>
    <n v="1"/>
    <s v="Below Average"/>
    <n v="1"/>
    <n v="0"/>
    <s v="2020-04-13"/>
  </r>
  <r>
    <x v="69"/>
    <x v="57"/>
    <x v="0"/>
    <n v="5"/>
    <n v="170"/>
    <x v="0"/>
    <n v="1"/>
    <s v="Below Average"/>
    <n v="1"/>
    <n v="0"/>
    <s v="2020-04-13"/>
  </r>
  <r>
    <x v="70"/>
    <x v="58"/>
    <x v="0"/>
    <n v="5"/>
    <n v="130"/>
    <x v="0"/>
    <n v="1"/>
    <s v="Below Average"/>
    <n v="1"/>
    <n v="0"/>
    <s v="2020-04-13"/>
  </r>
  <r>
    <x v="71"/>
    <x v="59"/>
    <x v="0"/>
    <n v="5"/>
    <n v="140"/>
    <x v="0"/>
    <n v="1"/>
    <s v="Below Average"/>
    <n v="1"/>
    <n v="0"/>
    <s v="2020-04-13"/>
  </r>
  <r>
    <x v="72"/>
    <x v="60"/>
    <x v="0"/>
    <n v="5"/>
    <n v="100"/>
    <x v="0"/>
    <n v="1"/>
    <s v="Below Average"/>
    <n v="1"/>
    <n v="0"/>
    <s v="2020-04-13"/>
  </r>
  <r>
    <x v="73"/>
    <x v="61"/>
    <x v="0"/>
    <n v="5"/>
    <n v="110"/>
    <x v="0"/>
    <n v="1"/>
    <s v="Below Average"/>
    <n v="1"/>
    <n v="0"/>
    <s v="2020-04-13"/>
  </r>
  <r>
    <x v="74"/>
    <x v="62"/>
    <x v="0"/>
    <n v="5"/>
    <n v="170"/>
    <x v="0"/>
    <n v="1"/>
    <s v="Below Average"/>
    <n v="1"/>
    <n v="0"/>
    <s v="2020-04-13"/>
  </r>
  <r>
    <x v="75"/>
    <x v="63"/>
    <x v="0"/>
    <n v="5"/>
    <n v="70"/>
    <x v="1"/>
    <n v="1"/>
    <s v="Below Average"/>
    <n v="1"/>
    <n v="0"/>
    <s v="2020-04-13"/>
  </r>
  <r>
    <x v="76"/>
    <x v="64"/>
    <x v="0"/>
    <n v="5"/>
    <n v="170"/>
    <x v="0"/>
    <n v="1"/>
    <s v="Below Average"/>
    <n v="1"/>
    <n v="0"/>
    <s v="2020-04-13"/>
  </r>
  <r>
    <x v="77"/>
    <x v="65"/>
    <x v="0"/>
    <n v="5"/>
    <n v="112"/>
    <x v="0"/>
    <n v="1"/>
    <s v="Below Average"/>
    <n v="1"/>
    <n v="0.3"/>
    <s v="2020-04-13"/>
  </r>
  <r>
    <x v="78"/>
    <x v="66"/>
    <x v="0"/>
    <n v="5"/>
    <n v="110"/>
    <x v="0"/>
    <n v="1"/>
    <s v="Below Average"/>
    <n v="1"/>
    <n v="0"/>
    <s v="2020-04-13"/>
  </r>
  <r>
    <x v="79"/>
    <x v="67"/>
    <x v="0"/>
    <n v="5"/>
    <n v="55"/>
    <x v="1"/>
    <n v="1"/>
    <s v="Below Average"/>
    <n v="1"/>
    <n v="0"/>
    <s v="2020-04-13"/>
  </r>
  <r>
    <x v="80"/>
    <x v="68"/>
    <x v="0"/>
    <n v="5"/>
    <n v="49"/>
    <x v="2"/>
    <n v="1"/>
    <s v="Below Average"/>
    <n v="1"/>
    <n v="0.3"/>
    <s v="2020-04-13"/>
  </r>
  <r>
    <x v="81"/>
    <x v="69"/>
    <x v="0"/>
    <n v="5"/>
    <n v="90"/>
    <x v="1"/>
    <n v="1"/>
    <s v="Below Average"/>
    <n v="1"/>
    <n v="0"/>
    <s v="2020-04-13"/>
  </r>
  <r>
    <x v="82"/>
    <x v="70"/>
    <x v="0"/>
    <n v="5"/>
    <n v="100"/>
    <x v="0"/>
    <n v="1"/>
    <s v="Below Average"/>
    <n v="1"/>
    <n v="0"/>
    <s v="2020-04-13"/>
  </r>
  <r>
    <x v="83"/>
    <x v="71"/>
    <x v="0"/>
    <n v="5"/>
    <n v="200"/>
    <x v="0"/>
    <n v="1"/>
    <s v="Below Average"/>
    <n v="1"/>
    <n v="0"/>
    <s v="2020-04-13"/>
  </r>
  <r>
    <x v="84"/>
    <x v="72"/>
    <x v="0"/>
    <n v="5"/>
    <n v="160"/>
    <x v="0"/>
    <n v="1"/>
    <s v="Below Average"/>
    <n v="1"/>
    <n v="0"/>
    <s v="2020-04-13"/>
  </r>
  <r>
    <x v="85"/>
    <x v="73"/>
    <x v="0"/>
    <n v="5"/>
    <n v="88"/>
    <x v="1"/>
    <n v="1"/>
    <s v="Below Average"/>
    <n v="1"/>
    <n v="0.2"/>
    <s v="2020-04-13"/>
  </r>
  <r>
    <x v="86"/>
    <x v="48"/>
    <x v="0"/>
    <n v="5"/>
    <n v="120"/>
    <x v="0"/>
    <n v="1"/>
    <s v="Below Average"/>
    <n v="1"/>
    <n v="0"/>
    <s v="2020-04-13"/>
  </r>
  <r>
    <x v="87"/>
    <x v="74"/>
    <x v="0"/>
    <n v="5"/>
    <n v="84"/>
    <x v="1"/>
    <n v="1"/>
    <s v="Below Average"/>
    <n v="1"/>
    <n v="0.4"/>
    <s v="2020-04-13"/>
  </r>
  <r>
    <x v="88"/>
    <x v="75"/>
    <x v="0"/>
    <n v="5"/>
    <n v="77"/>
    <x v="1"/>
    <n v="1"/>
    <s v="Below Average"/>
    <n v="1"/>
    <n v="0.3"/>
    <s v="2020-04-13"/>
  </r>
  <r>
    <x v="89"/>
    <x v="76"/>
    <x v="0"/>
    <n v="5"/>
    <n v="150"/>
    <x v="0"/>
    <n v="1"/>
    <s v="Below Average"/>
    <n v="1"/>
    <n v="0"/>
    <s v="2020-04-13"/>
  </r>
  <r>
    <x v="90"/>
    <x v="0"/>
    <x v="0"/>
    <n v="5"/>
    <n v="98"/>
    <x v="1"/>
    <n v="1"/>
    <s v="Below Average"/>
    <n v="1"/>
    <n v="0.3"/>
    <s v="2020-04-13"/>
  </r>
  <r>
    <x v="91"/>
    <x v="77"/>
    <x v="0"/>
    <n v="5"/>
    <n v="100"/>
    <x v="0"/>
    <n v="1"/>
    <s v="Below Average"/>
    <n v="1"/>
    <n v="0"/>
    <s v="2020-04-13"/>
  </r>
  <r>
    <x v="92"/>
    <x v="18"/>
    <x v="0"/>
    <n v="5"/>
    <n v="140"/>
    <x v="0"/>
    <n v="1"/>
    <s v="Below Average"/>
    <n v="1"/>
    <n v="0"/>
    <s v="2020-04-13"/>
  </r>
  <r>
    <x v="93"/>
    <x v="78"/>
    <x v="0"/>
    <n v="5"/>
    <n v="136"/>
    <x v="0"/>
    <n v="1"/>
    <s v="Below Average"/>
    <n v="1"/>
    <n v="0.2"/>
    <s v="2020-04-13"/>
  </r>
  <r>
    <x v="94"/>
    <x v="79"/>
    <x v="0"/>
    <n v="5"/>
    <n v="105"/>
    <x v="0"/>
    <n v="1"/>
    <s v="Below Average"/>
    <n v="1"/>
    <n v="0"/>
    <s v="2020-04-13"/>
  </r>
  <r>
    <x v="95"/>
    <x v="52"/>
    <x v="0"/>
    <n v="5"/>
    <n v="80"/>
    <x v="1"/>
    <n v="1"/>
    <s v="Below Average"/>
    <n v="1"/>
    <n v="0"/>
    <s v="2020-04-13"/>
  </r>
  <r>
    <x v="96"/>
    <x v="80"/>
    <x v="0"/>
    <n v="5"/>
    <n v="150"/>
    <x v="0"/>
    <n v="1"/>
    <s v="Below Average"/>
    <n v="1"/>
    <n v="0"/>
    <s v="2020-04-13"/>
  </r>
  <r>
    <x v="97"/>
    <x v="81"/>
    <x v="0"/>
    <n v="5"/>
    <n v="54"/>
    <x v="1"/>
    <n v="1"/>
    <s v="Below Average"/>
    <n v="1"/>
    <n v="0.4"/>
    <s v="2020-04-13"/>
  </r>
  <r>
    <x v="98"/>
    <x v="82"/>
    <x v="0"/>
    <n v="5"/>
    <n v="31"/>
    <x v="2"/>
    <n v="1"/>
    <s v="Below Average"/>
    <n v="1"/>
    <n v="0.3"/>
    <s v="2020-04-13"/>
  </r>
  <r>
    <x v="99"/>
    <x v="83"/>
    <x v="0"/>
    <n v="5"/>
    <n v="128"/>
    <x v="0"/>
    <n v="1"/>
    <s v="Below Average"/>
    <n v="1"/>
    <n v="0.2"/>
    <s v="2020-04-13"/>
  </r>
  <r>
    <x v="100"/>
    <x v="10"/>
    <x v="0"/>
    <n v="5"/>
    <n v="105"/>
    <x v="0"/>
    <n v="1"/>
    <s v="Below Average"/>
    <n v="1"/>
    <n v="0.3"/>
    <s v="2020-04-13"/>
  </r>
  <r>
    <x v="101"/>
    <x v="47"/>
    <x v="0"/>
    <n v="5"/>
    <n v="170"/>
    <x v="0"/>
    <n v="1"/>
    <s v="Below Average"/>
    <n v="1"/>
    <n v="0"/>
    <s v="2020-04-13"/>
  </r>
  <r>
    <x v="102"/>
    <x v="84"/>
    <x v="0"/>
    <n v="5"/>
    <n v="150"/>
    <x v="0"/>
    <n v="1"/>
    <s v="Below Average"/>
    <n v="1"/>
    <n v="0"/>
    <s v="2020-04-13"/>
  </r>
  <r>
    <x v="103"/>
    <x v="85"/>
    <x v="0"/>
    <n v="5"/>
    <n v="80"/>
    <x v="1"/>
    <n v="1"/>
    <s v="Below Average"/>
    <n v="1"/>
    <n v="0"/>
    <s v="2020-04-13"/>
  </r>
  <r>
    <x v="104"/>
    <x v="86"/>
    <x v="0"/>
    <n v="5"/>
    <n v="128"/>
    <x v="0"/>
    <n v="1"/>
    <s v="Below Average"/>
    <n v="1"/>
    <n v="0.2"/>
    <s v="2020-04-13"/>
  </r>
  <r>
    <x v="105"/>
    <x v="87"/>
    <x v="0"/>
    <n v="5"/>
    <n v="128"/>
    <x v="0"/>
    <n v="1"/>
    <s v="Below Average"/>
    <n v="1"/>
    <n v="0.2"/>
    <s v="2020-04-13"/>
  </r>
  <r>
    <x v="106"/>
    <x v="88"/>
    <x v="0"/>
    <n v="4.9000000000000004"/>
    <n v="96"/>
    <x v="1"/>
    <n v="1"/>
    <s v="Average +"/>
    <n v="18"/>
    <n v="0.4"/>
    <s v="2020-04-13"/>
  </r>
  <r>
    <x v="107"/>
    <x v="89"/>
    <x v="0"/>
    <n v="4.9000000000000004"/>
    <n v="78"/>
    <x v="1"/>
    <n v="1"/>
    <s v="Average +"/>
    <n v="17"/>
    <n v="0.4"/>
    <s v="2020-04-13"/>
  </r>
  <r>
    <x v="108"/>
    <x v="90"/>
    <x v="0"/>
    <n v="4.9000000000000004"/>
    <n v="70"/>
    <x v="1"/>
    <n v="1"/>
    <s v="Average +"/>
    <n v="8"/>
    <n v="0"/>
    <s v="2020-04-13"/>
  </r>
  <r>
    <x v="109"/>
    <x v="91"/>
    <x v="0"/>
    <n v="4.9000000000000004"/>
    <n v="80"/>
    <x v="1"/>
    <n v="1"/>
    <s v="Below Average"/>
    <n v="7"/>
    <n v="0"/>
    <s v="2020-04-13"/>
  </r>
  <r>
    <x v="110"/>
    <x v="92"/>
    <x v="0"/>
    <n v="4.9000000000000004"/>
    <n v="60"/>
    <x v="1"/>
    <n v="1"/>
    <s v="Below Average"/>
    <n v="7"/>
    <n v="0"/>
    <s v="2020-04-13"/>
  </r>
  <r>
    <x v="111"/>
    <x v="93"/>
    <x v="0"/>
    <n v="4.8"/>
    <n v="90"/>
    <x v="1"/>
    <n v="2"/>
    <s v="Average +"/>
    <n v="40"/>
    <n v="0"/>
    <s v="2020-04-13"/>
  </r>
  <r>
    <x v="112"/>
    <x v="94"/>
    <x v="0"/>
    <n v="4.8"/>
    <n v="60"/>
    <x v="1"/>
    <n v="1"/>
    <s v="Average +"/>
    <n v="20"/>
    <n v="0.4"/>
    <s v="2020-04-13"/>
  </r>
  <r>
    <x v="113"/>
    <x v="95"/>
    <x v="0"/>
    <n v="4.8"/>
    <n v="100"/>
    <x v="0"/>
    <n v="1"/>
    <s v="Average +"/>
    <n v="13"/>
    <n v="0"/>
    <s v="2020-04-13"/>
  </r>
  <r>
    <x v="114"/>
    <x v="96"/>
    <x v="0"/>
    <n v="4.8"/>
    <n v="140"/>
    <x v="0"/>
    <n v="1"/>
    <s v="Average +"/>
    <n v="12"/>
    <n v="0"/>
    <s v="2020-04-13"/>
  </r>
  <r>
    <x v="115"/>
    <x v="97"/>
    <x v="0"/>
    <n v="4.8"/>
    <n v="190"/>
    <x v="0"/>
    <n v="1"/>
    <s v="Average +"/>
    <n v="11"/>
    <n v="0"/>
    <s v="2020-04-13"/>
  </r>
  <r>
    <x v="116"/>
    <x v="98"/>
    <x v="0"/>
    <n v="4.8"/>
    <n v="90"/>
    <x v="1"/>
    <n v="2"/>
    <s v="Average +"/>
    <n v="8"/>
    <n v="0"/>
    <s v="2020-04-13"/>
  </r>
  <r>
    <x v="117"/>
    <x v="99"/>
    <x v="0"/>
    <n v="4.8"/>
    <n v="112"/>
    <x v="0"/>
    <n v="2"/>
    <s v="Average +"/>
    <n v="8"/>
    <n v="0.3"/>
    <s v="2020-04-13"/>
  </r>
  <r>
    <x v="118"/>
    <x v="100"/>
    <x v="0"/>
    <n v="4.8"/>
    <n v="200"/>
    <x v="0"/>
    <n v="1"/>
    <s v="Below Average"/>
    <n v="6"/>
    <n v="0"/>
    <s v="2020-04-13"/>
  </r>
  <r>
    <x v="119"/>
    <x v="48"/>
    <x v="0"/>
    <n v="4.8"/>
    <n v="66"/>
    <x v="1"/>
    <n v="1"/>
    <s v="Below Average"/>
    <n v="5"/>
    <n v="0.4"/>
    <s v="2020-04-13"/>
  </r>
  <r>
    <x v="120"/>
    <x v="101"/>
    <x v="0"/>
    <n v="4.8"/>
    <n v="110"/>
    <x v="0"/>
    <n v="1"/>
    <s v="Below Average"/>
    <n v="5"/>
    <n v="0"/>
    <s v="2020-04-13"/>
  </r>
  <r>
    <x v="121"/>
    <x v="0"/>
    <x v="0"/>
    <n v="4.8"/>
    <n v="96"/>
    <x v="1"/>
    <n v="1"/>
    <s v="Below Average"/>
    <n v="5"/>
    <n v="0.2"/>
    <s v="2020-04-13"/>
  </r>
  <r>
    <x v="122"/>
    <x v="102"/>
    <x v="0"/>
    <n v="4.8"/>
    <n v="70"/>
    <x v="1"/>
    <n v="1"/>
    <s v="Below Average"/>
    <n v="5"/>
    <n v="0"/>
    <s v="2020-04-13"/>
  </r>
  <r>
    <x v="123"/>
    <x v="18"/>
    <x v="0"/>
    <n v="4.8"/>
    <n v="120"/>
    <x v="0"/>
    <n v="1"/>
    <s v="Below Average"/>
    <n v="4"/>
    <n v="0"/>
    <s v="2020-04-13"/>
  </r>
  <r>
    <x v="124"/>
    <x v="103"/>
    <x v="0"/>
    <n v="4.8"/>
    <n v="91"/>
    <x v="1"/>
    <n v="1"/>
    <s v="Below Average"/>
    <n v="4"/>
    <n v="0.3"/>
    <s v="2020-04-13"/>
  </r>
  <r>
    <x v="125"/>
    <x v="104"/>
    <x v="0"/>
    <n v="4.8"/>
    <n v="100"/>
    <x v="0"/>
    <n v="1"/>
    <s v="Below Average"/>
    <n v="4"/>
    <n v="0"/>
    <s v="2020-04-13"/>
  </r>
  <r>
    <x v="126"/>
    <x v="105"/>
    <x v="0"/>
    <n v="4.7"/>
    <n v="160"/>
    <x v="0"/>
    <n v="1"/>
    <s v="Average +"/>
    <n v="223"/>
    <n v="0"/>
    <s v="2020-04-13"/>
  </r>
  <r>
    <x v="127"/>
    <x v="106"/>
    <x v="0"/>
    <n v="4.7"/>
    <n v="200"/>
    <x v="0"/>
    <n v="2"/>
    <s v="Average +"/>
    <n v="90"/>
    <n v="0"/>
    <s v="2020-04-13"/>
  </r>
  <r>
    <x v="128"/>
    <x v="107"/>
    <x v="0"/>
    <n v="4.7"/>
    <n v="56"/>
    <x v="1"/>
    <n v="1"/>
    <s v="Average +"/>
    <n v="10"/>
    <n v="0.3"/>
    <s v="2020-04-13"/>
  </r>
  <r>
    <x v="129"/>
    <x v="0"/>
    <x v="0"/>
    <n v="4.7"/>
    <n v="100"/>
    <x v="0"/>
    <n v="1"/>
    <s v="Average +"/>
    <n v="9"/>
    <n v="0"/>
    <s v="2020-04-13"/>
  </r>
  <r>
    <x v="130"/>
    <x v="108"/>
    <x v="0"/>
    <n v="4.7"/>
    <n v="65"/>
    <x v="1"/>
    <n v="2"/>
    <s v="Below Average"/>
    <n v="6"/>
    <n v="0"/>
    <s v="2020-04-13"/>
  </r>
  <r>
    <x v="131"/>
    <x v="41"/>
    <x v="0"/>
    <n v="4.7"/>
    <n v="77"/>
    <x v="1"/>
    <n v="1"/>
    <s v="Below Average"/>
    <n v="3"/>
    <n v="0.3"/>
    <s v="2020-04-13"/>
  </r>
  <r>
    <x v="132"/>
    <x v="109"/>
    <x v="0"/>
    <n v="4.7"/>
    <n v="110"/>
    <x v="0"/>
    <n v="1"/>
    <s v="Below Average"/>
    <n v="3"/>
    <n v="0"/>
    <s v="2020-04-13"/>
  </r>
  <r>
    <x v="133"/>
    <x v="110"/>
    <x v="0"/>
    <n v="4.7"/>
    <n v="100"/>
    <x v="0"/>
    <n v="1"/>
    <s v="Below Average"/>
    <n v="3"/>
    <n v="0"/>
    <s v="2020-04-13"/>
  </r>
  <r>
    <x v="134"/>
    <x v="111"/>
    <x v="0"/>
    <n v="4.7"/>
    <n v="130"/>
    <x v="0"/>
    <n v="1"/>
    <s v="Below Average"/>
    <n v="3"/>
    <n v="0"/>
    <s v="2020-04-13"/>
  </r>
  <r>
    <x v="135"/>
    <x v="112"/>
    <x v="0"/>
    <n v="4.7"/>
    <n v="130"/>
    <x v="0"/>
    <n v="1"/>
    <s v="Below Average"/>
    <n v="3"/>
    <n v="0"/>
    <s v="2020-04-13"/>
  </r>
  <r>
    <x v="136"/>
    <x v="113"/>
    <x v="0"/>
    <n v="4.5999999999999996"/>
    <n v="90"/>
    <x v="1"/>
    <n v="2"/>
    <s v="Average +"/>
    <n v="68"/>
    <n v="0"/>
    <s v="2020-04-13"/>
  </r>
  <r>
    <x v="137"/>
    <x v="114"/>
    <x v="0"/>
    <n v="4.5999999999999996"/>
    <n v="140"/>
    <x v="0"/>
    <n v="1"/>
    <s v="Average +"/>
    <n v="68"/>
    <n v="0"/>
    <s v="2020-04-13"/>
  </r>
  <r>
    <x v="138"/>
    <x v="50"/>
    <x v="0"/>
    <n v="4.5999999999999996"/>
    <n v="130"/>
    <x v="0"/>
    <n v="2"/>
    <s v="Average +"/>
    <n v="36"/>
    <n v="0"/>
    <s v="2020-04-13"/>
  </r>
  <r>
    <x v="139"/>
    <x v="115"/>
    <x v="0"/>
    <n v="4.5999999999999996"/>
    <n v="54"/>
    <x v="1"/>
    <n v="1"/>
    <s v="Average +"/>
    <n v="23"/>
    <n v="0.4"/>
    <s v="2020-04-13"/>
  </r>
  <r>
    <x v="140"/>
    <x v="116"/>
    <x v="0"/>
    <n v="4.5999999999999996"/>
    <n v="190"/>
    <x v="0"/>
    <n v="2"/>
    <s v="Average +"/>
    <n v="16"/>
    <n v="0"/>
    <s v="2020-04-13"/>
  </r>
  <r>
    <x v="141"/>
    <x v="117"/>
    <x v="0"/>
    <n v="4.5999999999999996"/>
    <n v="60"/>
    <x v="1"/>
    <n v="1"/>
    <s v="Average +"/>
    <n v="16"/>
    <n v="0.4"/>
    <s v="2020-04-13"/>
  </r>
  <r>
    <x v="142"/>
    <x v="118"/>
    <x v="0"/>
    <n v="4.5999999999999996"/>
    <n v="150"/>
    <x v="0"/>
    <n v="1"/>
    <s v="Average +"/>
    <n v="15"/>
    <n v="0"/>
    <s v="2020-04-13"/>
  </r>
  <r>
    <x v="143"/>
    <x v="119"/>
    <x v="0"/>
    <n v="4.5999999999999996"/>
    <n v="140"/>
    <x v="0"/>
    <n v="1"/>
    <s v="Average +"/>
    <n v="14"/>
    <n v="0"/>
    <s v="2020-04-13"/>
  </r>
  <r>
    <x v="144"/>
    <x v="120"/>
    <x v="0"/>
    <n v="4.5999999999999996"/>
    <n v="110"/>
    <x v="0"/>
    <n v="1"/>
    <s v="Average +"/>
    <n v="12"/>
    <n v="0"/>
    <s v="2020-04-13"/>
  </r>
  <r>
    <x v="145"/>
    <x v="121"/>
    <x v="0"/>
    <n v="4.5999999999999996"/>
    <n v="72"/>
    <x v="1"/>
    <n v="1"/>
    <s v="Average +"/>
    <n v="12"/>
    <n v="0.2"/>
    <s v="2020-04-13"/>
  </r>
  <r>
    <x v="146"/>
    <x v="122"/>
    <x v="0"/>
    <n v="4.5999999999999996"/>
    <n v="112"/>
    <x v="0"/>
    <n v="2"/>
    <s v="Average +"/>
    <n v="10"/>
    <n v="0.2"/>
    <s v="2020-04-13"/>
  </r>
  <r>
    <x v="147"/>
    <x v="123"/>
    <x v="0"/>
    <n v="4.5999999999999996"/>
    <n v="170"/>
    <x v="0"/>
    <n v="1"/>
    <s v="Below Average"/>
    <n v="5"/>
    <n v="0"/>
    <s v="2020-04-13"/>
  </r>
  <r>
    <x v="148"/>
    <x v="124"/>
    <x v="0"/>
    <n v="4.5999999999999996"/>
    <n v="104"/>
    <x v="0"/>
    <n v="1"/>
    <s v="Below Average"/>
    <n v="5"/>
    <n v="0.2"/>
    <s v="2020-04-13"/>
  </r>
  <r>
    <x v="149"/>
    <x v="125"/>
    <x v="0"/>
    <n v="4.5"/>
    <n v="170"/>
    <x v="0"/>
    <n v="2"/>
    <s v="Average +"/>
    <n v="94"/>
    <n v="0"/>
    <s v="2020-04-13"/>
  </r>
  <r>
    <x v="150"/>
    <x v="126"/>
    <x v="0"/>
    <n v="4.5"/>
    <n v="73"/>
    <x v="1"/>
    <n v="1"/>
    <s v="Average +"/>
    <n v="78"/>
    <n v="0"/>
    <s v="2020-04-13"/>
  </r>
  <r>
    <x v="151"/>
    <x v="126"/>
    <x v="0"/>
    <n v="4.5"/>
    <n v="75"/>
    <x v="1"/>
    <n v="1"/>
    <s v="Average +"/>
    <n v="67"/>
    <n v="0"/>
    <s v="2020-04-13"/>
  </r>
  <r>
    <x v="152"/>
    <x v="127"/>
    <x v="0"/>
    <n v="4.5"/>
    <n v="90"/>
    <x v="1"/>
    <n v="1"/>
    <s v="Average +"/>
    <n v="63"/>
    <n v="0"/>
    <s v="2020-04-13"/>
  </r>
  <r>
    <x v="153"/>
    <x v="128"/>
    <x v="0"/>
    <n v="4.5"/>
    <n v="100"/>
    <x v="0"/>
    <n v="1"/>
    <s v="Average +"/>
    <n v="61"/>
    <n v="0"/>
    <s v="2020-04-13"/>
  </r>
  <r>
    <x v="154"/>
    <x v="129"/>
    <x v="0"/>
    <n v="4.5"/>
    <n v="160"/>
    <x v="0"/>
    <n v="2"/>
    <s v="Average +"/>
    <n v="48"/>
    <n v="0"/>
    <s v="2020-04-13"/>
  </r>
  <r>
    <x v="155"/>
    <x v="130"/>
    <x v="0"/>
    <n v="4.5"/>
    <n v="90"/>
    <x v="1"/>
    <n v="1"/>
    <s v="Average +"/>
    <n v="36"/>
    <n v="0"/>
    <s v="2020-04-13"/>
  </r>
  <r>
    <x v="156"/>
    <x v="131"/>
    <x v="0"/>
    <n v="4.5"/>
    <n v="70"/>
    <x v="1"/>
    <n v="1"/>
    <s v="Average +"/>
    <n v="34"/>
    <n v="0"/>
    <s v="2020-04-13"/>
  </r>
  <r>
    <x v="157"/>
    <x v="131"/>
    <x v="0"/>
    <n v="4.5"/>
    <n v="70"/>
    <x v="1"/>
    <n v="1"/>
    <s v="Average +"/>
    <n v="34"/>
    <n v="0"/>
    <s v="2020-04-13"/>
  </r>
  <r>
    <x v="158"/>
    <x v="132"/>
    <x v="0"/>
    <n v="4.5"/>
    <n v="100"/>
    <x v="0"/>
    <n v="1"/>
    <s v="Average +"/>
    <n v="31"/>
    <n v="0"/>
    <s v="2020-04-13"/>
  </r>
  <r>
    <x v="159"/>
    <x v="117"/>
    <x v="0"/>
    <n v="4.5"/>
    <n v="60"/>
    <x v="1"/>
    <n v="1"/>
    <s v="Average +"/>
    <n v="13"/>
    <n v="0.4"/>
    <s v="2020-04-13"/>
  </r>
  <r>
    <x v="160"/>
    <x v="133"/>
    <x v="0"/>
    <n v="4.5"/>
    <n v="76"/>
    <x v="1"/>
    <n v="1"/>
    <s v="Average +"/>
    <n v="13"/>
    <n v="0"/>
    <s v="2020-04-13"/>
  </r>
  <r>
    <x v="161"/>
    <x v="134"/>
    <x v="0"/>
    <n v="4.5"/>
    <n v="16"/>
    <x v="3"/>
    <n v="1"/>
    <s v="Below Average"/>
    <n v="6"/>
    <n v="0"/>
    <s v="2020-04-13"/>
  </r>
  <r>
    <x v="162"/>
    <x v="135"/>
    <x v="0"/>
    <n v="4.5"/>
    <n v="128"/>
    <x v="0"/>
    <n v="1"/>
    <s v="Below Average"/>
    <n v="6"/>
    <n v="0.2"/>
    <s v="2020-04-13"/>
  </r>
  <r>
    <x v="163"/>
    <x v="136"/>
    <x v="0"/>
    <n v="4.5"/>
    <n v="37"/>
    <x v="2"/>
    <n v="1"/>
    <s v="Below Average"/>
    <n v="6"/>
    <n v="0"/>
    <s v="2020-04-13"/>
  </r>
  <r>
    <x v="164"/>
    <x v="5"/>
    <x v="0"/>
    <n v="4.5"/>
    <n v="120"/>
    <x v="0"/>
    <n v="2"/>
    <s v="Below Average"/>
    <n v="4"/>
    <n v="0"/>
    <s v="2020-04-13"/>
  </r>
  <r>
    <x v="165"/>
    <x v="137"/>
    <x v="0"/>
    <n v="4.5"/>
    <n v="95"/>
    <x v="1"/>
    <n v="1"/>
    <s v="Below Average"/>
    <n v="4"/>
    <n v="0"/>
    <s v="2020-04-13"/>
  </r>
  <r>
    <x v="166"/>
    <x v="138"/>
    <x v="0"/>
    <n v="4.5"/>
    <n v="126"/>
    <x v="0"/>
    <n v="1"/>
    <s v="Below Average"/>
    <n v="4"/>
    <n v="0.3"/>
    <s v="2020-04-13"/>
  </r>
  <r>
    <x v="167"/>
    <x v="139"/>
    <x v="0"/>
    <n v="4.5"/>
    <n v="140"/>
    <x v="0"/>
    <n v="1"/>
    <s v="Below Average"/>
    <n v="2"/>
    <n v="0"/>
    <s v="2020-04-13"/>
  </r>
  <r>
    <x v="168"/>
    <x v="140"/>
    <x v="0"/>
    <n v="4.5"/>
    <n v="90"/>
    <x v="1"/>
    <n v="1"/>
    <s v="Below Average"/>
    <n v="2"/>
    <n v="0"/>
    <s v="2020-04-13"/>
  </r>
  <r>
    <x v="169"/>
    <x v="141"/>
    <x v="0"/>
    <n v="4.5"/>
    <n v="66"/>
    <x v="1"/>
    <n v="1"/>
    <s v="Below Average"/>
    <n v="2"/>
    <n v="0.4"/>
    <s v="2020-04-13"/>
  </r>
  <r>
    <x v="170"/>
    <x v="142"/>
    <x v="0"/>
    <n v="4.5"/>
    <n v="70"/>
    <x v="1"/>
    <n v="1"/>
    <s v="Below Average"/>
    <n v="2"/>
    <n v="0.3"/>
    <s v="2020-04-13"/>
  </r>
  <r>
    <x v="171"/>
    <x v="143"/>
    <x v="0"/>
    <n v="4.5"/>
    <n v="140"/>
    <x v="0"/>
    <n v="1"/>
    <s v="Below Average"/>
    <n v="2"/>
    <n v="0"/>
    <s v="2020-04-13"/>
  </r>
  <r>
    <x v="172"/>
    <x v="144"/>
    <x v="0"/>
    <n v="4.5"/>
    <n v="128"/>
    <x v="0"/>
    <n v="1"/>
    <s v="Below Average"/>
    <n v="2"/>
    <n v="0.2"/>
    <s v="2020-04-13"/>
  </r>
  <r>
    <x v="173"/>
    <x v="145"/>
    <x v="0"/>
    <n v="4.5"/>
    <n v="110"/>
    <x v="0"/>
    <n v="1"/>
    <s v="Below Average"/>
    <n v="2"/>
    <n v="0"/>
    <s v="2020-04-13"/>
  </r>
  <r>
    <x v="174"/>
    <x v="146"/>
    <x v="0"/>
    <n v="4.5"/>
    <n v="70"/>
    <x v="1"/>
    <n v="1"/>
    <s v="Below Average"/>
    <n v="2"/>
    <n v="0.3"/>
    <s v="2020-04-13"/>
  </r>
  <r>
    <x v="175"/>
    <x v="147"/>
    <x v="0"/>
    <n v="4.5"/>
    <n v="112"/>
    <x v="0"/>
    <n v="1"/>
    <s v="Below Average"/>
    <n v="2"/>
    <n v="0.3"/>
    <s v="2020-04-13"/>
  </r>
  <r>
    <x v="176"/>
    <x v="148"/>
    <x v="0"/>
    <n v="4.5"/>
    <n v="70"/>
    <x v="1"/>
    <n v="1"/>
    <s v="Below Average"/>
    <n v="2"/>
    <n v="0"/>
    <s v="2020-04-13"/>
  </r>
  <r>
    <x v="177"/>
    <x v="110"/>
    <x v="0"/>
    <n v="4.5"/>
    <n v="100"/>
    <x v="0"/>
    <n v="1"/>
    <s v="Below Average"/>
    <n v="2"/>
    <n v="0"/>
    <s v="2020-04-13"/>
  </r>
  <r>
    <x v="178"/>
    <x v="149"/>
    <x v="0"/>
    <n v="4.5"/>
    <n v="80"/>
    <x v="1"/>
    <n v="1"/>
    <s v="Below Average"/>
    <n v="2"/>
    <n v="0"/>
    <s v="2020-04-13"/>
  </r>
  <r>
    <x v="179"/>
    <x v="150"/>
    <x v="0"/>
    <n v="4.4000000000000004"/>
    <n v="170"/>
    <x v="0"/>
    <n v="1"/>
    <s v="Average +"/>
    <n v="48"/>
    <n v="0"/>
    <s v="2020-04-13"/>
  </r>
  <r>
    <x v="180"/>
    <x v="151"/>
    <x v="0"/>
    <n v="4.4000000000000004"/>
    <n v="128"/>
    <x v="0"/>
    <n v="2"/>
    <s v="Average +"/>
    <n v="36"/>
    <n v="0.2"/>
    <s v="2020-04-13"/>
  </r>
  <r>
    <x v="181"/>
    <x v="132"/>
    <x v="0"/>
    <n v="4.4000000000000004"/>
    <n v="100"/>
    <x v="0"/>
    <n v="1"/>
    <s v="Average +"/>
    <n v="34"/>
    <n v="0"/>
    <s v="2020-04-13"/>
  </r>
  <r>
    <x v="182"/>
    <x v="152"/>
    <x v="0"/>
    <n v="4.4000000000000004"/>
    <n v="96"/>
    <x v="1"/>
    <n v="1"/>
    <s v="Average +"/>
    <n v="27"/>
    <n v="0.2"/>
    <s v="2020-04-13"/>
  </r>
  <r>
    <x v="183"/>
    <x v="153"/>
    <x v="0"/>
    <n v="4.4000000000000004"/>
    <n v="120"/>
    <x v="0"/>
    <n v="1"/>
    <s v="Average +"/>
    <n v="26"/>
    <n v="0.2"/>
    <s v="2020-04-13"/>
  </r>
  <r>
    <x v="184"/>
    <x v="154"/>
    <x v="0"/>
    <n v="4.4000000000000004"/>
    <n v="119"/>
    <x v="0"/>
    <n v="1"/>
    <s v="Average +"/>
    <n v="25"/>
    <n v="0.3"/>
    <s v="2020-04-13"/>
  </r>
  <r>
    <x v="185"/>
    <x v="155"/>
    <x v="0"/>
    <n v="4.4000000000000004"/>
    <n v="110"/>
    <x v="0"/>
    <n v="1"/>
    <s v="Average +"/>
    <n v="22"/>
    <n v="0"/>
    <s v="2020-04-13"/>
  </r>
  <r>
    <x v="186"/>
    <x v="156"/>
    <x v="0"/>
    <n v="4.4000000000000004"/>
    <n v="88"/>
    <x v="1"/>
    <n v="2"/>
    <s v="Average +"/>
    <n v="20"/>
    <n v="0.2"/>
    <s v="2020-04-13"/>
  </r>
  <r>
    <x v="187"/>
    <x v="41"/>
    <x v="0"/>
    <n v="4.4000000000000004"/>
    <n v="100"/>
    <x v="0"/>
    <n v="1"/>
    <s v="Average +"/>
    <n v="19"/>
    <n v="0"/>
    <s v="2020-04-13"/>
  </r>
  <r>
    <x v="188"/>
    <x v="89"/>
    <x v="0"/>
    <n v="4.4000000000000004"/>
    <n v="78"/>
    <x v="1"/>
    <n v="1"/>
    <s v="Average +"/>
    <n v="12"/>
    <n v="0.4"/>
    <s v="2020-04-13"/>
  </r>
  <r>
    <x v="189"/>
    <x v="157"/>
    <x v="0"/>
    <n v="4.4000000000000004"/>
    <n v="160"/>
    <x v="0"/>
    <n v="1"/>
    <s v="Average +"/>
    <n v="10"/>
    <n v="0"/>
    <s v="2020-04-13"/>
  </r>
  <r>
    <x v="190"/>
    <x v="158"/>
    <x v="0"/>
    <n v="4.4000000000000004"/>
    <n v="48"/>
    <x v="2"/>
    <n v="1"/>
    <s v="Average +"/>
    <n v="9"/>
    <n v="0.4"/>
    <s v="2020-04-13"/>
  </r>
  <r>
    <x v="191"/>
    <x v="159"/>
    <x v="0"/>
    <n v="4.4000000000000004"/>
    <n v="72"/>
    <x v="1"/>
    <n v="1"/>
    <s v="Below Average"/>
    <n v="7"/>
    <n v="0.2"/>
    <s v="2020-04-13"/>
  </r>
  <r>
    <x v="192"/>
    <x v="160"/>
    <x v="0"/>
    <n v="4.4000000000000004"/>
    <n v="136"/>
    <x v="0"/>
    <n v="1"/>
    <s v="Below Average"/>
    <n v="7"/>
    <n v="0.2"/>
    <s v="2020-04-13"/>
  </r>
  <r>
    <x v="193"/>
    <x v="161"/>
    <x v="0"/>
    <n v="4.4000000000000004"/>
    <n v="96"/>
    <x v="1"/>
    <n v="1"/>
    <s v="Below Average"/>
    <n v="7"/>
    <n v="0.4"/>
    <s v="2020-04-13"/>
  </r>
  <r>
    <x v="194"/>
    <x v="162"/>
    <x v="0"/>
    <n v="4.4000000000000004"/>
    <n v="160"/>
    <x v="0"/>
    <n v="1"/>
    <s v="Below Average"/>
    <n v="5"/>
    <n v="0"/>
    <s v="2020-04-13"/>
  </r>
  <r>
    <x v="195"/>
    <x v="163"/>
    <x v="0"/>
    <n v="4.4000000000000004"/>
    <n v="56"/>
    <x v="1"/>
    <n v="1"/>
    <s v="Below Average"/>
    <n v="5"/>
    <n v="0.3"/>
    <s v="2020-04-13"/>
  </r>
  <r>
    <x v="196"/>
    <x v="164"/>
    <x v="0"/>
    <n v="4.4000000000000004"/>
    <n v="110"/>
    <x v="0"/>
    <n v="1"/>
    <s v="Below Average"/>
    <n v="5"/>
    <n v="0"/>
    <s v="2020-04-13"/>
  </r>
  <r>
    <x v="197"/>
    <x v="165"/>
    <x v="0"/>
    <n v="4.3"/>
    <n v="145"/>
    <x v="0"/>
    <n v="1"/>
    <s v="Average +"/>
    <n v="105"/>
    <n v="0"/>
    <s v="2020-04-13"/>
  </r>
  <r>
    <x v="198"/>
    <x v="47"/>
    <x v="0"/>
    <n v="4.3"/>
    <n v="119"/>
    <x v="0"/>
    <n v="1"/>
    <s v="Average +"/>
    <n v="17"/>
    <n v="0.3"/>
    <s v="2020-04-13"/>
  </r>
  <r>
    <x v="199"/>
    <x v="47"/>
    <x v="0"/>
    <n v="4.3"/>
    <n v="170"/>
    <x v="0"/>
    <n v="1"/>
    <s v="Average +"/>
    <n v="16"/>
    <n v="0"/>
    <s v="2020-04-13"/>
  </r>
  <r>
    <x v="200"/>
    <x v="166"/>
    <x v="0"/>
    <n v="4.3"/>
    <n v="230"/>
    <x v="0"/>
    <n v="2"/>
    <s v="Average +"/>
    <n v="16"/>
    <n v="0"/>
    <s v="2020-04-13"/>
  </r>
  <r>
    <x v="201"/>
    <x v="167"/>
    <x v="0"/>
    <n v="4.3"/>
    <n v="100"/>
    <x v="0"/>
    <n v="1"/>
    <s v="Average +"/>
    <n v="14"/>
    <n v="0"/>
    <s v="2020-04-13"/>
  </r>
  <r>
    <x v="202"/>
    <x v="102"/>
    <x v="0"/>
    <n v="4.3"/>
    <n v="70"/>
    <x v="1"/>
    <n v="1"/>
    <s v="Average +"/>
    <n v="12"/>
    <n v="0"/>
    <s v="2020-04-13"/>
  </r>
  <r>
    <x v="203"/>
    <x v="168"/>
    <x v="0"/>
    <n v="4.3"/>
    <n v="25"/>
    <x v="2"/>
    <n v="1"/>
    <s v="Average +"/>
    <n v="12"/>
    <n v="0"/>
    <s v="2020-04-13"/>
  </r>
  <r>
    <x v="204"/>
    <x v="169"/>
    <x v="0"/>
    <n v="4.3"/>
    <n v="65"/>
    <x v="1"/>
    <n v="1"/>
    <s v="Average +"/>
    <n v="12"/>
    <n v="0"/>
    <s v="2020-04-13"/>
  </r>
  <r>
    <x v="205"/>
    <x v="170"/>
    <x v="0"/>
    <n v="4.3"/>
    <n v="120"/>
    <x v="0"/>
    <n v="1"/>
    <s v="Average +"/>
    <n v="10"/>
    <n v="0"/>
    <s v="2020-04-13"/>
  </r>
  <r>
    <x v="206"/>
    <x v="171"/>
    <x v="0"/>
    <n v="4.3"/>
    <n v="88"/>
    <x v="1"/>
    <n v="1"/>
    <s v="Average +"/>
    <n v="9"/>
    <n v="0.2"/>
    <s v="2020-04-13"/>
  </r>
  <r>
    <x v="207"/>
    <x v="172"/>
    <x v="0"/>
    <n v="4.3"/>
    <n v="70"/>
    <x v="1"/>
    <n v="1"/>
    <s v="Average +"/>
    <n v="8"/>
    <n v="0"/>
    <s v="2020-04-13"/>
  </r>
  <r>
    <x v="208"/>
    <x v="173"/>
    <x v="0"/>
    <n v="4.3"/>
    <n v="45"/>
    <x v="2"/>
    <n v="2"/>
    <s v="Below Average"/>
    <n v="6"/>
    <n v="0"/>
    <s v="2020-04-13"/>
  </r>
  <r>
    <x v="209"/>
    <x v="174"/>
    <x v="0"/>
    <n v="4.3"/>
    <n v="130"/>
    <x v="0"/>
    <n v="1"/>
    <s v="Below Average"/>
    <n v="6"/>
    <n v="0"/>
    <s v="2020-04-13"/>
  </r>
  <r>
    <x v="210"/>
    <x v="175"/>
    <x v="0"/>
    <n v="4.3"/>
    <n v="25"/>
    <x v="2"/>
    <n v="1"/>
    <s v="Below Average"/>
    <n v="4"/>
    <n v="0"/>
    <s v="2020-04-13"/>
  </r>
  <r>
    <x v="211"/>
    <x v="101"/>
    <x v="0"/>
    <n v="4.3"/>
    <n v="77"/>
    <x v="1"/>
    <n v="1"/>
    <s v="Below Average"/>
    <n v="3"/>
    <n v="0.3"/>
    <s v="2020-04-13"/>
  </r>
  <r>
    <x v="212"/>
    <x v="109"/>
    <x v="0"/>
    <n v="4.3"/>
    <n v="110"/>
    <x v="0"/>
    <n v="1"/>
    <s v="Below Average"/>
    <n v="3"/>
    <n v="0"/>
    <s v="2020-04-13"/>
  </r>
  <r>
    <x v="213"/>
    <x v="176"/>
    <x v="0"/>
    <n v="4.3"/>
    <n v="77"/>
    <x v="1"/>
    <n v="1"/>
    <s v="Below Average"/>
    <n v="3"/>
    <n v="0.3"/>
    <s v="2020-04-13"/>
  </r>
  <r>
    <x v="214"/>
    <x v="88"/>
    <x v="0"/>
    <n v="4.2"/>
    <n v="128"/>
    <x v="0"/>
    <n v="1"/>
    <s v="Average +"/>
    <n v="62"/>
    <n v="0.2"/>
    <s v="2020-04-13"/>
  </r>
  <r>
    <x v="215"/>
    <x v="177"/>
    <x v="0"/>
    <n v="4.2"/>
    <n v="104"/>
    <x v="0"/>
    <n v="1"/>
    <s v="Average +"/>
    <n v="45"/>
    <n v="0.2"/>
    <s v="2020-04-13"/>
  </r>
  <r>
    <x v="216"/>
    <x v="178"/>
    <x v="0"/>
    <n v="4.2"/>
    <n v="160"/>
    <x v="0"/>
    <n v="1"/>
    <s v="Average +"/>
    <n v="42"/>
    <n v="0"/>
    <s v="2020-04-13"/>
  </r>
  <r>
    <x v="217"/>
    <x v="179"/>
    <x v="0"/>
    <n v="4.2"/>
    <n v="100"/>
    <x v="0"/>
    <n v="1"/>
    <s v="Average +"/>
    <n v="30"/>
    <n v="0"/>
    <s v="2020-04-13"/>
  </r>
  <r>
    <x v="218"/>
    <x v="174"/>
    <x v="0"/>
    <n v="4.2"/>
    <n v="78"/>
    <x v="1"/>
    <n v="1"/>
    <s v="Average +"/>
    <n v="30"/>
    <n v="0.4"/>
    <s v="2020-04-13"/>
  </r>
  <r>
    <x v="219"/>
    <x v="114"/>
    <x v="0"/>
    <n v="4.2"/>
    <n v="140"/>
    <x v="0"/>
    <n v="1"/>
    <s v="Average +"/>
    <n v="29"/>
    <n v="0"/>
    <s v="2020-04-13"/>
  </r>
  <r>
    <x v="220"/>
    <x v="180"/>
    <x v="0"/>
    <n v="4.2"/>
    <n v="34"/>
    <x v="2"/>
    <n v="1"/>
    <s v="Average +"/>
    <n v="25"/>
    <n v="0.3"/>
    <s v="2020-04-13"/>
  </r>
  <r>
    <x v="221"/>
    <x v="181"/>
    <x v="0"/>
    <n v="4.2"/>
    <n v="120"/>
    <x v="0"/>
    <n v="1"/>
    <s v="Average +"/>
    <n v="23"/>
    <n v="0"/>
    <s v="2020-04-13"/>
  </r>
  <r>
    <x v="222"/>
    <x v="182"/>
    <x v="0"/>
    <n v="4.2"/>
    <n v="48"/>
    <x v="2"/>
    <n v="1"/>
    <s v="Average +"/>
    <n v="13"/>
    <n v="0.4"/>
    <s v="2020-04-13"/>
  </r>
  <r>
    <x v="223"/>
    <x v="183"/>
    <x v="0"/>
    <n v="4.2"/>
    <n v="56"/>
    <x v="1"/>
    <n v="2"/>
    <s v="Average +"/>
    <n v="12"/>
    <n v="0.3"/>
    <s v="2020-04-13"/>
  </r>
  <r>
    <x v="224"/>
    <x v="184"/>
    <x v="0"/>
    <n v="4.2"/>
    <n v="144"/>
    <x v="0"/>
    <n v="1"/>
    <s v="Average +"/>
    <n v="12"/>
    <n v="0.2"/>
    <s v="2020-04-13"/>
  </r>
  <r>
    <x v="225"/>
    <x v="185"/>
    <x v="0"/>
    <n v="4.2"/>
    <n v="88"/>
    <x v="1"/>
    <n v="1"/>
    <s v="Average +"/>
    <n v="9"/>
    <n v="0"/>
    <s v="2020-04-13"/>
  </r>
  <r>
    <x v="226"/>
    <x v="120"/>
    <x v="0"/>
    <n v="4.2"/>
    <n v="110"/>
    <x v="0"/>
    <n v="1"/>
    <s v="Average +"/>
    <n v="9"/>
    <n v="0"/>
    <s v="2020-04-13"/>
  </r>
  <r>
    <x v="227"/>
    <x v="186"/>
    <x v="0"/>
    <n v="4.2"/>
    <n v="96"/>
    <x v="1"/>
    <n v="1"/>
    <s v="Below Average"/>
    <n v="6"/>
    <n v="0.2"/>
    <s v="2020-04-13"/>
  </r>
  <r>
    <x v="228"/>
    <x v="186"/>
    <x v="0"/>
    <n v="4.2"/>
    <n v="96"/>
    <x v="1"/>
    <n v="1"/>
    <s v="Below Average"/>
    <n v="6"/>
    <n v="0.2"/>
    <s v="2020-04-13"/>
  </r>
  <r>
    <x v="229"/>
    <x v="131"/>
    <x v="0"/>
    <n v="4.2"/>
    <n v="66"/>
    <x v="1"/>
    <n v="1"/>
    <s v="Below Average"/>
    <n v="5"/>
    <n v="0"/>
    <s v="2020-04-13"/>
  </r>
  <r>
    <x v="230"/>
    <x v="187"/>
    <x v="0"/>
    <n v="4.2"/>
    <n v="20"/>
    <x v="3"/>
    <n v="1"/>
    <s v="Below Average"/>
    <n v="5"/>
    <n v="0"/>
    <s v="2020-04-13"/>
  </r>
  <r>
    <x v="231"/>
    <x v="188"/>
    <x v="0"/>
    <n v="4.2"/>
    <n v="90"/>
    <x v="1"/>
    <n v="1"/>
    <s v="Below Average"/>
    <n v="5"/>
    <n v="0"/>
    <s v="2020-04-13"/>
  </r>
  <r>
    <x v="232"/>
    <x v="189"/>
    <x v="0"/>
    <n v="4.0999999999999996"/>
    <n v="53"/>
    <x v="1"/>
    <n v="1"/>
    <s v="Average +"/>
    <n v="94"/>
    <n v="0"/>
    <s v="2020-04-13"/>
  </r>
  <r>
    <x v="233"/>
    <x v="177"/>
    <x v="0"/>
    <n v="4.0999999999999996"/>
    <n v="104"/>
    <x v="0"/>
    <n v="1"/>
    <s v="Average +"/>
    <n v="72"/>
    <n v="0.2"/>
    <s v="2020-04-13"/>
  </r>
  <r>
    <x v="234"/>
    <x v="190"/>
    <x v="0"/>
    <n v="4.0999999999999996"/>
    <n v="110"/>
    <x v="0"/>
    <n v="2"/>
    <s v="Average +"/>
    <n v="38"/>
    <n v="0"/>
    <s v="2020-04-13"/>
  </r>
  <r>
    <x v="235"/>
    <x v="168"/>
    <x v="0"/>
    <n v="4.0999999999999996"/>
    <n v="25"/>
    <x v="2"/>
    <n v="1"/>
    <s v="Average +"/>
    <n v="33"/>
    <n v="0"/>
    <s v="2020-04-13"/>
  </r>
  <r>
    <x v="236"/>
    <x v="191"/>
    <x v="0"/>
    <n v="4.0999999999999996"/>
    <n v="91"/>
    <x v="1"/>
    <n v="1"/>
    <s v="Average +"/>
    <n v="18"/>
    <n v="0.3"/>
    <s v="2020-04-13"/>
  </r>
  <r>
    <x v="237"/>
    <x v="191"/>
    <x v="0"/>
    <n v="4.0999999999999996"/>
    <n v="104"/>
    <x v="0"/>
    <n v="1"/>
    <s v="Average +"/>
    <n v="18"/>
    <n v="0.2"/>
    <s v="2020-04-13"/>
  </r>
  <r>
    <x v="238"/>
    <x v="192"/>
    <x v="0"/>
    <n v="4.0999999999999996"/>
    <n v="152"/>
    <x v="0"/>
    <n v="1"/>
    <s v="Average +"/>
    <n v="17"/>
    <n v="0.2"/>
    <s v="2020-04-13"/>
  </r>
  <r>
    <x v="239"/>
    <x v="193"/>
    <x v="0"/>
    <n v="4.0999999999999996"/>
    <n v="66"/>
    <x v="1"/>
    <n v="1"/>
    <s v="Average +"/>
    <n v="13"/>
    <n v="0.4"/>
    <s v="2020-04-13"/>
  </r>
  <r>
    <x v="240"/>
    <x v="138"/>
    <x v="0"/>
    <n v="4.0999999999999996"/>
    <n v="126"/>
    <x v="0"/>
    <n v="1"/>
    <s v="Average +"/>
    <n v="11"/>
    <n v="0.3"/>
    <s v="2020-04-13"/>
  </r>
  <r>
    <x v="241"/>
    <x v="194"/>
    <x v="0"/>
    <n v="4.0999999999999996"/>
    <n v="190"/>
    <x v="0"/>
    <n v="1"/>
    <s v="Average +"/>
    <n v="10"/>
    <n v="0"/>
    <s v="2020-04-13"/>
  </r>
  <r>
    <x v="242"/>
    <x v="195"/>
    <x v="0"/>
    <n v="4.0999999999999996"/>
    <n v="102"/>
    <x v="0"/>
    <n v="1"/>
    <s v="Average +"/>
    <n v="9"/>
    <n v="0.4"/>
    <s v="2020-04-13"/>
  </r>
  <r>
    <x v="243"/>
    <x v="196"/>
    <x v="0"/>
    <n v="4.0999999999999996"/>
    <n v="24"/>
    <x v="2"/>
    <n v="1"/>
    <s v="Average +"/>
    <n v="8"/>
    <n v="0.2"/>
    <s v="2020-04-13"/>
  </r>
  <r>
    <x v="244"/>
    <x v="152"/>
    <x v="0"/>
    <n v="4.0999999999999996"/>
    <n v="96"/>
    <x v="1"/>
    <n v="1"/>
    <s v="Average +"/>
    <n v="8"/>
    <n v="0.2"/>
    <s v="2020-04-13"/>
  </r>
  <r>
    <x v="245"/>
    <x v="153"/>
    <x v="0"/>
    <n v="4"/>
    <n v="150"/>
    <x v="0"/>
    <n v="1"/>
    <s v="Average +"/>
    <n v="65"/>
    <n v="0"/>
    <s v="2020-04-13"/>
  </r>
  <r>
    <x v="246"/>
    <x v="180"/>
    <x v="0"/>
    <n v="4"/>
    <n v="40"/>
    <x v="2"/>
    <n v="1"/>
    <s v="Average +"/>
    <n v="53"/>
    <n v="0.2"/>
    <s v="2020-04-13"/>
  </r>
  <r>
    <x v="247"/>
    <x v="197"/>
    <x v="0"/>
    <n v="4"/>
    <n v="72"/>
    <x v="1"/>
    <n v="2"/>
    <s v="Average +"/>
    <n v="38"/>
    <n v="0.2"/>
    <s v="2020-04-13"/>
  </r>
  <r>
    <x v="248"/>
    <x v="96"/>
    <x v="0"/>
    <n v="4"/>
    <n v="140"/>
    <x v="0"/>
    <n v="1"/>
    <s v="Average +"/>
    <n v="30"/>
    <n v="0"/>
    <s v="2020-04-13"/>
  </r>
  <r>
    <x v="249"/>
    <x v="198"/>
    <x v="0"/>
    <n v="4"/>
    <n v="70"/>
    <x v="1"/>
    <n v="1"/>
    <s v="Average +"/>
    <n v="25"/>
    <n v="0.3"/>
    <s v="2020-04-13"/>
  </r>
  <r>
    <x v="250"/>
    <x v="159"/>
    <x v="0"/>
    <n v="4"/>
    <n v="90"/>
    <x v="1"/>
    <n v="1"/>
    <s v="Average +"/>
    <n v="13"/>
    <n v="0"/>
    <s v="2020-04-13"/>
  </r>
  <r>
    <x v="251"/>
    <x v="199"/>
    <x v="0"/>
    <n v="4"/>
    <n v="59"/>
    <x v="1"/>
    <n v="2"/>
    <s v="Average +"/>
    <n v="10"/>
    <n v="0.3"/>
    <s v="2020-04-13"/>
  </r>
  <r>
    <x v="252"/>
    <x v="200"/>
    <x v="0"/>
    <n v="4"/>
    <n v="90"/>
    <x v="1"/>
    <n v="1"/>
    <s v="Average +"/>
    <n v="9"/>
    <n v="0"/>
    <s v="2020-04-13"/>
  </r>
  <r>
    <x v="253"/>
    <x v="201"/>
    <x v="0"/>
    <n v="4"/>
    <n v="105"/>
    <x v="0"/>
    <n v="1"/>
    <s v="Below Average"/>
    <n v="6"/>
    <n v="0.3"/>
    <s v="2020-04-13"/>
  </r>
  <r>
    <x v="254"/>
    <x v="202"/>
    <x v="0"/>
    <n v="4"/>
    <n v="70"/>
    <x v="1"/>
    <n v="1"/>
    <s v="Below Average"/>
    <n v="6"/>
    <n v="0"/>
    <s v="2020-04-13"/>
  </r>
  <r>
    <x v="255"/>
    <x v="203"/>
    <x v="0"/>
    <n v="4"/>
    <n v="96"/>
    <x v="1"/>
    <n v="1"/>
    <s v="Below Average"/>
    <n v="5"/>
    <n v="0.4"/>
    <s v="2020-04-13"/>
  </r>
  <r>
    <x v="256"/>
    <x v="204"/>
    <x v="0"/>
    <n v="4"/>
    <n v="160"/>
    <x v="0"/>
    <n v="1"/>
    <s v="Below Average"/>
    <n v="4"/>
    <n v="0"/>
    <s v="2020-04-13"/>
  </r>
  <r>
    <x v="257"/>
    <x v="205"/>
    <x v="0"/>
    <n v="4"/>
    <n v="84"/>
    <x v="1"/>
    <n v="2"/>
    <s v="Below Average"/>
    <n v="4"/>
    <n v="0.3"/>
    <s v="2020-04-13"/>
  </r>
  <r>
    <x v="258"/>
    <x v="195"/>
    <x v="0"/>
    <n v="4"/>
    <n v="170"/>
    <x v="0"/>
    <n v="1"/>
    <s v="Below Average"/>
    <n v="4"/>
    <n v="0"/>
    <s v="2020-04-13"/>
  </r>
  <r>
    <x v="259"/>
    <x v="206"/>
    <x v="0"/>
    <n v="4"/>
    <n v="59"/>
    <x v="1"/>
    <n v="1"/>
    <s v="Below Average"/>
    <n v="3"/>
    <n v="0.3"/>
    <s v="2020-04-13"/>
  </r>
  <r>
    <x v="260"/>
    <x v="207"/>
    <x v="0"/>
    <n v="4"/>
    <n v="170"/>
    <x v="0"/>
    <n v="1"/>
    <s v="Below Average"/>
    <n v="3"/>
    <n v="0"/>
    <s v="2020-04-13"/>
  </r>
  <r>
    <x v="261"/>
    <x v="208"/>
    <x v="0"/>
    <n v="4"/>
    <n v="150"/>
    <x v="0"/>
    <n v="1"/>
    <s v="Below Average"/>
    <n v="3"/>
    <n v="0"/>
    <s v="2020-04-13"/>
  </r>
  <r>
    <x v="262"/>
    <x v="174"/>
    <x v="0"/>
    <n v="4"/>
    <n v="130"/>
    <x v="0"/>
    <n v="1"/>
    <s v="Below Average"/>
    <n v="1"/>
    <n v="0"/>
    <s v="2020-04-13"/>
  </r>
  <r>
    <x v="263"/>
    <x v="194"/>
    <x v="0"/>
    <n v="4"/>
    <n v="190"/>
    <x v="0"/>
    <n v="1"/>
    <s v="Below Average"/>
    <n v="1"/>
    <n v="0"/>
    <s v="2020-04-13"/>
  </r>
  <r>
    <x v="264"/>
    <x v="162"/>
    <x v="0"/>
    <n v="4"/>
    <n v="160"/>
    <x v="0"/>
    <n v="1"/>
    <s v="Below Average"/>
    <n v="1"/>
    <n v="0"/>
    <s v="2020-04-13"/>
  </r>
  <r>
    <x v="265"/>
    <x v="48"/>
    <x v="0"/>
    <n v="4"/>
    <n v="66"/>
    <x v="1"/>
    <n v="1"/>
    <s v="Below Average"/>
    <n v="1"/>
    <n v="0.4"/>
    <s v="2020-04-13"/>
  </r>
  <r>
    <x v="266"/>
    <x v="209"/>
    <x v="0"/>
    <n v="4"/>
    <n v="40"/>
    <x v="2"/>
    <n v="1"/>
    <s v="Below Average"/>
    <n v="1"/>
    <n v="0"/>
    <s v="2020-04-13"/>
  </r>
  <r>
    <x v="267"/>
    <x v="210"/>
    <x v="0"/>
    <n v="4"/>
    <n v="100"/>
    <x v="0"/>
    <n v="1"/>
    <s v="Below Average"/>
    <n v="1"/>
    <n v="0"/>
    <s v="2020-04-13"/>
  </r>
  <r>
    <x v="268"/>
    <x v="211"/>
    <x v="0"/>
    <n v="4"/>
    <n v="130"/>
    <x v="0"/>
    <n v="1"/>
    <s v="Below Average"/>
    <n v="1"/>
    <n v="0"/>
    <s v="2020-04-13"/>
  </r>
  <r>
    <x v="269"/>
    <x v="53"/>
    <x v="0"/>
    <n v="4"/>
    <n v="72"/>
    <x v="1"/>
    <n v="1"/>
    <s v="Below Average"/>
    <n v="1"/>
    <n v="0.4"/>
    <s v="2020-04-13"/>
  </r>
  <r>
    <x v="270"/>
    <x v="212"/>
    <x v="0"/>
    <n v="4"/>
    <n v="60"/>
    <x v="1"/>
    <n v="1"/>
    <s v="Below Average"/>
    <n v="1"/>
    <n v="0"/>
    <s v="2020-04-13"/>
  </r>
  <r>
    <x v="271"/>
    <x v="195"/>
    <x v="0"/>
    <n v="4"/>
    <n v="170"/>
    <x v="0"/>
    <n v="1"/>
    <s v="Below Average"/>
    <n v="1"/>
    <n v="0"/>
    <s v="2020-04-13"/>
  </r>
  <r>
    <x v="272"/>
    <x v="213"/>
    <x v="1"/>
    <n v="3.9"/>
    <n v="160"/>
    <x v="0"/>
    <n v="2"/>
    <s v="Average +"/>
    <n v="68"/>
    <n v="0"/>
    <s v="2020-04-13"/>
  </r>
  <r>
    <x v="273"/>
    <x v="214"/>
    <x v="1"/>
    <n v="3.9"/>
    <n v="140"/>
    <x v="0"/>
    <n v="1"/>
    <s v="Average +"/>
    <n v="63"/>
    <n v="0"/>
    <s v="2020-04-13"/>
  </r>
  <r>
    <x v="274"/>
    <x v="215"/>
    <x v="1"/>
    <n v="3.9"/>
    <n v="110"/>
    <x v="0"/>
    <n v="1"/>
    <s v="Average +"/>
    <n v="61"/>
    <n v="0"/>
    <s v="2020-04-13"/>
  </r>
  <r>
    <x v="275"/>
    <x v="174"/>
    <x v="1"/>
    <n v="3.9"/>
    <n v="78"/>
    <x v="1"/>
    <n v="1"/>
    <s v="Average +"/>
    <n v="33"/>
    <n v="0.4"/>
    <s v="2020-04-13"/>
  </r>
  <r>
    <x v="276"/>
    <x v="182"/>
    <x v="1"/>
    <n v="3.9"/>
    <n v="56"/>
    <x v="1"/>
    <n v="1"/>
    <s v="Average +"/>
    <n v="25"/>
    <n v="0.3"/>
    <s v="2020-04-13"/>
  </r>
  <r>
    <x v="277"/>
    <x v="216"/>
    <x v="1"/>
    <n v="3.9"/>
    <n v="130"/>
    <x v="0"/>
    <n v="2"/>
    <s v="Average +"/>
    <n v="20"/>
    <n v="0"/>
    <s v="2020-04-13"/>
  </r>
  <r>
    <x v="278"/>
    <x v="217"/>
    <x v="1"/>
    <n v="3.9"/>
    <n v="120"/>
    <x v="0"/>
    <n v="1"/>
    <s v="Average +"/>
    <n v="17"/>
    <n v="0"/>
    <s v="2020-04-13"/>
  </r>
  <r>
    <x v="279"/>
    <x v="218"/>
    <x v="1"/>
    <n v="3.9"/>
    <n v="80"/>
    <x v="1"/>
    <n v="1"/>
    <s v="Average +"/>
    <n v="17"/>
    <n v="0"/>
    <s v="2020-04-13"/>
  </r>
  <r>
    <x v="280"/>
    <x v="193"/>
    <x v="1"/>
    <n v="3.9"/>
    <n v="77"/>
    <x v="1"/>
    <n v="1"/>
    <s v="Average +"/>
    <n v="10"/>
    <n v="0.3"/>
    <s v="2020-04-13"/>
  </r>
  <r>
    <x v="281"/>
    <x v="214"/>
    <x v="1"/>
    <n v="3.8"/>
    <n v="140"/>
    <x v="0"/>
    <n v="1"/>
    <s v="Average +"/>
    <n v="81"/>
    <n v="0"/>
    <s v="2020-04-13"/>
  </r>
  <r>
    <x v="282"/>
    <x v="219"/>
    <x v="1"/>
    <n v="3.8"/>
    <n v="140"/>
    <x v="0"/>
    <n v="2"/>
    <s v="Average +"/>
    <n v="30"/>
    <n v="0"/>
    <s v="2020-04-13"/>
  </r>
  <r>
    <x v="283"/>
    <x v="220"/>
    <x v="1"/>
    <n v="3.8"/>
    <n v="128"/>
    <x v="0"/>
    <n v="1"/>
    <s v="Average +"/>
    <n v="24"/>
    <n v="0.2"/>
    <s v="2020-04-13"/>
  </r>
  <r>
    <x v="284"/>
    <x v="148"/>
    <x v="1"/>
    <n v="3.8"/>
    <n v="70"/>
    <x v="1"/>
    <n v="1"/>
    <s v="Below Average"/>
    <n v="6"/>
    <n v="0"/>
    <s v="2020-04-13"/>
  </r>
  <r>
    <x v="285"/>
    <x v="221"/>
    <x v="1"/>
    <n v="3.8"/>
    <n v="16"/>
    <x v="3"/>
    <n v="1"/>
    <s v="Below Average"/>
    <n v="5"/>
    <n v="0"/>
    <s v="2020-04-13"/>
  </r>
  <r>
    <x v="286"/>
    <x v="133"/>
    <x v="1"/>
    <n v="3.8"/>
    <n v="63"/>
    <x v="1"/>
    <n v="1"/>
    <s v="Below Average"/>
    <n v="4"/>
    <n v="0.2"/>
    <s v="2020-04-13"/>
  </r>
  <r>
    <x v="287"/>
    <x v="170"/>
    <x v="1"/>
    <n v="3.8"/>
    <n v="120"/>
    <x v="0"/>
    <n v="1"/>
    <s v="Below Average"/>
    <n v="4"/>
    <n v="0"/>
    <s v="2020-04-13"/>
  </r>
  <r>
    <x v="288"/>
    <x v="155"/>
    <x v="1"/>
    <n v="3.7"/>
    <n v="110"/>
    <x v="0"/>
    <n v="2"/>
    <s v="Average +"/>
    <n v="62"/>
    <n v="0"/>
    <s v="2020-04-13"/>
  </r>
  <r>
    <x v="289"/>
    <x v="150"/>
    <x v="1"/>
    <n v="3.7"/>
    <n v="170"/>
    <x v="0"/>
    <n v="1"/>
    <s v="Average +"/>
    <n v="50"/>
    <n v="0"/>
    <s v="2020-04-13"/>
  </r>
  <r>
    <x v="290"/>
    <x v="217"/>
    <x v="1"/>
    <n v="3.7"/>
    <n v="72"/>
    <x v="1"/>
    <n v="1"/>
    <s v="Average +"/>
    <n v="31"/>
    <n v="0.4"/>
    <s v="2020-04-13"/>
  </r>
  <r>
    <x v="291"/>
    <x v="222"/>
    <x v="1"/>
    <n v="3.7"/>
    <n v="60"/>
    <x v="1"/>
    <n v="1"/>
    <s v="Average +"/>
    <n v="27"/>
    <n v="0.4"/>
    <s v="2020-04-13"/>
  </r>
  <r>
    <x v="292"/>
    <x v="223"/>
    <x v="1"/>
    <n v="3.7"/>
    <n v="80"/>
    <x v="1"/>
    <n v="2"/>
    <s v="Average +"/>
    <n v="22"/>
    <n v="0.2"/>
    <s v="2020-04-13"/>
  </r>
  <r>
    <x v="293"/>
    <x v="224"/>
    <x v="1"/>
    <n v="3.7"/>
    <n v="78"/>
    <x v="1"/>
    <n v="1"/>
    <s v="Average +"/>
    <n v="19"/>
    <n v="0.4"/>
    <s v="2020-04-13"/>
  </r>
  <r>
    <x v="294"/>
    <x v="225"/>
    <x v="1"/>
    <n v="3.7"/>
    <n v="64"/>
    <x v="1"/>
    <n v="1"/>
    <s v="Average +"/>
    <n v="18"/>
    <n v="0.2"/>
    <s v="2020-04-13"/>
  </r>
  <r>
    <x v="295"/>
    <x v="11"/>
    <x v="1"/>
    <n v="3.7"/>
    <n v="80"/>
    <x v="1"/>
    <n v="1"/>
    <s v="Average +"/>
    <n v="10"/>
    <n v="0"/>
    <s v="2020-04-13"/>
  </r>
  <r>
    <x v="296"/>
    <x v="226"/>
    <x v="1"/>
    <n v="3.7"/>
    <n v="84"/>
    <x v="1"/>
    <n v="1"/>
    <s v="Below Average"/>
    <n v="3"/>
    <n v="0.3"/>
    <s v="2020-04-13"/>
  </r>
  <r>
    <x v="297"/>
    <x v="227"/>
    <x v="1"/>
    <n v="3.7"/>
    <n v="136"/>
    <x v="0"/>
    <n v="1"/>
    <s v="Below Average"/>
    <n v="3"/>
    <n v="0.2"/>
    <s v="2020-04-13"/>
  </r>
  <r>
    <x v="298"/>
    <x v="216"/>
    <x v="1"/>
    <n v="3.7"/>
    <n v="130"/>
    <x v="0"/>
    <n v="1"/>
    <s v="Below Average"/>
    <n v="3"/>
    <n v="0"/>
    <s v="2020-04-13"/>
  </r>
  <r>
    <x v="299"/>
    <x v="228"/>
    <x v="1"/>
    <n v="3.7"/>
    <n v="102"/>
    <x v="0"/>
    <n v="1"/>
    <s v="Below Average"/>
    <n v="3"/>
    <n v="0.4"/>
    <s v="2020-04-13"/>
  </r>
  <r>
    <x v="300"/>
    <x v="229"/>
    <x v="1"/>
    <n v="3.7"/>
    <n v="136"/>
    <x v="0"/>
    <n v="1"/>
    <s v="Below Average"/>
    <n v="3"/>
    <n v="0.2"/>
    <s v="2020-04-13"/>
  </r>
  <r>
    <x v="301"/>
    <x v="41"/>
    <x v="1"/>
    <n v="3.6"/>
    <n v="100"/>
    <x v="0"/>
    <n v="1"/>
    <s v="Average +"/>
    <n v="23"/>
    <n v="0"/>
    <s v="2020-04-13"/>
  </r>
  <r>
    <x v="302"/>
    <x v="230"/>
    <x v="1"/>
    <n v="3.6"/>
    <n v="135"/>
    <x v="0"/>
    <n v="1"/>
    <s v="Average +"/>
    <n v="20"/>
    <n v="0"/>
    <s v="2020-04-13"/>
  </r>
  <r>
    <x v="303"/>
    <x v="231"/>
    <x v="1"/>
    <n v="3.6"/>
    <n v="160"/>
    <x v="0"/>
    <n v="1"/>
    <s v="Average +"/>
    <n v="20"/>
    <n v="0"/>
    <s v="2020-04-13"/>
  </r>
  <r>
    <x v="304"/>
    <x v="232"/>
    <x v="1"/>
    <n v="3.6"/>
    <n v="80"/>
    <x v="1"/>
    <n v="1"/>
    <s v="Average +"/>
    <n v="14"/>
    <n v="0"/>
    <s v="2020-04-13"/>
  </r>
  <r>
    <x v="305"/>
    <x v="167"/>
    <x v="1"/>
    <n v="3.6"/>
    <n v="70"/>
    <x v="1"/>
    <n v="1"/>
    <s v="Average +"/>
    <n v="10"/>
    <n v="0.3"/>
    <s v="2020-04-13"/>
  </r>
  <r>
    <x v="306"/>
    <x v="85"/>
    <x v="1"/>
    <n v="3.6"/>
    <n v="68"/>
    <x v="1"/>
    <n v="1"/>
    <s v="Below Average"/>
    <n v="5"/>
    <n v="0.2"/>
    <s v="2020-04-13"/>
  </r>
  <r>
    <x v="307"/>
    <x v="0"/>
    <x v="1"/>
    <n v="3.6"/>
    <n v="76"/>
    <x v="1"/>
    <n v="1"/>
    <s v="Below Average"/>
    <n v="5"/>
    <n v="0.2"/>
    <s v="2020-04-13"/>
  </r>
  <r>
    <x v="308"/>
    <x v="233"/>
    <x v="1"/>
    <n v="3.5"/>
    <n v="160"/>
    <x v="0"/>
    <n v="1"/>
    <s v="Average +"/>
    <n v="18"/>
    <n v="0"/>
    <s v="2020-04-13"/>
  </r>
  <r>
    <x v="309"/>
    <x v="220"/>
    <x v="1"/>
    <n v="3.5"/>
    <n v="96"/>
    <x v="1"/>
    <n v="1"/>
    <s v="Average +"/>
    <n v="11"/>
    <n v="0.4"/>
    <s v="2020-04-13"/>
  </r>
  <r>
    <x v="310"/>
    <x v="234"/>
    <x v="1"/>
    <n v="3.5"/>
    <n v="220"/>
    <x v="0"/>
    <n v="2"/>
    <s v="Average +"/>
    <n v="8"/>
    <n v="0"/>
    <s v="2020-04-13"/>
  </r>
  <r>
    <x v="311"/>
    <x v="235"/>
    <x v="1"/>
    <n v="3.5"/>
    <n v="133"/>
    <x v="0"/>
    <n v="1"/>
    <s v="Below Average"/>
    <n v="6"/>
    <n v="0.3"/>
    <s v="2020-04-13"/>
  </r>
  <r>
    <x v="312"/>
    <x v="236"/>
    <x v="1"/>
    <n v="3.5"/>
    <n v="65"/>
    <x v="1"/>
    <n v="2"/>
    <s v="Below Average"/>
    <n v="4"/>
    <n v="0"/>
    <s v="2020-04-13"/>
  </r>
  <r>
    <x v="313"/>
    <x v="237"/>
    <x v="1"/>
    <n v="3.5"/>
    <n v="80"/>
    <x v="1"/>
    <n v="1"/>
    <s v="Below Average"/>
    <n v="2"/>
    <n v="0"/>
    <s v="2020-04-13"/>
  </r>
  <r>
    <x v="314"/>
    <x v="238"/>
    <x v="1"/>
    <n v="3.5"/>
    <n v="170"/>
    <x v="0"/>
    <n v="1"/>
    <s v="Below Average"/>
    <n v="2"/>
    <n v="0"/>
    <s v="2020-04-13"/>
  </r>
  <r>
    <x v="315"/>
    <x v="198"/>
    <x v="1"/>
    <n v="3.4"/>
    <n v="60"/>
    <x v="1"/>
    <n v="1"/>
    <s v="Average +"/>
    <n v="26"/>
    <n v="0.4"/>
    <s v="2020-04-13"/>
  </r>
  <r>
    <x v="316"/>
    <x v="239"/>
    <x v="1"/>
    <n v="3.4"/>
    <n v="80"/>
    <x v="1"/>
    <n v="1"/>
    <s v="Average +"/>
    <n v="23"/>
    <n v="0.2"/>
    <s v="2020-04-13"/>
  </r>
  <r>
    <x v="317"/>
    <x v="240"/>
    <x v="1"/>
    <n v="3.4"/>
    <n v="70"/>
    <x v="1"/>
    <n v="2"/>
    <s v="Average +"/>
    <n v="10"/>
    <n v="0"/>
    <s v="2020-04-13"/>
  </r>
  <r>
    <x v="318"/>
    <x v="241"/>
    <x v="1"/>
    <n v="3.4"/>
    <n v="54"/>
    <x v="1"/>
    <n v="1"/>
    <s v="Below Average"/>
    <n v="7"/>
    <n v="0.4"/>
    <s v="2020-04-13"/>
  </r>
  <r>
    <x v="319"/>
    <x v="208"/>
    <x v="1"/>
    <n v="3.3"/>
    <n v="150"/>
    <x v="0"/>
    <n v="1"/>
    <s v="Average +"/>
    <n v="13"/>
    <n v="0"/>
    <s v="2020-04-13"/>
  </r>
  <r>
    <x v="320"/>
    <x v="116"/>
    <x v="1"/>
    <n v="3.3"/>
    <n v="160"/>
    <x v="0"/>
    <n v="1"/>
    <s v="Below Average"/>
    <n v="3"/>
    <n v="0"/>
    <s v="2020-04-13"/>
  </r>
  <r>
    <x v="321"/>
    <x v="242"/>
    <x v="1"/>
    <n v="3.2"/>
    <n v="60"/>
    <x v="1"/>
    <n v="1"/>
    <s v="Average +"/>
    <n v="15"/>
    <n v="0.2"/>
    <s v="2020-04-13"/>
  </r>
  <r>
    <x v="322"/>
    <x v="0"/>
    <x v="1"/>
    <n v="3.2"/>
    <n v="72"/>
    <x v="1"/>
    <n v="1"/>
    <s v="Below Average"/>
    <n v="5"/>
    <n v="0.4"/>
    <s v="2020-04-13"/>
  </r>
  <r>
    <x v="323"/>
    <x v="204"/>
    <x v="1"/>
    <n v="3.1"/>
    <n v="160"/>
    <x v="0"/>
    <n v="1"/>
    <s v="Average +"/>
    <n v="54"/>
    <n v="0"/>
    <s v="2020-04-13"/>
  </r>
  <r>
    <x v="324"/>
    <x v="243"/>
    <x v="1"/>
    <n v="3.1"/>
    <n v="210"/>
    <x v="0"/>
    <n v="2"/>
    <s v="Average +"/>
    <n v="14"/>
    <n v="0"/>
    <s v="2020-04-13"/>
  </r>
  <r>
    <x v="325"/>
    <x v="225"/>
    <x v="1"/>
    <n v="3.1"/>
    <n v="80"/>
    <x v="1"/>
    <n v="1"/>
    <s v="Average +"/>
    <n v="8"/>
    <n v="0"/>
    <s v="2020-04-13"/>
  </r>
  <r>
    <x v="326"/>
    <x v="239"/>
    <x v="1"/>
    <n v="3"/>
    <n v="100"/>
    <x v="0"/>
    <n v="1"/>
    <s v="Below Average"/>
    <n v="7"/>
    <n v="0"/>
    <s v="2020-04-13"/>
  </r>
  <r>
    <x v="327"/>
    <x v="244"/>
    <x v="1"/>
    <n v="3"/>
    <n v="64"/>
    <x v="1"/>
    <n v="1"/>
    <s v="Below Average"/>
    <n v="6"/>
    <n v="0.2"/>
    <s v="2020-04-13"/>
  </r>
  <r>
    <x v="328"/>
    <x v="245"/>
    <x v="1"/>
    <n v="3"/>
    <n v="28"/>
    <x v="2"/>
    <n v="1"/>
    <s v="Below Average"/>
    <n v="5"/>
    <n v="0"/>
    <s v="2020-04-13"/>
  </r>
  <r>
    <x v="329"/>
    <x v="246"/>
    <x v="1"/>
    <n v="3"/>
    <n v="96"/>
    <x v="1"/>
    <n v="1"/>
    <s v="Below Average"/>
    <n v="5"/>
    <n v="0.4"/>
    <s v="2020-04-13"/>
  </r>
  <r>
    <x v="330"/>
    <x v="247"/>
    <x v="1"/>
    <n v="3"/>
    <n v="144"/>
    <x v="0"/>
    <n v="1"/>
    <s v="Below Average"/>
    <n v="4"/>
    <n v="0.2"/>
    <s v="2020-04-13"/>
  </r>
  <r>
    <x v="331"/>
    <x v="248"/>
    <x v="1"/>
    <n v="3"/>
    <n v="100"/>
    <x v="0"/>
    <n v="1"/>
    <s v="Below Average"/>
    <n v="4"/>
    <n v="0"/>
    <s v="2020-04-13"/>
  </r>
  <r>
    <x v="332"/>
    <x v="249"/>
    <x v="1"/>
    <n v="3"/>
    <n v="80"/>
    <x v="1"/>
    <n v="1"/>
    <s v="Below Average"/>
    <n v="4"/>
    <n v="0.2"/>
    <s v="2020-04-13"/>
  </r>
  <r>
    <x v="333"/>
    <x v="250"/>
    <x v="1"/>
    <n v="3"/>
    <n v="72"/>
    <x v="1"/>
    <n v="2"/>
    <s v="Below Average"/>
    <n v="2"/>
    <n v="0.2"/>
    <s v="2020-04-13"/>
  </r>
  <r>
    <x v="334"/>
    <x v="251"/>
    <x v="1"/>
    <n v="3"/>
    <n v="140"/>
    <x v="0"/>
    <n v="1"/>
    <s v="Below Average"/>
    <n v="2"/>
    <n v="0"/>
    <s v="2020-04-13"/>
  </r>
  <r>
    <x v="335"/>
    <x v="252"/>
    <x v="1"/>
    <n v="3"/>
    <n v="110"/>
    <x v="0"/>
    <n v="1"/>
    <s v="Below Average"/>
    <n v="2"/>
    <n v="0"/>
    <s v="2020-04-13"/>
  </r>
  <r>
    <x v="336"/>
    <x v="159"/>
    <x v="1"/>
    <n v="3"/>
    <n v="72"/>
    <x v="1"/>
    <n v="1"/>
    <s v="Below Average"/>
    <n v="1"/>
    <n v="0.2"/>
    <s v="2020-04-13"/>
  </r>
  <r>
    <x v="337"/>
    <x v="253"/>
    <x v="1"/>
    <n v="3"/>
    <n v="160"/>
    <x v="0"/>
    <n v="1"/>
    <s v="Below Average"/>
    <n v="1"/>
    <n v="0"/>
    <s v="2020-04-13"/>
  </r>
  <r>
    <x v="338"/>
    <x v="254"/>
    <x v="1"/>
    <n v="3"/>
    <n v="140"/>
    <x v="0"/>
    <n v="1"/>
    <s v="Below Average"/>
    <n v="1"/>
    <n v="0"/>
    <s v="2020-04-13"/>
  </r>
  <r>
    <x v="339"/>
    <x v="233"/>
    <x v="2"/>
    <n v="2.9"/>
    <n v="160"/>
    <x v="0"/>
    <n v="1"/>
    <s v="Average +"/>
    <n v="71"/>
    <n v="0"/>
    <s v="2020-04-13"/>
  </r>
  <r>
    <x v="340"/>
    <x v="255"/>
    <x v="2"/>
    <n v="2.9"/>
    <n v="112"/>
    <x v="0"/>
    <n v="1"/>
    <s v="Average +"/>
    <n v="12"/>
    <n v="0.3"/>
    <s v="2020-04-13"/>
  </r>
  <r>
    <x v="341"/>
    <x v="256"/>
    <x v="2"/>
    <n v="2.9"/>
    <n v="55"/>
    <x v="1"/>
    <n v="1"/>
    <s v="Average +"/>
    <n v="8"/>
    <n v="0"/>
    <s v="2020-04-13"/>
  </r>
  <r>
    <x v="342"/>
    <x v="181"/>
    <x v="2"/>
    <n v="2.8"/>
    <n v="96"/>
    <x v="1"/>
    <n v="1"/>
    <s v="Average +"/>
    <n v="11"/>
    <n v="0.2"/>
    <s v="2020-04-13"/>
  </r>
  <r>
    <x v="343"/>
    <x v="257"/>
    <x v="2"/>
    <n v="2.8"/>
    <n v="75"/>
    <x v="1"/>
    <n v="2"/>
    <s v="Average +"/>
    <n v="10"/>
    <n v="0"/>
    <s v="2020-04-13"/>
  </r>
  <r>
    <x v="344"/>
    <x v="185"/>
    <x v="2"/>
    <n v="2.7"/>
    <n v="88"/>
    <x v="1"/>
    <n v="1"/>
    <s v="Average +"/>
    <n v="19"/>
    <n v="0"/>
    <s v="2020-04-13"/>
  </r>
  <r>
    <x v="345"/>
    <x v="204"/>
    <x v="2"/>
    <n v="2.7"/>
    <n v="160"/>
    <x v="0"/>
    <n v="1"/>
    <s v="Average +"/>
    <n v="14"/>
    <n v="0"/>
    <s v="2020-04-13"/>
  </r>
  <r>
    <x v="346"/>
    <x v="204"/>
    <x v="2"/>
    <n v="2.7"/>
    <n v="128"/>
    <x v="0"/>
    <n v="1"/>
    <s v="Below Average"/>
    <n v="3"/>
    <n v="0.2"/>
    <s v="2020-04-13"/>
  </r>
  <r>
    <x v="347"/>
    <x v="149"/>
    <x v="2"/>
    <n v="2.7"/>
    <n v="80"/>
    <x v="1"/>
    <n v="1"/>
    <s v="Below Average"/>
    <n v="3"/>
    <n v="0"/>
    <s v="2020-04-13"/>
  </r>
  <r>
    <x v="348"/>
    <x v="258"/>
    <x v="2"/>
    <n v="2.7"/>
    <n v="77"/>
    <x v="1"/>
    <n v="1"/>
    <s v="Below Average"/>
    <n v="3"/>
    <n v="0.3"/>
    <s v="2020-04-13"/>
  </r>
  <r>
    <x v="349"/>
    <x v="259"/>
    <x v="2"/>
    <n v="2.6"/>
    <n v="100"/>
    <x v="0"/>
    <n v="2"/>
    <s v="Average +"/>
    <n v="22"/>
    <n v="0"/>
    <s v="2020-04-13"/>
  </r>
  <r>
    <x v="350"/>
    <x v="260"/>
    <x v="2"/>
    <n v="2.6"/>
    <n v="160"/>
    <x v="0"/>
    <n v="1"/>
    <s v="Average +"/>
    <n v="20"/>
    <n v="0"/>
    <s v="2020-04-13"/>
  </r>
  <r>
    <x v="351"/>
    <x v="261"/>
    <x v="2"/>
    <n v="2.5"/>
    <n v="56"/>
    <x v="1"/>
    <n v="1"/>
    <s v="Below Average"/>
    <n v="6"/>
    <n v="0.2"/>
    <s v="2020-04-13"/>
  </r>
  <r>
    <x v="352"/>
    <x v="262"/>
    <x v="2"/>
    <n v="2.4"/>
    <n v="64"/>
    <x v="1"/>
    <n v="1"/>
    <s v="Below Average"/>
    <n v="5"/>
    <n v="0.2"/>
    <s v="2020-04-13"/>
  </r>
  <r>
    <x v="353"/>
    <x v="194"/>
    <x v="2"/>
    <n v="2.2000000000000002"/>
    <n v="190"/>
    <x v="0"/>
    <n v="1"/>
    <s v="Below Average"/>
    <n v="5"/>
    <n v="0"/>
    <s v="2020-04-13"/>
  </r>
  <r>
    <x v="354"/>
    <x v="263"/>
    <x v="2"/>
    <n v="2"/>
    <n v="31"/>
    <x v="2"/>
    <n v="2"/>
    <s v="Below Average"/>
    <n v="2"/>
    <n v="0.3"/>
    <s v="2020-04-13"/>
  </r>
  <r>
    <x v="355"/>
    <x v="264"/>
    <x v="2"/>
    <n v="2"/>
    <n v="65"/>
    <x v="1"/>
    <n v="1"/>
    <s v="Below Average"/>
    <n v="2"/>
    <n v="0"/>
    <s v="2020-04-13"/>
  </r>
  <r>
    <x v="356"/>
    <x v="265"/>
    <x v="2"/>
    <n v="2"/>
    <n v="65"/>
    <x v="1"/>
    <n v="1"/>
    <s v="Below Average"/>
    <n v="1"/>
    <n v="0"/>
    <s v="2020-04-13"/>
  </r>
  <r>
    <x v="357"/>
    <x v="265"/>
    <x v="2"/>
    <n v="2"/>
    <n v="45"/>
    <x v="2"/>
    <n v="1"/>
    <s v="Below Average"/>
    <n v="1"/>
    <n v="0.3"/>
    <s v="2020-04-13"/>
  </r>
  <r>
    <x v="358"/>
    <x v="266"/>
    <x v="2"/>
    <n v="1.5"/>
    <n v="36"/>
    <x v="2"/>
    <n v="1"/>
    <s v="Below Average"/>
    <n v="2"/>
    <n v="0.2"/>
    <s v="2020-04-13"/>
  </r>
  <r>
    <x v="359"/>
    <x v="267"/>
    <x v="2"/>
    <n v="1"/>
    <n v="80"/>
    <x v="1"/>
    <n v="2"/>
    <s v="Below Average"/>
    <n v="2"/>
    <n v="0"/>
    <s v="2020-04-13"/>
  </r>
  <r>
    <x v="360"/>
    <x v="16"/>
    <x v="2"/>
    <n v="1"/>
    <n v="90"/>
    <x v="1"/>
    <n v="1"/>
    <s v="Below Average"/>
    <n v="1"/>
    <n v="0"/>
    <s v="2020-04-13"/>
  </r>
  <r>
    <x v="361"/>
    <x v="268"/>
    <x v="2"/>
    <n v="1"/>
    <n v="80"/>
    <x v="1"/>
    <n v="1"/>
    <s v="Below Average"/>
    <n v="1"/>
    <n v="0.2"/>
    <s v="2020-04-13"/>
  </r>
  <r>
    <x v="362"/>
    <x v="269"/>
    <x v="2"/>
    <n v="1"/>
    <n v="64"/>
    <x v="1"/>
    <n v="1"/>
    <s v="Below Average"/>
    <n v="1"/>
    <n v="0.2"/>
    <s v="2020-04-13"/>
  </r>
  <r>
    <x v="363"/>
    <x v="270"/>
    <x v="2"/>
    <n v="1"/>
    <n v="136"/>
    <x v="0"/>
    <n v="1"/>
    <s v="Below Average"/>
    <n v="1"/>
    <n v="0.2"/>
    <s v="2020-04-13"/>
  </r>
  <r>
    <x v="364"/>
    <x v="271"/>
    <x v="0"/>
    <n v="4.7"/>
    <n v="112"/>
    <x v="0"/>
    <n v="2"/>
    <s v="Average +"/>
    <n v="17"/>
    <n v="0.2"/>
    <s v="2020-04-13"/>
  </r>
  <r>
    <x v="365"/>
    <x v="0"/>
    <x v="2"/>
    <n v="0"/>
    <n v="100"/>
    <x v="0"/>
    <n v="1"/>
    <s v="Below Average"/>
    <n v="0"/>
    <n v="0"/>
    <s v="2020-04-13"/>
  </r>
  <r>
    <x v="366"/>
    <x v="0"/>
    <x v="2"/>
    <n v="0"/>
    <n v="100"/>
    <x v="0"/>
    <n v="1"/>
    <s v="Below Average"/>
    <n v="0"/>
    <n v="0"/>
    <s v="2020-04-13"/>
  </r>
  <r>
    <x v="367"/>
    <x v="0"/>
    <x v="2"/>
    <n v="0"/>
    <n v="100"/>
    <x v="0"/>
    <n v="1"/>
    <s v="Below Average"/>
    <n v="0"/>
    <n v="0"/>
    <s v="2020-04-13"/>
  </r>
  <r>
    <x v="368"/>
    <x v="174"/>
    <x v="2"/>
    <n v="0"/>
    <n v="130"/>
    <x v="0"/>
    <n v="1"/>
    <s v="Below Average"/>
    <n v="0"/>
    <n v="0"/>
    <s v="2020-04-13"/>
  </r>
  <r>
    <x v="369"/>
    <x v="174"/>
    <x v="2"/>
    <n v="0"/>
    <n v="90"/>
    <x v="1"/>
    <n v="1"/>
    <s v="Below Average"/>
    <n v="0"/>
    <n v="0.4"/>
    <s v="2020-04-13"/>
  </r>
  <r>
    <x v="370"/>
    <x v="174"/>
    <x v="2"/>
    <n v="0"/>
    <n v="130"/>
    <x v="0"/>
    <n v="1"/>
    <s v="Below Average"/>
    <n v="0"/>
    <n v="0"/>
    <s v="2020-04-13"/>
  </r>
  <r>
    <x v="371"/>
    <x v="174"/>
    <x v="2"/>
    <n v="0"/>
    <n v="90"/>
    <x v="1"/>
    <n v="1"/>
    <s v="Below Average"/>
    <n v="0"/>
    <n v="0.4"/>
    <s v="2020-04-13"/>
  </r>
  <r>
    <x v="372"/>
    <x v="47"/>
    <x v="2"/>
    <n v="0"/>
    <n v="160"/>
    <x v="0"/>
    <n v="1"/>
    <s v="Below Average"/>
    <n v="0"/>
    <n v="0"/>
    <s v="2020-04-13"/>
  </r>
  <r>
    <x v="373"/>
    <x v="88"/>
    <x v="2"/>
    <n v="0"/>
    <n v="160"/>
    <x v="0"/>
    <n v="1"/>
    <s v="Below Average"/>
    <n v="0"/>
    <n v="0"/>
    <s v="2020-04-13"/>
  </r>
  <r>
    <x v="374"/>
    <x v="195"/>
    <x v="2"/>
    <n v="0"/>
    <n v="170"/>
    <x v="0"/>
    <n v="1"/>
    <s v="Below Average"/>
    <n v="0"/>
    <n v="0"/>
    <s v="2020-04-13"/>
  </r>
  <r>
    <x v="375"/>
    <x v="18"/>
    <x v="2"/>
    <n v="0"/>
    <n v="120"/>
    <x v="0"/>
    <n v="1"/>
    <s v="Below Average"/>
    <n v="0"/>
    <n v="0"/>
    <s v="2020-04-13"/>
  </r>
  <r>
    <x v="376"/>
    <x v="18"/>
    <x v="2"/>
    <n v="0"/>
    <n v="120"/>
    <x v="0"/>
    <n v="1"/>
    <s v="Below Average"/>
    <n v="0"/>
    <n v="0"/>
    <s v="2020-04-13"/>
  </r>
  <r>
    <x v="377"/>
    <x v="194"/>
    <x v="2"/>
    <n v="0"/>
    <n v="190"/>
    <x v="0"/>
    <n v="1"/>
    <s v="Below Average"/>
    <n v="0"/>
    <n v="0"/>
    <s v="2020-04-13"/>
  </r>
  <r>
    <x v="378"/>
    <x v="88"/>
    <x v="2"/>
    <n v="0"/>
    <n v="160"/>
    <x v="0"/>
    <n v="1"/>
    <s v="Below Average"/>
    <n v="0"/>
    <n v="0"/>
    <s v="2020-04-13"/>
  </r>
  <r>
    <x v="379"/>
    <x v="194"/>
    <x v="2"/>
    <n v="0"/>
    <n v="190"/>
    <x v="0"/>
    <n v="1"/>
    <s v="Below Average"/>
    <n v="0"/>
    <n v="0"/>
    <s v="2020-04-13"/>
  </r>
  <r>
    <x v="380"/>
    <x v="162"/>
    <x v="2"/>
    <n v="0"/>
    <n v="160"/>
    <x v="0"/>
    <n v="1"/>
    <s v="Below Average"/>
    <n v="0"/>
    <n v="0"/>
    <s v="2020-04-13"/>
  </r>
  <r>
    <x v="381"/>
    <x v="88"/>
    <x v="2"/>
    <n v="0"/>
    <n v="160"/>
    <x v="0"/>
    <n v="1"/>
    <s v="Below Average"/>
    <n v="0"/>
    <n v="0"/>
    <s v="2020-04-13"/>
  </r>
  <r>
    <x v="382"/>
    <x v="126"/>
    <x v="2"/>
    <n v="0"/>
    <n v="75"/>
    <x v="1"/>
    <n v="1"/>
    <s v="Below Average"/>
    <n v="0"/>
    <n v="0"/>
    <s v="2020-04-13"/>
  </r>
  <r>
    <x v="383"/>
    <x v="126"/>
    <x v="2"/>
    <n v="0"/>
    <n v="80"/>
    <x v="1"/>
    <n v="1"/>
    <s v="Below Average"/>
    <n v="0"/>
    <n v="0"/>
    <s v="2020-04-13"/>
  </r>
  <r>
    <x v="384"/>
    <x v="19"/>
    <x v="2"/>
    <n v="0"/>
    <n v="150"/>
    <x v="0"/>
    <n v="1"/>
    <s v="Below Average"/>
    <n v="0"/>
    <n v="0"/>
    <s v="2020-04-13"/>
  </r>
  <r>
    <x v="385"/>
    <x v="272"/>
    <x v="2"/>
    <n v="0"/>
    <n v="250"/>
    <x v="0"/>
    <n v="2"/>
    <s v="Below Average"/>
    <n v="0"/>
    <n v="0"/>
    <s v="2020-04-13"/>
  </r>
  <r>
    <x v="386"/>
    <x v="272"/>
    <x v="2"/>
    <n v="0"/>
    <n v="230"/>
    <x v="0"/>
    <n v="2"/>
    <s v="Below Average"/>
    <n v="0"/>
    <n v="0"/>
    <s v="2020-04-13"/>
  </r>
  <r>
    <x v="387"/>
    <x v="19"/>
    <x v="2"/>
    <n v="0"/>
    <n v="150"/>
    <x v="0"/>
    <n v="1"/>
    <s v="Below Average"/>
    <n v="0"/>
    <n v="0"/>
    <s v="2020-04-13"/>
  </r>
  <r>
    <x v="388"/>
    <x v="182"/>
    <x v="2"/>
    <n v="0"/>
    <n v="63"/>
    <x v="1"/>
    <n v="1"/>
    <s v="Below Average"/>
    <n v="0"/>
    <n v="0.3"/>
    <s v="2020-04-13"/>
  </r>
  <r>
    <x v="389"/>
    <x v="20"/>
    <x v="2"/>
    <n v="0"/>
    <n v="100"/>
    <x v="0"/>
    <n v="1"/>
    <s v="Below Average"/>
    <n v="0"/>
    <n v="0"/>
    <s v="2020-04-13"/>
  </r>
  <r>
    <x v="390"/>
    <x v="49"/>
    <x v="2"/>
    <n v="0"/>
    <n v="100"/>
    <x v="0"/>
    <n v="1"/>
    <s v="Below Average"/>
    <n v="0"/>
    <n v="0"/>
    <s v="2020-04-13"/>
  </r>
  <r>
    <x v="391"/>
    <x v="153"/>
    <x v="2"/>
    <n v="0"/>
    <n v="120"/>
    <x v="0"/>
    <n v="1"/>
    <s v="Below Average"/>
    <n v="0"/>
    <n v="0.25"/>
    <s v="2020-04-13"/>
  </r>
  <r>
    <x v="392"/>
    <x v="273"/>
    <x v="2"/>
    <n v="0"/>
    <n v="80"/>
    <x v="1"/>
    <n v="1"/>
    <s v="Below Average"/>
    <n v="0"/>
    <n v="0"/>
    <s v="2020-04-13"/>
  </r>
  <r>
    <x v="393"/>
    <x v="254"/>
    <x v="2"/>
    <n v="0"/>
    <n v="140"/>
    <x v="0"/>
    <n v="2"/>
    <s v="Below Average"/>
    <n v="0"/>
    <n v="0"/>
    <s v="2020-04-13"/>
  </r>
  <r>
    <x v="394"/>
    <x v="10"/>
    <x v="2"/>
    <n v="0"/>
    <n v="150"/>
    <x v="0"/>
    <n v="1"/>
    <s v="Below Average"/>
    <n v="0"/>
    <n v="0"/>
    <s v="2020-04-13"/>
  </r>
  <r>
    <x v="395"/>
    <x v="20"/>
    <x v="2"/>
    <n v="0"/>
    <n v="110"/>
    <x v="0"/>
    <n v="1"/>
    <s v="Below Average"/>
    <n v="0"/>
    <n v="0"/>
    <s v="2020-04-13"/>
  </r>
  <r>
    <x v="396"/>
    <x v="274"/>
    <x v="2"/>
    <n v="0"/>
    <n v="80"/>
    <x v="1"/>
    <n v="2"/>
    <s v="Below Average"/>
    <n v="0"/>
    <n v="0"/>
    <s v="2020-04-13"/>
  </r>
  <r>
    <x v="397"/>
    <x v="275"/>
    <x v="2"/>
    <n v="0"/>
    <n v="120"/>
    <x v="0"/>
    <n v="1"/>
    <s v="Below Average"/>
    <n v="0"/>
    <n v="0"/>
    <s v="2020-04-13"/>
  </r>
  <r>
    <x v="398"/>
    <x v="276"/>
    <x v="2"/>
    <n v="0"/>
    <n v="60"/>
    <x v="1"/>
    <n v="2"/>
    <s v="Below Average"/>
    <n v="0"/>
    <n v="0"/>
    <s v="2020-04-13"/>
  </r>
  <r>
    <x v="399"/>
    <x v="163"/>
    <x v="2"/>
    <n v="0"/>
    <n v="75"/>
    <x v="1"/>
    <n v="1"/>
    <s v="Below Average"/>
    <n v="0"/>
    <n v="0"/>
    <s v="2020-04-13"/>
  </r>
  <r>
    <x v="400"/>
    <x v="94"/>
    <x v="2"/>
    <n v="0"/>
    <n v="100"/>
    <x v="0"/>
    <n v="1"/>
    <s v="Below Average"/>
    <n v="0"/>
    <n v="0"/>
    <s v="2020-04-13"/>
  </r>
  <r>
    <x v="401"/>
    <x v="277"/>
    <x v="2"/>
    <n v="0"/>
    <n v="80"/>
    <x v="1"/>
    <n v="1"/>
    <s v="Below Average"/>
    <n v="0"/>
    <n v="0"/>
    <s v="2020-04-13"/>
  </r>
  <r>
    <x v="402"/>
    <x v="139"/>
    <x v="2"/>
    <n v="0"/>
    <n v="140"/>
    <x v="0"/>
    <n v="1"/>
    <s v="Below Average"/>
    <n v="0"/>
    <n v="0"/>
    <s v="2020-04-13"/>
  </r>
  <r>
    <x v="403"/>
    <x v="130"/>
    <x v="2"/>
    <n v="0"/>
    <n v="90"/>
    <x v="1"/>
    <n v="1"/>
    <s v="Below Average"/>
    <n v="0"/>
    <n v="0"/>
    <s v="2020-04-13"/>
  </r>
  <r>
    <x v="404"/>
    <x v="278"/>
    <x v="2"/>
    <n v="0"/>
    <n v="55"/>
    <x v="1"/>
    <n v="2"/>
    <s v="Below Average"/>
    <n v="0"/>
    <n v="0"/>
    <s v="2020-04-13"/>
  </r>
  <r>
    <x v="405"/>
    <x v="279"/>
    <x v="2"/>
    <n v="0"/>
    <n v="110"/>
    <x v="0"/>
    <n v="1"/>
    <s v="Below Average"/>
    <n v="0"/>
    <n v="0"/>
    <s v="2020-04-13"/>
  </r>
  <r>
    <x v="406"/>
    <x v="140"/>
    <x v="2"/>
    <n v="0"/>
    <n v="90"/>
    <x v="1"/>
    <n v="1"/>
    <s v="Below Average"/>
    <n v="0"/>
    <n v="0"/>
    <s v="2020-04-13"/>
  </r>
  <r>
    <x v="407"/>
    <x v="280"/>
    <x v="2"/>
    <n v="0"/>
    <n v="85"/>
    <x v="1"/>
    <n v="2"/>
    <s v="Below Average"/>
    <n v="0"/>
    <n v="0"/>
    <s v="2020-04-13"/>
  </r>
  <r>
    <x v="408"/>
    <x v="281"/>
    <x v="2"/>
    <n v="0"/>
    <n v="60"/>
    <x v="1"/>
    <n v="2"/>
    <s v="Below Average"/>
    <n v="0"/>
    <n v="0"/>
    <s v="2020-04-13"/>
  </r>
  <r>
    <x v="409"/>
    <x v="282"/>
    <x v="2"/>
    <n v="0"/>
    <n v="80"/>
    <x v="1"/>
    <n v="1"/>
    <s v="Below Average"/>
    <n v="0"/>
    <n v="0"/>
    <s v="2020-04-13"/>
  </r>
  <r>
    <x v="410"/>
    <x v="283"/>
    <x v="2"/>
    <n v="0"/>
    <n v="60"/>
    <x v="1"/>
    <n v="2"/>
    <s v="Below Average"/>
    <n v="0"/>
    <n v="0"/>
    <s v="2020-04-13"/>
  </r>
  <r>
    <x v="411"/>
    <x v="284"/>
    <x v="2"/>
    <n v="0"/>
    <n v="40"/>
    <x v="2"/>
    <n v="2"/>
    <s v="Below Average"/>
    <n v="0"/>
    <n v="0.2"/>
    <s v="2020-04-13"/>
  </r>
  <r>
    <x v="412"/>
    <x v="285"/>
    <x v="2"/>
    <n v="0"/>
    <n v="55"/>
    <x v="1"/>
    <n v="2"/>
    <s v="Below Average"/>
    <n v="0"/>
    <n v="0"/>
    <s v="2020-04-13"/>
  </r>
  <r>
    <x v="413"/>
    <x v="286"/>
    <x v="2"/>
    <n v="0"/>
    <n v="45"/>
    <x v="2"/>
    <n v="2"/>
    <s v="Below Average"/>
    <n v="0"/>
    <n v="0"/>
    <s v="2020-04-13"/>
  </r>
  <r>
    <x v="414"/>
    <x v="287"/>
    <x v="2"/>
    <n v="0"/>
    <n v="35"/>
    <x v="2"/>
    <n v="2"/>
    <s v="Below Average"/>
    <n v="0"/>
    <n v="0.3"/>
    <s v="2020-04-13"/>
  </r>
  <r>
    <x v="415"/>
    <x v="279"/>
    <x v="2"/>
    <n v="0"/>
    <n v="110"/>
    <x v="0"/>
    <n v="1"/>
    <s v="Below Average"/>
    <n v="0"/>
    <n v="0"/>
    <s v="2020-04-13"/>
  </r>
  <r>
    <x v="416"/>
    <x v="288"/>
    <x v="2"/>
    <n v="0"/>
    <n v="35"/>
    <x v="2"/>
    <n v="2"/>
    <s v="Below Average"/>
    <n v="0"/>
    <n v="0.3"/>
    <s v="2020-04-13"/>
  </r>
  <r>
    <x v="417"/>
    <x v="289"/>
    <x v="2"/>
    <n v="0"/>
    <n v="85"/>
    <x v="1"/>
    <n v="2"/>
    <s v="Below Average"/>
    <n v="0"/>
    <n v="0"/>
    <s v="2020-04-13"/>
  </r>
  <r>
    <x v="418"/>
    <x v="290"/>
    <x v="2"/>
    <n v="0"/>
    <n v="160"/>
    <x v="0"/>
    <n v="1"/>
    <s v="Below Average"/>
    <n v="0"/>
    <n v="0"/>
    <s v="2020-04-13"/>
  </r>
  <r>
    <x v="419"/>
    <x v="275"/>
    <x v="2"/>
    <n v="0"/>
    <n v="120"/>
    <x v="0"/>
    <n v="1"/>
    <s v="Below Average"/>
    <n v="0"/>
    <n v="0"/>
    <s v="2020-04-13"/>
  </r>
  <r>
    <x v="420"/>
    <x v="291"/>
    <x v="2"/>
    <n v="0"/>
    <n v="55"/>
    <x v="1"/>
    <n v="2"/>
    <s v="Below Average"/>
    <n v="0"/>
    <n v="0"/>
    <s v="2020-04-13"/>
  </r>
  <r>
    <x v="421"/>
    <x v="292"/>
    <x v="2"/>
    <n v="0"/>
    <n v="230"/>
    <x v="0"/>
    <n v="2"/>
    <s v="Below Average"/>
    <n v="0"/>
    <n v="0"/>
    <s v="2020-04-13"/>
  </r>
  <r>
    <x v="422"/>
    <x v="293"/>
    <x v="2"/>
    <n v="0"/>
    <n v="50"/>
    <x v="2"/>
    <n v="2"/>
    <s v="Below Average"/>
    <n v="0"/>
    <n v="0"/>
    <s v="2020-04-13"/>
  </r>
  <r>
    <x v="423"/>
    <x v="294"/>
    <x v="2"/>
    <n v="0"/>
    <n v="80"/>
    <x v="1"/>
    <n v="2"/>
    <s v="Below Average"/>
    <n v="0"/>
    <n v="0"/>
    <s v="2020-04-13"/>
  </r>
  <r>
    <x v="424"/>
    <x v="277"/>
    <x v="2"/>
    <n v="0"/>
    <n v="80"/>
    <x v="1"/>
    <n v="1"/>
    <s v="Below Average"/>
    <n v="0"/>
    <n v="0"/>
    <s v="2020-04-13"/>
  </r>
  <r>
    <x v="425"/>
    <x v="295"/>
    <x v="2"/>
    <n v="0"/>
    <n v="80"/>
    <x v="1"/>
    <n v="2"/>
    <s v="Below Average"/>
    <n v="0"/>
    <n v="0"/>
    <s v="2020-04-13"/>
  </r>
  <r>
    <x v="426"/>
    <x v="296"/>
    <x v="2"/>
    <n v="0"/>
    <n v="75"/>
    <x v="1"/>
    <n v="1"/>
    <s v="Below Average"/>
    <n v="0"/>
    <n v="0"/>
    <s v="2020-04-13"/>
  </r>
  <r>
    <x v="427"/>
    <x v="297"/>
    <x v="2"/>
    <n v="0"/>
    <n v="90"/>
    <x v="1"/>
    <n v="2"/>
    <s v="Below Average"/>
    <n v="0"/>
    <n v="0"/>
    <s v="2020-04-13"/>
  </r>
  <r>
    <x v="428"/>
    <x v="282"/>
    <x v="2"/>
    <n v="0"/>
    <n v="80"/>
    <x v="1"/>
    <n v="1"/>
    <s v="Below Average"/>
    <n v="0"/>
    <n v="0"/>
    <s v="2020-04-13"/>
  </r>
  <r>
    <x v="429"/>
    <x v="104"/>
    <x v="2"/>
    <n v="0"/>
    <n v="100"/>
    <x v="0"/>
    <n v="1"/>
    <s v="Below Average"/>
    <n v="0"/>
    <n v="0"/>
    <s v="2020-04-13"/>
  </r>
  <r>
    <x v="430"/>
    <x v="298"/>
    <x v="2"/>
    <n v="0"/>
    <n v="52"/>
    <x v="1"/>
    <n v="2"/>
    <s v="Below Average"/>
    <n v="0"/>
    <n v="0.3"/>
    <s v="2020-04-13"/>
  </r>
  <r>
    <x v="431"/>
    <x v="299"/>
    <x v="2"/>
    <n v="0"/>
    <n v="80"/>
    <x v="1"/>
    <n v="2"/>
    <s v="Below Average"/>
    <n v="0"/>
    <n v="0"/>
    <s v="2020-04-13"/>
  </r>
  <r>
    <x v="432"/>
    <x v="300"/>
    <x v="2"/>
    <n v="0"/>
    <n v="52"/>
    <x v="1"/>
    <n v="2"/>
    <s v="Below Average"/>
    <n v="0"/>
    <n v="0.3"/>
    <s v="2020-04-13"/>
  </r>
  <r>
    <x v="433"/>
    <x v="301"/>
    <x v="2"/>
    <n v="0"/>
    <n v="90"/>
    <x v="1"/>
    <n v="1"/>
    <s v="Below Average"/>
    <n v="0"/>
    <n v="0"/>
    <s v="2020-04-13"/>
  </r>
  <r>
    <x v="434"/>
    <x v="302"/>
    <x v="2"/>
    <n v="0"/>
    <n v="120"/>
    <x v="0"/>
    <n v="2"/>
    <s v="Below Average"/>
    <n v="0"/>
    <n v="0"/>
    <s v="2020-04-13"/>
  </r>
  <r>
    <x v="435"/>
    <x v="303"/>
    <x v="2"/>
    <n v="0"/>
    <n v="55"/>
    <x v="1"/>
    <n v="2"/>
    <s v="Below Average"/>
    <n v="0"/>
    <n v="0"/>
    <s v="2020-04-13"/>
  </r>
  <r>
    <x v="436"/>
    <x v="304"/>
    <x v="2"/>
    <n v="0"/>
    <n v="55"/>
    <x v="1"/>
    <n v="2"/>
    <s v="Below Average"/>
    <n v="0"/>
    <n v="0"/>
    <s v="2020-04-13"/>
  </r>
  <r>
    <x v="437"/>
    <x v="305"/>
    <x v="2"/>
    <n v="0"/>
    <n v="60"/>
    <x v="1"/>
    <n v="2"/>
    <s v="Below Average"/>
    <n v="0"/>
    <n v="0"/>
    <s v="2020-04-13"/>
  </r>
  <r>
    <x v="438"/>
    <x v="306"/>
    <x v="2"/>
    <n v="0"/>
    <n v="70"/>
    <x v="1"/>
    <n v="1"/>
    <s v="Below Average"/>
    <n v="0"/>
    <n v="0"/>
    <s v="2020-04-13"/>
  </r>
  <r>
    <x v="439"/>
    <x v="307"/>
    <x v="2"/>
    <n v="0"/>
    <n v="60"/>
    <x v="1"/>
    <n v="2"/>
    <s v="Below Average"/>
    <n v="0"/>
    <n v="0"/>
    <s v="2020-04-13"/>
  </r>
  <r>
    <x v="440"/>
    <x v="229"/>
    <x v="2"/>
    <n v="0"/>
    <n v="150"/>
    <x v="0"/>
    <n v="1"/>
    <s v="Below Average"/>
    <n v="0"/>
    <n v="0"/>
    <s v="2020-04-13"/>
  </r>
  <r>
    <x v="441"/>
    <x v="308"/>
    <x v="2"/>
    <n v="0"/>
    <n v="75"/>
    <x v="1"/>
    <n v="2"/>
    <s v="Below Average"/>
    <n v="0"/>
    <n v="0"/>
    <s v="2020-04-13"/>
  </r>
  <r>
    <x v="442"/>
    <x v="309"/>
    <x v="2"/>
    <n v="0"/>
    <n v="35"/>
    <x v="2"/>
    <n v="2"/>
    <s v="Below Average"/>
    <n v="0"/>
    <n v="0.3"/>
    <s v="2020-04-13"/>
  </r>
  <r>
    <x v="443"/>
    <x v="310"/>
    <x v="2"/>
    <n v="0"/>
    <n v="63"/>
    <x v="1"/>
    <n v="2"/>
    <s v="Below Average"/>
    <n v="0"/>
    <n v="0.3"/>
    <s v="2020-04-13"/>
  </r>
  <r>
    <x v="444"/>
    <x v="311"/>
    <x v="2"/>
    <n v="0"/>
    <n v="52"/>
    <x v="1"/>
    <n v="1"/>
    <s v="Below Average"/>
    <n v="0"/>
    <n v="0.3"/>
    <s v="2020-04-13"/>
  </r>
  <r>
    <x v="445"/>
    <x v="306"/>
    <x v="2"/>
    <n v="0"/>
    <n v="70"/>
    <x v="1"/>
    <n v="1"/>
    <s v="Below Average"/>
    <n v="0"/>
    <n v="0"/>
    <s v="2020-04-13"/>
  </r>
  <r>
    <x v="446"/>
    <x v="312"/>
    <x v="2"/>
    <n v="0"/>
    <n v="52"/>
    <x v="1"/>
    <n v="2"/>
    <s v="Below Average"/>
    <n v="0"/>
    <n v="0.3"/>
    <s v="2020-04-13"/>
  </r>
  <r>
    <x v="447"/>
    <x v="313"/>
    <x v="2"/>
    <n v="0"/>
    <n v="45"/>
    <x v="2"/>
    <n v="2"/>
    <s v="Below Average"/>
    <n v="0"/>
    <n v="0"/>
    <s v="2020-04-13"/>
  </r>
  <r>
    <x v="448"/>
    <x v="247"/>
    <x v="2"/>
    <n v="0"/>
    <n v="180"/>
    <x v="0"/>
    <n v="1"/>
    <s v="Below Average"/>
    <n v="0"/>
    <n v="0"/>
    <s v="2020-04-13"/>
  </r>
  <r>
    <x v="449"/>
    <x v="134"/>
    <x v="2"/>
    <n v="0"/>
    <n v="16"/>
    <x v="3"/>
    <n v="1"/>
    <s v="Below Average"/>
    <n v="0"/>
    <n v="0"/>
    <s v="2020-04-13"/>
  </r>
  <r>
    <x v="450"/>
    <x v="128"/>
    <x v="2"/>
    <n v="0"/>
    <n v="100"/>
    <x v="0"/>
    <n v="1"/>
    <s v="Below Average"/>
    <n v="0"/>
    <n v="0"/>
    <s v="2020-04-13"/>
  </r>
  <r>
    <x v="451"/>
    <x v="314"/>
    <x v="2"/>
    <n v="0"/>
    <n v="160"/>
    <x v="0"/>
    <n v="1"/>
    <s v="Below Average"/>
    <n v="0"/>
    <n v="0"/>
    <s v="2020-04-13"/>
  </r>
  <r>
    <x v="452"/>
    <x v="315"/>
    <x v="2"/>
    <n v="0"/>
    <n v="112"/>
    <x v="0"/>
    <n v="1"/>
    <s v="Below Average"/>
    <n v="0"/>
    <n v="0.3"/>
    <s v="2020-04-13"/>
  </r>
  <r>
    <x v="453"/>
    <x v="316"/>
    <x v="2"/>
    <n v="0"/>
    <n v="130"/>
    <x v="0"/>
    <n v="1"/>
    <s v="Below Average"/>
    <n v="0"/>
    <n v="0"/>
    <s v="2020-04-13"/>
  </r>
  <r>
    <x v="454"/>
    <x v="317"/>
    <x v="2"/>
    <n v="0"/>
    <n v="65"/>
    <x v="1"/>
    <n v="1"/>
    <s v="Below Average"/>
    <n v="0"/>
    <n v="0"/>
    <s v="2020-04-13"/>
  </r>
  <r>
    <x v="455"/>
    <x v="318"/>
    <x v="2"/>
    <n v="0"/>
    <n v="105"/>
    <x v="0"/>
    <n v="1"/>
    <s v="Below Average"/>
    <n v="0"/>
    <n v="0"/>
    <s v="2020-04-13"/>
  </r>
  <r>
    <x v="456"/>
    <x v="319"/>
    <x v="2"/>
    <n v="0"/>
    <n v="55"/>
    <x v="1"/>
    <n v="1"/>
    <s v="Below Average"/>
    <n v="0"/>
    <n v="0"/>
    <s v="2020-04-13"/>
  </r>
  <r>
    <x v="457"/>
    <x v="320"/>
    <x v="2"/>
    <n v="0"/>
    <n v="110"/>
    <x v="0"/>
    <n v="1"/>
    <s v="Below Average"/>
    <n v="0"/>
    <n v="0"/>
    <s v="2020-04-13"/>
  </r>
  <r>
    <x v="458"/>
    <x v="321"/>
    <x v="2"/>
    <n v="0"/>
    <n v="110"/>
    <x v="0"/>
    <n v="1"/>
    <s v="Below Average"/>
    <n v="0"/>
    <n v="0"/>
    <s v="2020-04-13"/>
  </r>
  <r>
    <x v="459"/>
    <x v="322"/>
    <x v="2"/>
    <n v="0"/>
    <n v="96"/>
    <x v="1"/>
    <n v="1"/>
    <s v="Below Average"/>
    <n v="0"/>
    <n v="0.2"/>
    <s v="2020-04-13"/>
  </r>
  <r>
    <x v="460"/>
    <x v="323"/>
    <x v="2"/>
    <n v="0"/>
    <n v="120"/>
    <x v="0"/>
    <n v="1"/>
    <s v="Below Average"/>
    <n v="0"/>
    <n v="0.25"/>
    <s v="2020-04-13"/>
  </r>
  <r>
    <x v="461"/>
    <x v="324"/>
    <x v="2"/>
    <n v="0"/>
    <n v="130"/>
    <x v="0"/>
    <n v="1"/>
    <s v="Below Average"/>
    <n v="0"/>
    <n v="0"/>
    <s v="2020-04-13"/>
  </r>
  <r>
    <x v="462"/>
    <x v="325"/>
    <x v="2"/>
    <n v="0"/>
    <n v="170"/>
    <x v="0"/>
    <n v="1"/>
    <s v="Below Average"/>
    <n v="0"/>
    <n v="0"/>
    <s v="2020-04-13"/>
  </r>
  <r>
    <x v="463"/>
    <x v="326"/>
    <x v="2"/>
    <n v="0"/>
    <n v="160"/>
    <x v="0"/>
    <n v="1"/>
    <s v="Below Average"/>
    <n v="0"/>
    <n v="0"/>
    <s v="2020-04-13"/>
  </r>
  <r>
    <x v="464"/>
    <x v="327"/>
    <x v="2"/>
    <n v="0"/>
    <n v="84"/>
    <x v="1"/>
    <n v="1"/>
    <s v="Below Average"/>
    <n v="0"/>
    <n v="0.4"/>
    <s v="2020-04-13"/>
  </r>
  <r>
    <x v="465"/>
    <x v="328"/>
    <x v="2"/>
    <n v="0"/>
    <n v="105"/>
    <x v="0"/>
    <n v="1"/>
    <s v="Below Average"/>
    <n v="0"/>
    <n v="0"/>
    <s v="2020-04-13"/>
  </r>
  <r>
    <x v="466"/>
    <x v="329"/>
    <x v="2"/>
    <n v="0"/>
    <n v="80"/>
    <x v="1"/>
    <n v="1"/>
    <s v="Below Average"/>
    <n v="0"/>
    <n v="0"/>
    <s v="2020-04-13"/>
  </r>
  <r>
    <x v="467"/>
    <x v="330"/>
    <x v="2"/>
    <n v="0"/>
    <n v="160"/>
    <x v="0"/>
    <n v="1"/>
    <s v="Below Average"/>
    <n v="0"/>
    <n v="0.2"/>
    <s v="2020-04-13"/>
  </r>
  <r>
    <x v="468"/>
    <x v="331"/>
    <x v="2"/>
    <n v="0"/>
    <n v="45"/>
    <x v="2"/>
    <n v="1"/>
    <s v="Below Average"/>
    <n v="0"/>
    <n v="0"/>
    <s v="2020-04-13"/>
  </r>
  <r>
    <x v="469"/>
    <x v="332"/>
    <x v="2"/>
    <n v="0"/>
    <n v="45"/>
    <x v="2"/>
    <n v="1"/>
    <s v="Below Average"/>
    <n v="0"/>
    <n v="0"/>
    <s v="2020-04-13"/>
  </r>
  <r>
    <x v="470"/>
    <x v="333"/>
    <x v="2"/>
    <n v="0"/>
    <n v="120"/>
    <x v="0"/>
    <n v="1"/>
    <s v="Below Average"/>
    <n v="0"/>
    <n v="0"/>
    <s v="2020-04-13"/>
  </r>
  <r>
    <x v="471"/>
    <x v="334"/>
    <x v="2"/>
    <n v="0"/>
    <n v="100"/>
    <x v="0"/>
    <n v="1"/>
    <s v="Below Average"/>
    <n v="0"/>
    <n v="0"/>
    <s v="2020-04-13"/>
  </r>
  <r>
    <x v="472"/>
    <x v="335"/>
    <x v="2"/>
    <n v="0"/>
    <n v="60"/>
    <x v="1"/>
    <n v="1"/>
    <s v="Below Average"/>
    <n v="0"/>
    <n v="0"/>
    <s v="2020-04-13"/>
  </r>
  <r>
    <x v="473"/>
    <x v="336"/>
    <x v="2"/>
    <n v="0"/>
    <n v="120"/>
    <x v="0"/>
    <n v="1"/>
    <s v="Below Average"/>
    <n v="0"/>
    <n v="0"/>
    <s v="2020-04-13"/>
  </r>
  <r>
    <x v="474"/>
    <x v="337"/>
    <x v="2"/>
    <n v="0"/>
    <n v="170"/>
    <x v="0"/>
    <n v="1"/>
    <s v="Below Average"/>
    <n v="0"/>
    <n v="0"/>
    <s v="2020-04-13"/>
  </r>
  <r>
    <x v="475"/>
    <x v="338"/>
    <x v="2"/>
    <n v="0"/>
    <n v="120"/>
    <x v="0"/>
    <n v="1"/>
    <s v="Below Average"/>
    <n v="0"/>
    <n v="0"/>
    <s v="2020-04-13"/>
  </r>
  <r>
    <x v="476"/>
    <x v="339"/>
    <x v="2"/>
    <n v="0"/>
    <n v="90"/>
    <x v="1"/>
    <n v="1"/>
    <s v="Below Average"/>
    <n v="0"/>
    <n v="0"/>
    <s v="2020-04-13"/>
  </r>
  <r>
    <x v="477"/>
    <x v="340"/>
    <x v="2"/>
    <n v="0"/>
    <n v="70"/>
    <x v="1"/>
    <n v="1"/>
    <s v="Below Average"/>
    <n v="0"/>
    <n v="0"/>
    <s v="2020-04-13"/>
  </r>
  <r>
    <x v="478"/>
    <x v="341"/>
    <x v="2"/>
    <n v="0"/>
    <n v="150"/>
    <x v="0"/>
    <n v="1"/>
    <s v="Below Average"/>
    <n v="0"/>
    <n v="0"/>
    <s v="2020-04-13"/>
  </r>
  <r>
    <x v="479"/>
    <x v="342"/>
    <x v="2"/>
    <n v="0"/>
    <n v="112"/>
    <x v="0"/>
    <n v="1"/>
    <s v="Below Average"/>
    <n v="0"/>
    <n v="0.3"/>
    <s v="2020-04-13"/>
  </r>
  <r>
    <x v="480"/>
    <x v="343"/>
    <x v="2"/>
    <n v="0"/>
    <n v="84"/>
    <x v="1"/>
    <n v="1"/>
    <s v="Below Average"/>
    <n v="0"/>
    <n v="0.3"/>
    <s v="2020-04-13"/>
  </r>
  <r>
    <x v="481"/>
    <x v="344"/>
    <x v="2"/>
    <n v="0"/>
    <n v="110"/>
    <x v="0"/>
    <n v="1"/>
    <s v="Below Average"/>
    <n v="0"/>
    <n v="0"/>
    <s v="2020-04-13"/>
  </r>
  <r>
    <x v="482"/>
    <x v="345"/>
    <x v="2"/>
    <n v="0"/>
    <n v="80"/>
    <x v="1"/>
    <n v="1"/>
    <s v="Below Average"/>
    <n v="0"/>
    <n v="0"/>
    <s v="2020-04-13"/>
  </r>
  <r>
    <x v="483"/>
    <x v="346"/>
    <x v="2"/>
    <n v="0"/>
    <n v="130"/>
    <x v="0"/>
    <n v="1"/>
    <s v="Below Average"/>
    <n v="0"/>
    <n v="0"/>
    <s v="2020-04-13"/>
  </r>
  <r>
    <x v="484"/>
    <x v="347"/>
    <x v="2"/>
    <n v="0"/>
    <n v="48"/>
    <x v="2"/>
    <n v="1"/>
    <s v="Below Average"/>
    <n v="0"/>
    <n v="0.4"/>
    <s v="2020-04-13"/>
  </r>
  <r>
    <x v="485"/>
    <x v="348"/>
    <x v="2"/>
    <n v="0"/>
    <n v="112"/>
    <x v="0"/>
    <n v="1"/>
    <s v="Below Average"/>
    <n v="0"/>
    <n v="0.2"/>
    <s v="2020-04-13"/>
  </r>
  <r>
    <x v="486"/>
    <x v="349"/>
    <x v="2"/>
    <n v="0"/>
    <n v="150"/>
    <x v="0"/>
    <n v="1"/>
    <s v="Below Average"/>
    <n v="0"/>
    <n v="0"/>
    <s v="2020-04-13"/>
  </r>
  <r>
    <x v="487"/>
    <x v="350"/>
    <x v="2"/>
    <n v="0"/>
    <n v="120"/>
    <x v="0"/>
    <n v="1"/>
    <s v="Below Average"/>
    <n v="0"/>
    <n v="0"/>
    <s v="2020-04-13"/>
  </r>
  <r>
    <x v="488"/>
    <x v="351"/>
    <x v="2"/>
    <n v="0"/>
    <n v="100"/>
    <x v="0"/>
    <n v="1"/>
    <s v="Below Average"/>
    <n v="0"/>
    <n v="0"/>
    <s v="2020-04-13"/>
  </r>
  <r>
    <x v="489"/>
    <x v="352"/>
    <x v="2"/>
    <n v="0"/>
    <n v="20"/>
    <x v="3"/>
    <n v="1"/>
    <s v="Below Average"/>
    <n v="0"/>
    <n v="0"/>
    <s v="2020-04-13"/>
  </r>
  <r>
    <x v="490"/>
    <x v="353"/>
    <x v="2"/>
    <n v="0"/>
    <n v="80"/>
    <x v="1"/>
    <n v="1"/>
    <s v="Below Average"/>
    <n v="0"/>
    <n v="0"/>
    <s v="2020-04-13"/>
  </r>
  <r>
    <x v="491"/>
    <x v="354"/>
    <x v="2"/>
    <n v="0"/>
    <n v="80"/>
    <x v="1"/>
    <n v="1"/>
    <s v="Below Average"/>
    <n v="0"/>
    <n v="0"/>
    <s v="2020-04-13"/>
  </r>
  <r>
    <x v="492"/>
    <x v="355"/>
    <x v="2"/>
    <n v="0"/>
    <n v="150"/>
    <x v="0"/>
    <n v="1"/>
    <s v="Below Average"/>
    <n v="0"/>
    <n v="0"/>
    <s v="2020-04-13"/>
  </r>
  <r>
    <x v="493"/>
    <x v="356"/>
    <x v="2"/>
    <n v="0"/>
    <n v="130"/>
    <x v="0"/>
    <n v="1"/>
    <s v="Below Average"/>
    <n v="0"/>
    <n v="0"/>
    <s v="2020-04-13"/>
  </r>
  <r>
    <x v="494"/>
    <x v="357"/>
    <x v="2"/>
    <n v="0"/>
    <n v="21"/>
    <x v="2"/>
    <n v="1"/>
    <s v="Below Average"/>
    <n v="0"/>
    <n v="0.3"/>
    <s v="2020-04-13"/>
  </r>
  <r>
    <x v="495"/>
    <x v="358"/>
    <x v="2"/>
    <n v="0"/>
    <n v="50"/>
    <x v="2"/>
    <n v="1"/>
    <s v="Below Average"/>
    <n v="0"/>
    <n v="0"/>
    <s v="2020-04-13"/>
  </r>
  <r>
    <x v="496"/>
    <x v="359"/>
    <x v="2"/>
    <n v="0"/>
    <n v="110"/>
    <x v="0"/>
    <n v="1"/>
    <s v="Below Average"/>
    <n v="0"/>
    <n v="0"/>
    <s v="2020-04-13"/>
  </r>
  <r>
    <x v="497"/>
    <x v="360"/>
    <x v="2"/>
    <n v="0"/>
    <n v="136"/>
    <x v="0"/>
    <n v="1"/>
    <s v="Below Average"/>
    <n v="0"/>
    <n v="0.2"/>
    <s v="2020-04-13"/>
  </r>
  <r>
    <x v="498"/>
    <x v="361"/>
    <x v="2"/>
    <n v="0"/>
    <n v="119"/>
    <x v="0"/>
    <n v="1"/>
    <s v="Below Average"/>
    <n v="0"/>
    <n v="0.3"/>
    <s v="2020-04-13"/>
  </r>
  <r>
    <x v="499"/>
    <x v="362"/>
    <x v="2"/>
    <n v="0"/>
    <n v="120"/>
    <x v="0"/>
    <n v="1"/>
    <s v="Below Average"/>
    <n v="0"/>
    <n v="0"/>
    <s v="2020-04-13"/>
  </r>
  <r>
    <x v="500"/>
    <x v="363"/>
    <x v="2"/>
    <n v="0"/>
    <n v="98"/>
    <x v="1"/>
    <n v="1"/>
    <s v="Below Average"/>
    <n v="0"/>
    <n v="0.3"/>
    <s v="2020-04-13"/>
  </r>
  <r>
    <x v="501"/>
    <x v="364"/>
    <x v="2"/>
    <n v="0"/>
    <n v="77"/>
    <x v="1"/>
    <n v="1"/>
    <s v="Below Average"/>
    <n v="0"/>
    <n v="0.3"/>
    <s v="2020-04-13"/>
  </r>
  <r>
    <x v="502"/>
    <x v="365"/>
    <x v="2"/>
    <n v="0"/>
    <n v="60"/>
    <x v="1"/>
    <n v="1"/>
    <s v="Below Average"/>
    <n v="0"/>
    <n v="0"/>
    <s v="2020-04-13"/>
  </r>
  <r>
    <x v="503"/>
    <x v="366"/>
    <x v="2"/>
    <n v="0"/>
    <n v="112"/>
    <x v="0"/>
    <n v="1"/>
    <s v="Below Average"/>
    <n v="0"/>
    <n v="0.3"/>
    <s v="2020-04-13"/>
  </r>
  <r>
    <x v="504"/>
    <x v="367"/>
    <x v="2"/>
    <n v="0"/>
    <n v="112"/>
    <x v="0"/>
    <n v="1"/>
    <s v="Below Average"/>
    <n v="0"/>
    <n v="0.3"/>
    <s v="2020-04-13"/>
  </r>
  <r>
    <x v="505"/>
    <x v="368"/>
    <x v="2"/>
    <n v="0"/>
    <n v="110"/>
    <x v="0"/>
    <n v="1"/>
    <s v="Below Average"/>
    <n v="0"/>
    <n v="0"/>
    <s v="2020-04-13"/>
  </r>
  <r>
    <x v="506"/>
    <x v="369"/>
    <x v="2"/>
    <n v="0"/>
    <n v="52"/>
    <x v="1"/>
    <n v="2"/>
    <s v="Below Average"/>
    <n v="0"/>
    <n v="0.3"/>
    <s v="2020-04-13"/>
  </r>
  <r>
    <x v="507"/>
    <x v="5"/>
    <x v="2"/>
    <n v="0"/>
    <n v="120"/>
    <x v="0"/>
    <n v="1"/>
    <s v="Below Average"/>
    <n v="0"/>
    <n v="0"/>
    <s v="2020-04-13"/>
  </r>
  <r>
    <x v="508"/>
    <x v="174"/>
    <x v="2"/>
    <n v="0"/>
    <n v="140"/>
    <x v="0"/>
    <n v="1"/>
    <s v="Below Average"/>
    <n v="0"/>
    <n v="0"/>
    <s v="2020-04-13"/>
  </r>
  <r>
    <x v="509"/>
    <x v="370"/>
    <x v="2"/>
    <n v="0"/>
    <n v="42"/>
    <x v="2"/>
    <n v="1"/>
    <s v="Below Average"/>
    <n v="0"/>
    <n v="0.3"/>
    <s v="2020-04-13"/>
  </r>
  <r>
    <x v="510"/>
    <x v="371"/>
    <x v="2"/>
    <n v="0"/>
    <n v="98"/>
    <x v="1"/>
    <n v="1"/>
    <s v="Below Average"/>
    <n v="0"/>
    <n v="0.3"/>
    <s v="2020-04-13"/>
  </r>
  <r>
    <x v="511"/>
    <x v="372"/>
    <x v="2"/>
    <n v="0"/>
    <n v="136"/>
    <x v="0"/>
    <n v="1"/>
    <s v="Below Average"/>
    <n v="0"/>
    <n v="0.2"/>
    <s v="2020-04-13"/>
  </r>
  <r>
    <x v="512"/>
    <x v="91"/>
    <x v="2"/>
    <n v="0"/>
    <n v="100"/>
    <x v="0"/>
    <n v="1"/>
    <s v="Below Average"/>
    <n v="0"/>
    <n v="0"/>
    <s v="2020-04-13"/>
  </r>
  <r>
    <x v="513"/>
    <x v="273"/>
    <x v="2"/>
    <n v="0"/>
    <n v="80"/>
    <x v="1"/>
    <n v="1"/>
    <s v="Below Average"/>
    <n v="0"/>
    <n v="0"/>
    <s v="2020-04-13"/>
  </r>
  <r>
    <x v="514"/>
    <x v="373"/>
    <x v="2"/>
    <n v="0"/>
    <n v="112"/>
    <x v="0"/>
    <n v="1"/>
    <s v="Below Average"/>
    <n v="0"/>
    <n v="0.3"/>
    <s v="2020-04-13"/>
  </r>
  <r>
    <x v="515"/>
    <x v="374"/>
    <x v="2"/>
    <n v="0"/>
    <n v="30"/>
    <x v="2"/>
    <n v="1"/>
    <s v="Below Average"/>
    <n v="0"/>
    <n v="0"/>
    <s v="2020-04-13"/>
  </r>
  <r>
    <x v="516"/>
    <x v="47"/>
    <x v="2"/>
    <n v="0"/>
    <n v="96"/>
    <x v="1"/>
    <n v="1"/>
    <s v="Below Average"/>
    <n v="0"/>
    <n v="0.4"/>
    <s v="2020-04-13"/>
  </r>
  <r>
    <x v="517"/>
    <x v="296"/>
    <x v="2"/>
    <n v="0"/>
    <n v="52"/>
    <x v="1"/>
    <n v="1"/>
    <s v="Below Average"/>
    <n v="0"/>
    <n v="0.3"/>
    <s v="2020-04-13"/>
  </r>
  <r>
    <x v="518"/>
    <x v="375"/>
    <x v="2"/>
    <n v="0"/>
    <n v="65"/>
    <x v="1"/>
    <n v="2"/>
    <s v="Below Average"/>
    <n v="0"/>
    <n v="0"/>
    <s v="2020-04-13"/>
  </r>
  <r>
    <x v="519"/>
    <x v="376"/>
    <x v="2"/>
    <n v="0"/>
    <n v="68"/>
    <x v="1"/>
    <n v="2"/>
    <s v="Below Average"/>
    <n v="0"/>
    <n v="0.2"/>
    <s v="2020-04-13"/>
  </r>
  <r>
    <x v="520"/>
    <x v="41"/>
    <x v="2"/>
    <n v="0"/>
    <n v="66"/>
    <x v="1"/>
    <n v="1"/>
    <s v="Below Average"/>
    <n v="0"/>
    <n v="0.4"/>
    <s v="2020-04-13"/>
  </r>
  <r>
    <x v="521"/>
    <x v="377"/>
    <x v="2"/>
    <n v="0"/>
    <n v="105"/>
    <x v="0"/>
    <n v="1"/>
    <s v="Below Average"/>
    <n v="0"/>
    <n v="0.3"/>
    <s v="2020-04-13"/>
  </r>
  <r>
    <x v="522"/>
    <x v="74"/>
    <x v="2"/>
    <n v="0"/>
    <n v="112"/>
    <x v="0"/>
    <n v="1"/>
    <s v="Below Average"/>
    <n v="0"/>
    <n v="0.3"/>
    <s v="2020-04-13"/>
  </r>
  <r>
    <x v="523"/>
    <x v="311"/>
    <x v="2"/>
    <n v="0"/>
    <n v="75"/>
    <x v="1"/>
    <n v="1"/>
    <s v="Below Average"/>
    <n v="0"/>
    <n v="0"/>
    <s v="2020-04-13"/>
  </r>
  <r>
    <x v="524"/>
    <x v="0"/>
    <x v="2"/>
    <n v="0"/>
    <n v="110"/>
    <x v="0"/>
    <n v="1"/>
    <s v="Below Average"/>
    <n v="0"/>
    <n v="0"/>
    <s v="2020-04-13"/>
  </r>
  <r>
    <x v="525"/>
    <x v="378"/>
    <x v="2"/>
    <n v="0"/>
    <n v="365"/>
    <x v="0"/>
    <n v="1"/>
    <s v="Below Average"/>
    <n v="0"/>
    <n v="0"/>
    <s v="2020-04-13"/>
  </r>
  <r>
    <x v="526"/>
    <x v="379"/>
    <x v="2"/>
    <n v="0"/>
    <n v="120"/>
    <x v="0"/>
    <n v="1"/>
    <s v="Below Average"/>
    <n v="0"/>
    <n v="0"/>
    <s v="2020-04-13"/>
  </r>
  <r>
    <x v="527"/>
    <x v="182"/>
    <x v="2"/>
    <n v="0"/>
    <n v="54"/>
    <x v="1"/>
    <n v="1"/>
    <s v="Below Average"/>
    <n v="0"/>
    <n v="0.4"/>
    <s v="2020-04-13"/>
  </r>
  <r>
    <x v="528"/>
    <x v="51"/>
    <x v="2"/>
    <n v="0"/>
    <n v="48"/>
    <x v="2"/>
    <n v="1"/>
    <s v="Below Average"/>
    <n v="0"/>
    <n v="0.4"/>
    <s v="2020-04-13"/>
  </r>
  <r>
    <x v="529"/>
    <x v="162"/>
    <x v="2"/>
    <n v="0"/>
    <n v="112"/>
    <x v="0"/>
    <n v="1"/>
    <s v="Below Average"/>
    <n v="0"/>
    <n v="0.3"/>
    <s v="2020-04-13"/>
  </r>
  <r>
    <x v="530"/>
    <x v="253"/>
    <x v="2"/>
    <n v="0"/>
    <n v="112"/>
    <x v="0"/>
    <n v="1"/>
    <s v="Below Average"/>
    <n v="0"/>
    <n v="0.3"/>
    <s v="2020-04-13"/>
  </r>
  <r>
    <x v="531"/>
    <x v="380"/>
    <x v="2"/>
    <n v="0"/>
    <n v="140"/>
    <x v="0"/>
    <n v="1"/>
    <s v="Below Average"/>
    <n v="0"/>
    <n v="0"/>
    <s v="2020-04-13"/>
  </r>
  <r>
    <x v="532"/>
    <x v="204"/>
    <x v="2"/>
    <n v="0"/>
    <n v="160"/>
    <x v="0"/>
    <n v="1"/>
    <s v="Below Average"/>
    <n v="0"/>
    <n v="0"/>
    <s v="2020-04-13"/>
  </r>
  <r>
    <x v="533"/>
    <x v="193"/>
    <x v="2"/>
    <n v="0"/>
    <n v="72"/>
    <x v="1"/>
    <n v="1"/>
    <s v="Below Average"/>
    <n v="0"/>
    <n v="0.4"/>
    <s v="2020-04-13"/>
  </r>
  <r>
    <x v="534"/>
    <x v="41"/>
    <x v="2"/>
    <n v="0"/>
    <n v="110"/>
    <x v="0"/>
    <n v="1"/>
    <s v="Below Average"/>
    <n v="0"/>
    <n v="0"/>
    <s v="2020-04-13"/>
  </r>
  <r>
    <x v="535"/>
    <x v="381"/>
    <x v="2"/>
    <n v="0"/>
    <n v="120"/>
    <x v="0"/>
    <n v="1"/>
    <s v="Below Average"/>
    <n v="0"/>
    <n v="0"/>
    <s v="2020-04-13"/>
  </r>
  <r>
    <x v="536"/>
    <x v="382"/>
    <x v="2"/>
    <n v="0"/>
    <n v="32"/>
    <x v="2"/>
    <n v="1"/>
    <s v="Below Average"/>
    <n v="0"/>
    <n v="0.2"/>
    <s v="2020-04-13"/>
  </r>
  <r>
    <x v="537"/>
    <x v="0"/>
    <x v="2"/>
    <n v="0"/>
    <n v="100"/>
    <x v="0"/>
    <n v="1"/>
    <s v="Below Average"/>
    <n v="0"/>
    <n v="0"/>
    <s v="2020-04-13"/>
  </r>
  <r>
    <x v="538"/>
    <x v="383"/>
    <x v="2"/>
    <n v="0"/>
    <n v="102"/>
    <x v="0"/>
    <n v="1"/>
    <s v="Below Average"/>
    <n v="0"/>
    <n v="0.4"/>
    <s v="2020-04-13"/>
  </r>
  <r>
    <x v="539"/>
    <x v="290"/>
    <x v="2"/>
    <n v="0"/>
    <n v="160"/>
    <x v="0"/>
    <n v="1"/>
    <s v="Below Average"/>
    <n v="0"/>
    <n v="0"/>
    <s v="2020-04-13"/>
  </r>
  <r>
    <x v="540"/>
    <x v="273"/>
    <x v="2"/>
    <n v="0"/>
    <n v="80"/>
    <x v="1"/>
    <n v="1"/>
    <s v="Below Average"/>
    <n v="0"/>
    <n v="0"/>
    <s v="2020-04-13"/>
  </r>
  <r>
    <x v="541"/>
    <x v="162"/>
    <x v="2"/>
    <n v="0"/>
    <n v="160"/>
    <x v="0"/>
    <n v="1"/>
    <s v="Below Average"/>
    <n v="0"/>
    <n v="0"/>
    <s v="2020-04-13"/>
  </r>
  <r>
    <x v="542"/>
    <x v="195"/>
    <x v="2"/>
    <n v="0"/>
    <n v="160"/>
    <x v="0"/>
    <n v="1"/>
    <s v="Below Average"/>
    <n v="0"/>
    <n v="0"/>
    <s v="2020-04-13"/>
  </r>
  <r>
    <x v="543"/>
    <x v="301"/>
    <x v="2"/>
    <n v="0"/>
    <n v="90"/>
    <x v="1"/>
    <n v="1"/>
    <s v="Below Average"/>
    <n v="0"/>
    <n v="0"/>
    <s v="2020-04-13"/>
  </r>
  <r>
    <x v="544"/>
    <x v="384"/>
    <x v="2"/>
    <n v="0"/>
    <n v="91"/>
    <x v="1"/>
    <n v="1"/>
    <s v="Below Average"/>
    <n v="0"/>
    <n v="0.3"/>
    <s v="2020-04-13"/>
  </r>
  <r>
    <x v="545"/>
    <x v="91"/>
    <x v="2"/>
    <n v="0"/>
    <n v="100"/>
    <x v="0"/>
    <n v="1"/>
    <s v="Below Average"/>
    <n v="0"/>
    <n v="0"/>
    <s v="2020-04-13"/>
  </r>
  <r>
    <x v="546"/>
    <x v="385"/>
    <x v="2"/>
    <n v="0"/>
    <n v="65"/>
    <x v="1"/>
    <n v="1"/>
    <s v="Below Average"/>
    <n v="0"/>
    <n v="0"/>
    <s v="2020-04-13"/>
  </r>
  <r>
    <x v="547"/>
    <x v="386"/>
    <x v="2"/>
    <n v="0"/>
    <n v="56"/>
    <x v="1"/>
    <n v="1"/>
    <s v="Below Average"/>
    <n v="0"/>
    <n v="0.2"/>
    <s v="2020-04-13"/>
  </r>
  <r>
    <x v="548"/>
    <x v="117"/>
    <x v="2"/>
    <n v="0"/>
    <n v="100"/>
    <x v="0"/>
    <n v="1"/>
    <s v="Below Average"/>
    <n v="0"/>
    <n v="0"/>
    <s v="2020-04-13"/>
  </r>
  <r>
    <x v="549"/>
    <x v="387"/>
    <x v="2"/>
    <n v="0"/>
    <n v="72"/>
    <x v="1"/>
    <n v="1"/>
    <s v="Below Average"/>
    <n v="0"/>
    <n v="0.2"/>
    <s v="2020-04-13"/>
  </r>
  <r>
    <x v="550"/>
    <x v="388"/>
    <x v="2"/>
    <n v="0"/>
    <n v="50"/>
    <x v="2"/>
    <n v="1"/>
    <s v="Below Average"/>
    <n v="0"/>
    <n v="0"/>
    <s v="2020-04-13"/>
  </r>
  <r>
    <x v="551"/>
    <x v="389"/>
    <x v="2"/>
    <n v="0"/>
    <n v="65"/>
    <x v="1"/>
    <n v="1"/>
    <s v="Below Average"/>
    <n v="0"/>
    <n v="0"/>
    <s v="2020-04-13"/>
  </r>
  <r>
    <x v="552"/>
    <x v="390"/>
    <x v="2"/>
    <n v="0"/>
    <n v="63"/>
    <x v="1"/>
    <n v="1"/>
    <s v="Below Average"/>
    <n v="0"/>
    <n v="0.3"/>
    <s v="2020-04-1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s v="CK2531-001"/>
    <s v="Nike Air Max 720 (OBJ)"/>
    <x v="0"/>
    <n v="5"/>
    <n v="136"/>
    <s v="$100 +"/>
    <n v="1"/>
    <s v="Below Average"/>
    <n v="5"/>
    <x v="0"/>
    <s v="2020-04-13"/>
  </r>
  <r>
    <s v="AV6259-500"/>
    <s v="Nike Air Zoom Pegasus 36 Premium Rise"/>
    <x v="0"/>
    <n v="5"/>
    <n v="66"/>
    <s v="under $100"/>
    <n v="1"/>
    <s v="Below Average"/>
    <n v="5"/>
    <x v="1"/>
    <s v="2020-04-13"/>
  </r>
  <r>
    <s v="AO1742-004"/>
    <s v="Nike Joyride CC"/>
    <x v="0"/>
    <n v="5"/>
    <n v="84"/>
    <s v="under $100"/>
    <n v="1"/>
    <s v="Below Average"/>
    <n v="4"/>
    <x v="2"/>
    <s v="2020-04-13"/>
  </r>
  <r>
    <s v="BQ4430-400"/>
    <s v="Nike Air Max 720 Waves"/>
    <x v="0"/>
    <n v="5"/>
    <n v="112"/>
    <s v="$100 +"/>
    <n v="1"/>
    <s v="Below Average"/>
    <n v="4"/>
    <x v="2"/>
    <s v="2020-04-13"/>
  </r>
  <r>
    <s v="CI1291-400"/>
    <s v="Nike Epic Phantom React"/>
    <x v="0"/>
    <n v="5"/>
    <n v="84"/>
    <s v="under $100"/>
    <n v="1"/>
    <s v="Below Average"/>
    <n v="3"/>
    <x v="1"/>
    <s v="2020-04-13"/>
  </r>
  <r>
    <s v="BV7725-500"/>
    <s v="Nike Daybreak SP"/>
    <x v="0"/>
    <n v="5"/>
    <n v="48"/>
    <s v="$50 and under"/>
    <n v="1"/>
    <s v="Below Average"/>
    <n v="3"/>
    <x v="1"/>
    <s v="2020-04-13"/>
  </r>
  <r>
    <s v="CJ9684-001"/>
    <s v="Nike Air Max Plus III"/>
    <x v="0"/>
    <n v="5"/>
    <n v="112"/>
    <s v="$100 +"/>
    <n v="1"/>
    <s v="Below Average"/>
    <n v="2"/>
    <x v="2"/>
    <s v="2020-04-13"/>
  </r>
  <r>
    <s v="AJ6959-717"/>
    <s v="Nike Phantom Vision Club Dynamic Fit FG"/>
    <x v="0"/>
    <n v="5"/>
    <n v="45"/>
    <s v="$50 and under"/>
    <n v="2"/>
    <s v="Below Average"/>
    <n v="2"/>
    <x v="3"/>
    <s v="2020-04-13"/>
  </r>
  <r>
    <s v="AT7324-001"/>
    <s v="Nike SB Zoom Stefan Janoski Mid RM"/>
    <x v="0"/>
    <n v="5"/>
    <n v="64"/>
    <s v="under $100"/>
    <n v="2"/>
    <s v="Below Average"/>
    <n v="2"/>
    <x v="0"/>
    <s v="2020-04-13"/>
  </r>
  <r>
    <s v="AT7978-414"/>
    <s v="Nike Mercurial Superfly 7 Academy TF"/>
    <x v="0"/>
    <n v="5"/>
    <n v="59"/>
    <s v="under $100"/>
    <n v="2"/>
    <s v="Below Average"/>
    <n v="2"/>
    <x v="2"/>
    <s v="2020-04-13"/>
  </r>
  <r>
    <s v="BV4584-001"/>
    <s v="Nike ISPA Joyride Envelope"/>
    <x v="0"/>
    <n v="5"/>
    <n v="136"/>
    <s v="$100 +"/>
    <n v="1"/>
    <s v="Below Average"/>
    <n v="2"/>
    <x v="0"/>
    <s v="2020-04-13"/>
  </r>
  <r>
    <s v="CI1718-001"/>
    <s v="Nike Epic Phantom React A.I.R. Cody Hudson"/>
    <x v="0"/>
    <n v="5"/>
    <n v="84"/>
    <s v="under $100"/>
    <n v="1"/>
    <s v="Below Average"/>
    <n v="2"/>
    <x v="1"/>
    <s v="2020-04-13"/>
  </r>
  <r>
    <s v="864348-019"/>
    <s v="Nike SB Blazer Low XT"/>
    <x v="0"/>
    <n v="5"/>
    <n v="64"/>
    <s v="under $100"/>
    <n v="1"/>
    <s v="Below Average"/>
    <n v="2"/>
    <x v="0"/>
    <s v="2020-04-13"/>
  </r>
  <r>
    <s v="881105-800"/>
    <s v="Nike Air Max 90 NS SE"/>
    <x v="0"/>
    <n v="5"/>
    <n v="80"/>
    <s v="under $100"/>
    <n v="1"/>
    <s v="Below Average"/>
    <n v="2"/>
    <x v="0"/>
    <s v="2020-04-13"/>
  </r>
  <r>
    <s v="CI1290-100"/>
    <s v="Nike Epic Phantom React"/>
    <x v="0"/>
    <n v="5"/>
    <n v="84"/>
    <s v="under $100"/>
    <n v="1"/>
    <s v="Below Average"/>
    <n v="2"/>
    <x v="1"/>
    <s v="2020-04-13"/>
  </r>
  <r>
    <s v="AV9370-001"/>
    <s v="Nike Blazer Low LE"/>
    <x v="0"/>
    <n v="5"/>
    <n v="56"/>
    <s v="under $100"/>
    <n v="1"/>
    <s v="Below Average"/>
    <n v="2"/>
    <x v="0"/>
    <s v="2020-04-13"/>
  </r>
  <r>
    <s v="CD7288-001"/>
    <s v="Nike Zoom Rival Fly"/>
    <x v="0"/>
    <n v="5"/>
    <n v="64"/>
    <s v="under $100"/>
    <n v="1"/>
    <s v="Below Average"/>
    <n v="1"/>
    <x v="0"/>
    <s v="2020-04-13"/>
  </r>
  <r>
    <s v="CI3835-002"/>
    <s v="Nike React Element 55 Premium"/>
    <x v="0"/>
    <n v="5"/>
    <n v="72"/>
    <s v="under $100"/>
    <n v="1"/>
    <s v="Below Average"/>
    <n v="1"/>
    <x v="1"/>
    <s v="2020-04-13"/>
  </r>
  <r>
    <s v="CI1694-300"/>
    <s v="Nike Zoom Vomero 5 SE SP"/>
    <x v="0"/>
    <n v="5"/>
    <n v="112"/>
    <s v="$100 +"/>
    <n v="1"/>
    <s v="Below Average"/>
    <n v="1"/>
    <x v="0"/>
    <s v="2020-04-13"/>
  </r>
  <r>
    <s v="CK5836-100"/>
    <s v="Kyrie 5 x Bandulu"/>
    <x v="0"/>
    <n v="5"/>
    <n v="88"/>
    <s v="under $100"/>
    <n v="1"/>
    <s v="Below Average"/>
    <n v="1"/>
    <x v="0"/>
    <s v="2020-04-13"/>
  </r>
  <r>
    <s v="BQ5615-002"/>
    <s v="Nike Air Max 97 Utility"/>
    <x v="0"/>
    <n v="5"/>
    <n v="112"/>
    <s v="$100 +"/>
    <n v="1"/>
    <s v="Below Average"/>
    <n v="1"/>
    <x v="2"/>
    <s v="2020-04-13"/>
  </r>
  <r>
    <s v="BQ5190-101"/>
    <s v="Nike Drop-Type Mid"/>
    <x v="0"/>
    <n v="5"/>
    <n v="49"/>
    <s v="$50 and under"/>
    <n v="1"/>
    <s v="Below Average"/>
    <n v="1"/>
    <x v="2"/>
    <s v="2020-04-13"/>
  </r>
  <r>
    <s v="BQ3611-100"/>
    <s v="Nike Vandalised LX"/>
    <x v="0"/>
    <n v="5"/>
    <n v="88"/>
    <s v="under $100"/>
    <n v="1"/>
    <s v="Below Average"/>
    <n v="1"/>
    <x v="0"/>
    <s v="2020-04-13"/>
  </r>
  <r>
    <s v="AQ2567-002"/>
    <s v="Nike Air Max Tailwind IV"/>
    <x v="0"/>
    <n v="5"/>
    <n v="84"/>
    <s v="under $100"/>
    <n v="1"/>
    <s v="Below Average"/>
    <n v="1"/>
    <x v="1"/>
    <s v="2020-04-13"/>
  </r>
  <r>
    <s v="BQ4424-700"/>
    <s v="Nike Air Force 1 '07 Premium"/>
    <x v="0"/>
    <n v="5"/>
    <n v="77"/>
    <s v="under $100"/>
    <n v="1"/>
    <s v="Below Average"/>
    <n v="1"/>
    <x v="2"/>
    <s v="2020-04-13"/>
  </r>
  <r>
    <s v="CU0675-300"/>
    <s v="Nike Air Max 90"/>
    <x v="0"/>
    <n v="5"/>
    <n v="98"/>
    <s v="under $100"/>
    <n v="1"/>
    <s v="Below Average"/>
    <n v="1"/>
    <x v="2"/>
    <s v="2020-04-13"/>
  </r>
  <r>
    <s v="AT6817-300"/>
    <s v="Nike Air VaporMax 2019 Premium"/>
    <x v="0"/>
    <n v="5"/>
    <n v="136"/>
    <s v="$100 +"/>
    <n v="1"/>
    <s v="Below Average"/>
    <n v="1"/>
    <x v="0"/>
    <s v="2020-04-13"/>
  </r>
  <r>
    <s v="BV7775-100"/>
    <s v="Nike Free RN 5.0 AW"/>
    <x v="0"/>
    <n v="5"/>
    <n v="54"/>
    <s v="under $100"/>
    <n v="1"/>
    <s v="Below Average"/>
    <n v="1"/>
    <x v="1"/>
    <s v="2020-04-13"/>
  </r>
  <r>
    <s v="BQ9138-601"/>
    <s v="NikeCourt Royale AC"/>
    <x v="0"/>
    <n v="5"/>
    <n v="31"/>
    <s v="$50 and under"/>
    <n v="1"/>
    <s v="Below Average"/>
    <n v="1"/>
    <x v="2"/>
    <s v="2020-04-13"/>
  </r>
  <r>
    <s v="AV5187-602"/>
    <s v="Jordan Air Latitude 720"/>
    <x v="0"/>
    <n v="5"/>
    <n v="128"/>
    <s v="$100 +"/>
    <n v="1"/>
    <s v="Below Average"/>
    <n v="1"/>
    <x v="0"/>
    <s v="2020-04-13"/>
  </r>
  <r>
    <s v="BV7756-001"/>
    <s v="Nike Zoom Fly 3 Premium"/>
    <x v="0"/>
    <n v="5"/>
    <n v="105"/>
    <s v="$100 +"/>
    <n v="1"/>
    <s v="Below Average"/>
    <n v="1"/>
    <x v="2"/>
    <s v="2020-04-13"/>
  </r>
  <r>
    <s v="BV7757-500"/>
    <s v="Nike Zoom Pegasus Turbo 2 Special Edition"/>
    <x v="0"/>
    <n v="5"/>
    <n v="128"/>
    <s v="$100 +"/>
    <n v="1"/>
    <s v="Below Average"/>
    <n v="1"/>
    <x v="0"/>
    <s v="2020-04-13"/>
  </r>
  <r>
    <s v="CI1236-100"/>
    <s v="Air Jordan 8 Retro"/>
    <x v="0"/>
    <n v="5"/>
    <n v="128"/>
    <s v="$100 +"/>
    <n v="1"/>
    <s v="Below Average"/>
    <n v="1"/>
    <x v="0"/>
    <s v="2020-04-13"/>
  </r>
  <r>
    <s v="AR9293-603"/>
    <s v="Nike Air Max 720"/>
    <x v="0"/>
    <n v="4.9000000000000004"/>
    <n v="96"/>
    <s v="under $100"/>
    <n v="1"/>
    <s v="Average +"/>
    <n v="18"/>
    <x v="1"/>
    <s v="2020-04-13"/>
  </r>
  <r>
    <s v="BV0415-300"/>
    <s v="Nike Epic Phantom React Flyknit"/>
    <x v="0"/>
    <n v="4.9000000000000004"/>
    <n v="78"/>
    <s v="under $100"/>
    <n v="1"/>
    <s v="Average +"/>
    <n v="17"/>
    <x v="1"/>
    <s v="2020-04-13"/>
  </r>
  <r>
    <s v="AR7410-603"/>
    <s v="Nike Air Max Dia SE"/>
    <x v="0"/>
    <n v="4.8"/>
    <n v="60"/>
    <s v="under $100"/>
    <n v="1"/>
    <s v="Average +"/>
    <n v="20"/>
    <x v="1"/>
    <s v="2020-04-13"/>
  </r>
  <r>
    <s v="313358-006"/>
    <s v="Air Jordan 7 Retro"/>
    <x v="0"/>
    <n v="4.8"/>
    <n v="112"/>
    <s v="$100 +"/>
    <n v="2"/>
    <s v="Average +"/>
    <n v="8"/>
    <x v="2"/>
    <s v="2020-04-13"/>
  </r>
  <r>
    <s v="BV1507-001"/>
    <s v="Nike React Element 55 SE"/>
    <x v="0"/>
    <n v="4.8"/>
    <n v="66"/>
    <s v="under $100"/>
    <n v="1"/>
    <s v="Below Average"/>
    <n v="5"/>
    <x v="1"/>
    <s v="2020-04-13"/>
  </r>
  <r>
    <s v="CI5646-200"/>
    <s v="Nike Air Max 90"/>
    <x v="0"/>
    <n v="4.8"/>
    <n v="96"/>
    <s v="under $100"/>
    <n v="1"/>
    <s v="Below Average"/>
    <n v="5"/>
    <x v="0"/>
    <s v="2020-04-13"/>
  </r>
  <r>
    <s v="BQ5240-200"/>
    <s v="Nike Xarr"/>
    <x v="0"/>
    <n v="4.8"/>
    <n v="91"/>
    <s v="under $100"/>
    <n v="1"/>
    <s v="Below Average"/>
    <n v="4"/>
    <x v="2"/>
    <s v="2020-04-13"/>
  </r>
  <r>
    <s v="BV1021-007"/>
    <s v="Nike P-6000 Icon Clash"/>
    <x v="0"/>
    <n v="4.7"/>
    <n v="56"/>
    <s v="under $100"/>
    <n v="1"/>
    <s v="Average +"/>
    <n v="10"/>
    <x v="2"/>
    <s v="2020-04-13"/>
  </r>
  <r>
    <s v="BV5739-500"/>
    <s v="Nike Air Zoom Pegasus 36"/>
    <x v="0"/>
    <n v="4.7"/>
    <n v="77"/>
    <s v="under $100"/>
    <n v="1"/>
    <s v="Below Average"/>
    <n v="3"/>
    <x v="2"/>
    <s v="2020-04-13"/>
  </r>
  <r>
    <s v="AQ4312-107"/>
    <s v="Nike Air Max Dia Icon Clash"/>
    <x v="0"/>
    <n v="4.5999999999999996"/>
    <n v="54"/>
    <s v="under $100"/>
    <n v="1"/>
    <s v="Average +"/>
    <n v="23"/>
    <x v="1"/>
    <s v="2020-04-13"/>
  </r>
  <r>
    <s v="AT6175-100"/>
    <s v="Nike Air Max 200"/>
    <x v="0"/>
    <n v="4.5999999999999996"/>
    <n v="60"/>
    <s v="under $100"/>
    <n v="1"/>
    <s v="Average +"/>
    <n v="16"/>
    <x v="1"/>
    <s v="2020-04-13"/>
  </r>
  <r>
    <s v="885118-001"/>
    <s v="Nike Air Huarache Ultra"/>
    <x v="0"/>
    <n v="4.5999999999999996"/>
    <n v="72"/>
    <s v="under $100"/>
    <n v="1"/>
    <s v="Average +"/>
    <n v="12"/>
    <x v="0"/>
    <s v="2020-04-13"/>
  </r>
  <r>
    <s v="CI3794-600"/>
    <s v="Jordan Proto-React Z"/>
    <x v="0"/>
    <n v="4.5999999999999996"/>
    <n v="112"/>
    <s v="$100 +"/>
    <n v="2"/>
    <s v="Average +"/>
    <n v="10"/>
    <x v="0"/>
    <s v="2020-04-13"/>
  </r>
  <r>
    <s v="CQ7731-900"/>
    <s v="Nike Zoom KD12 'YouTube'"/>
    <x v="0"/>
    <n v="4.5999999999999996"/>
    <n v="104"/>
    <s v="$100 +"/>
    <n v="1"/>
    <s v="Below Average"/>
    <n v="5"/>
    <x v="0"/>
    <s v="2020-04-13"/>
  </r>
  <r>
    <s v="AQ2568-100"/>
    <s v="Nike Air Max 200"/>
    <x v="0"/>
    <n v="4.5"/>
    <n v="60"/>
    <s v="under $100"/>
    <n v="1"/>
    <s v="Average +"/>
    <n v="13"/>
    <x v="1"/>
    <s v="2020-04-13"/>
  </r>
  <r>
    <s v="AV4417-002"/>
    <s v="Nike Air Max 98 LX"/>
    <x v="0"/>
    <n v="4.5"/>
    <n v="128"/>
    <s v="$100 +"/>
    <n v="1"/>
    <s v="Below Average"/>
    <n v="6"/>
    <x v="0"/>
    <s v="2020-04-13"/>
  </r>
  <r>
    <s v="CJ9712-001"/>
    <s v="Nike Zoom Pegasus Turbo Shield"/>
    <x v="0"/>
    <n v="4.5"/>
    <n v="126"/>
    <s v="$100 +"/>
    <n v="1"/>
    <s v="Below Average"/>
    <n v="4"/>
    <x v="2"/>
    <s v="2020-04-13"/>
  </r>
  <r>
    <s v="BQ5102-400"/>
    <s v="Nike Huarache Type"/>
    <x v="0"/>
    <n v="4.5"/>
    <n v="66"/>
    <s v="under $100"/>
    <n v="1"/>
    <s v="Below Average"/>
    <n v="2"/>
    <x v="1"/>
    <s v="2020-04-13"/>
  </r>
  <r>
    <s v="AT5410-003"/>
    <s v="Nike Air Ghost Racer"/>
    <x v="0"/>
    <n v="4.5"/>
    <n v="70"/>
    <s v="under $100"/>
    <n v="1"/>
    <s v="Below Average"/>
    <n v="2"/>
    <x v="2"/>
    <s v="2020-04-13"/>
  </r>
  <r>
    <s v="AQ4126-100"/>
    <s v="Nike Air Max 97 SE"/>
    <x v="0"/>
    <n v="4.5"/>
    <n v="128"/>
    <s v="$100 +"/>
    <n v="1"/>
    <s v="Below Average"/>
    <n v="2"/>
    <x v="0"/>
    <s v="2020-04-13"/>
  </r>
  <r>
    <s v="CD2189-002"/>
    <s v="Nike Air Skarn"/>
    <x v="0"/>
    <n v="4.5"/>
    <n v="70"/>
    <s v="under $100"/>
    <n v="1"/>
    <s v="Below Average"/>
    <n v="2"/>
    <x v="2"/>
    <s v="2020-04-13"/>
  </r>
  <r>
    <s v="CK3309-001"/>
    <s v="Nike x Olivia Kim Air Max 98"/>
    <x v="0"/>
    <n v="4.5"/>
    <n v="112"/>
    <s v="$100 +"/>
    <n v="1"/>
    <s v="Below Average"/>
    <n v="2"/>
    <x v="2"/>
    <s v="2020-04-13"/>
  </r>
  <r>
    <s v="BQ6623-070"/>
    <s v="Jordan Proto-Max 720"/>
    <x v="0"/>
    <n v="4.4000000000000004"/>
    <n v="128"/>
    <s v="$100 +"/>
    <n v="2"/>
    <s v="Average +"/>
    <n v="36"/>
    <x v="0"/>
    <s v="2020-04-13"/>
  </r>
  <r>
    <s v="AO9819-001"/>
    <s v="Nike Odyssey React"/>
    <x v="0"/>
    <n v="4.4000000000000004"/>
    <n v="96"/>
    <s v="under $100"/>
    <n v="1"/>
    <s v="Average +"/>
    <n v="27"/>
    <x v="0"/>
    <s v="2020-04-13"/>
  </r>
  <r>
    <s v="AQ2731-500"/>
    <s v="Nike Joyride Run Flyknit"/>
    <x v="0"/>
    <n v="4.4000000000000004"/>
    <n v="120"/>
    <s v="$100 +"/>
    <n v="1"/>
    <s v="Average +"/>
    <n v="26"/>
    <x v="0"/>
    <s v="2020-04-13"/>
  </r>
  <r>
    <s v="528895-003"/>
    <s v="Air Jordan 11 Retro Low"/>
    <x v="0"/>
    <n v="4.4000000000000004"/>
    <n v="119"/>
    <s v="$100 +"/>
    <n v="1"/>
    <s v="Average +"/>
    <n v="25"/>
    <x v="2"/>
    <s v="2020-04-13"/>
  </r>
  <r>
    <s v="BQ4630-500"/>
    <s v="Kyrie 6 'Enlightenment'"/>
    <x v="0"/>
    <n v="4.4000000000000004"/>
    <n v="88"/>
    <s v="under $100"/>
    <n v="2"/>
    <s v="Average +"/>
    <n v="20"/>
    <x v="0"/>
    <s v="2020-04-13"/>
  </r>
  <r>
    <s v="BV0417-401"/>
    <s v="Nike Epic Phantom React Flyknit"/>
    <x v="0"/>
    <n v="4.4000000000000004"/>
    <n v="78"/>
    <s v="under $100"/>
    <n v="1"/>
    <s v="Average +"/>
    <n v="12"/>
    <x v="1"/>
    <s v="2020-04-13"/>
  </r>
  <r>
    <s v="CJ2586-100"/>
    <s v="Nike Cortez '72 S.D."/>
    <x v="0"/>
    <n v="4.4000000000000004"/>
    <n v="48"/>
    <s v="$50 and under"/>
    <n v="1"/>
    <s v="Average +"/>
    <n v="9"/>
    <x v="1"/>
    <s v="2020-04-13"/>
  </r>
  <r>
    <s v="AV4789-104"/>
    <s v="Nike M2K Tekno"/>
    <x v="0"/>
    <n v="4.4000000000000004"/>
    <n v="72"/>
    <s v="under $100"/>
    <n v="1"/>
    <s v="Below Average"/>
    <n v="7"/>
    <x v="0"/>
    <s v="2020-04-13"/>
  </r>
  <r>
    <s v="CU5133-600"/>
    <s v="LeBron 7"/>
    <x v="0"/>
    <n v="4.4000000000000004"/>
    <n v="136"/>
    <s v="$100 +"/>
    <n v="1"/>
    <s v="Below Average"/>
    <n v="7"/>
    <x v="0"/>
    <s v="2020-04-13"/>
  </r>
  <r>
    <s v="AT8179-100"/>
    <s v="Nike Air DSVM"/>
    <x v="0"/>
    <n v="4.4000000000000004"/>
    <n v="96"/>
    <s v="under $100"/>
    <n v="1"/>
    <s v="Below Average"/>
    <n v="7"/>
    <x v="1"/>
    <s v="2020-04-13"/>
  </r>
  <r>
    <s v="AO2132-401"/>
    <s v="Nike Air Force 1 '07 Essential"/>
    <x v="0"/>
    <n v="4.4000000000000004"/>
    <n v="56"/>
    <s v="under $100"/>
    <n v="1"/>
    <s v="Below Average"/>
    <n v="5"/>
    <x v="2"/>
    <s v="2020-04-13"/>
  </r>
  <r>
    <s v="921826-016"/>
    <s v="Nike Air Max 97"/>
    <x v="0"/>
    <n v="4.3"/>
    <n v="119"/>
    <s v="$100 +"/>
    <n v="1"/>
    <s v="Average +"/>
    <n v="17"/>
    <x v="2"/>
    <s v="2020-04-13"/>
  </r>
  <r>
    <s v="AV5555-001"/>
    <s v="Nike React Ianga"/>
    <x v="0"/>
    <n v="4.3"/>
    <n v="88"/>
    <s v="under $100"/>
    <n v="1"/>
    <s v="Average +"/>
    <n v="9"/>
    <x v="0"/>
    <s v="2020-04-13"/>
  </r>
  <r>
    <s v="CD4365-003"/>
    <s v="Nike Joyride Dual Run"/>
    <x v="0"/>
    <n v="4.3"/>
    <n v="77"/>
    <s v="under $100"/>
    <n v="1"/>
    <s v="Below Average"/>
    <n v="3"/>
    <x v="2"/>
    <s v="2020-04-13"/>
  </r>
  <r>
    <s v="CQ2503-900"/>
    <s v="Nike Air Max Dia NRG"/>
    <x v="0"/>
    <n v="4.3"/>
    <n v="77"/>
    <s v="under $100"/>
    <n v="1"/>
    <s v="Below Average"/>
    <n v="3"/>
    <x v="2"/>
    <s v="2020-04-13"/>
  </r>
  <r>
    <s v="AO2924-401"/>
    <s v="Nike Air Max 720"/>
    <x v="0"/>
    <n v="4.2"/>
    <n v="128"/>
    <s v="$100 +"/>
    <n v="1"/>
    <s v="Average +"/>
    <n v="62"/>
    <x v="0"/>
    <s v="2020-04-13"/>
  </r>
  <r>
    <s v="BQ8927-102"/>
    <s v="Nike Epic React Flyknit 2"/>
    <x v="0"/>
    <n v="4.2"/>
    <n v="104"/>
    <s v="$100 +"/>
    <n v="1"/>
    <s v="Average +"/>
    <n v="45"/>
    <x v="0"/>
    <s v="2020-04-13"/>
  </r>
  <r>
    <s v="AT6174-004"/>
    <s v="Nike Air Max 270 React"/>
    <x v="0"/>
    <n v="4.2"/>
    <n v="78"/>
    <s v="under $100"/>
    <n v="1"/>
    <s v="Average +"/>
    <n v="30"/>
    <x v="1"/>
    <s v="2020-04-13"/>
  </r>
  <r>
    <s v="812654-011"/>
    <s v="Nike Tanjun"/>
    <x v="0"/>
    <n v="4.2"/>
    <n v="34"/>
    <s v="$50 and under"/>
    <n v="1"/>
    <s v="Average +"/>
    <n v="25"/>
    <x v="2"/>
    <s v="2020-04-13"/>
  </r>
  <r>
    <s v="AQ1316-500"/>
    <s v="Nike Free RN 5.0"/>
    <x v="0"/>
    <n v="4.2"/>
    <n v="48"/>
    <s v="$50 and under"/>
    <n v="1"/>
    <s v="Average +"/>
    <n v="13"/>
    <x v="1"/>
    <s v="2020-04-13"/>
  </r>
  <r>
    <s v="923112-001"/>
    <s v="Nike SB Bruin High"/>
    <x v="0"/>
    <n v="4.2"/>
    <n v="56"/>
    <s v="under $100"/>
    <n v="2"/>
    <s v="Average +"/>
    <n v="12"/>
    <x v="2"/>
    <s v="2020-04-13"/>
  </r>
  <r>
    <s v="487471-003"/>
    <s v="Air Jordan 14 Retro"/>
    <x v="0"/>
    <n v="4.2"/>
    <n v="144"/>
    <s v="$100 +"/>
    <n v="1"/>
    <s v="Average +"/>
    <n v="12"/>
    <x v="0"/>
    <s v="2020-04-13"/>
  </r>
  <r>
    <s v="AR4225-003"/>
    <s v="LeBron Soldier 13 SFG"/>
    <x v="0"/>
    <n v="4.2"/>
    <n v="96"/>
    <s v="under $100"/>
    <n v="1"/>
    <s v="Below Average"/>
    <n v="6"/>
    <x v="0"/>
    <s v="2020-04-13"/>
  </r>
  <r>
    <s v="AR4225-100"/>
    <s v="LeBron Soldier 13 SFG"/>
    <x v="0"/>
    <n v="4.2"/>
    <n v="96"/>
    <s v="under $100"/>
    <n v="1"/>
    <s v="Below Average"/>
    <n v="6"/>
    <x v="0"/>
    <s v="2020-04-13"/>
  </r>
  <r>
    <s v="BQ8928-011"/>
    <s v="Nike Epic React Flyknit 2"/>
    <x v="0"/>
    <n v="4.0999999999999996"/>
    <n v="104"/>
    <s v="$100 +"/>
    <n v="1"/>
    <s v="Average +"/>
    <n v="72"/>
    <x v="0"/>
    <s v="2020-04-13"/>
  </r>
  <r>
    <s v="CK2630-700"/>
    <s v="Nike Air Force 1 GORE-TEX ¬Æ"/>
    <x v="0"/>
    <n v="4.0999999999999996"/>
    <n v="91"/>
    <s v="under $100"/>
    <n v="1"/>
    <s v="Average +"/>
    <n v="18"/>
    <x v="2"/>
    <s v="2020-04-13"/>
  </r>
  <r>
    <s v="CK2630-001"/>
    <s v="Nike Air Force 1 GORE-TEX ¬Æ"/>
    <x v="0"/>
    <n v="4.0999999999999996"/>
    <n v="104"/>
    <s v="$100 +"/>
    <n v="1"/>
    <s v="Average +"/>
    <n v="18"/>
    <x v="0"/>
    <s v="2020-04-13"/>
  </r>
  <r>
    <s v="AQ8830-016"/>
    <s v="Air Jordan XXXIII"/>
    <x v="0"/>
    <n v="4.0999999999999996"/>
    <n v="152"/>
    <s v="$100 +"/>
    <n v="1"/>
    <s v="Average +"/>
    <n v="17"/>
    <x v="0"/>
    <s v="2020-04-13"/>
  </r>
  <r>
    <s v="AQ5708-201"/>
    <s v="Nike Free RN Flyknit 3.0"/>
    <x v="0"/>
    <n v="4.0999999999999996"/>
    <n v="66"/>
    <s v="under $100"/>
    <n v="1"/>
    <s v="Average +"/>
    <n v="13"/>
    <x v="1"/>
    <s v="2020-04-13"/>
  </r>
  <r>
    <s v="BQ1896-002"/>
    <s v="Nike Zoom Pegasus Turbo Shield"/>
    <x v="0"/>
    <n v="4.0999999999999996"/>
    <n v="126"/>
    <s v="$100 +"/>
    <n v="1"/>
    <s v="Average +"/>
    <n v="11"/>
    <x v="2"/>
    <s v="2020-04-13"/>
  </r>
  <r>
    <s v="640744-016"/>
    <s v="Nike Air Max 98"/>
    <x v="0"/>
    <n v="4.0999999999999996"/>
    <n v="102"/>
    <s v="$100 +"/>
    <n v="1"/>
    <s v="Average +"/>
    <n v="9"/>
    <x v="1"/>
    <s v="2020-04-13"/>
  </r>
  <r>
    <s v="618919-031"/>
    <s v="Nike Benassi JDI Floral"/>
    <x v="0"/>
    <n v="4.0999999999999996"/>
    <n v="24"/>
    <s v="$50 and under"/>
    <n v="1"/>
    <s v="Average +"/>
    <n v="8"/>
    <x v="0"/>
    <s v="2020-04-13"/>
  </r>
  <r>
    <s v="AO9820-001"/>
    <s v="Nike Odyssey React"/>
    <x v="0"/>
    <n v="4.0999999999999996"/>
    <n v="96"/>
    <s v="under $100"/>
    <n v="1"/>
    <s v="Average +"/>
    <n v="8"/>
    <x v="0"/>
    <s v="2020-04-13"/>
  </r>
  <r>
    <s v="812655-011"/>
    <s v="Nike Tanjun"/>
    <x v="0"/>
    <n v="4"/>
    <n v="40"/>
    <s v="$50 and under"/>
    <n v="1"/>
    <s v="Average +"/>
    <n v="53"/>
    <x v="0"/>
    <s v="2020-04-13"/>
  </r>
  <r>
    <s v="AO2607-401"/>
    <s v="PG 3"/>
    <x v="0"/>
    <n v="4"/>
    <n v="72"/>
    <s v="under $100"/>
    <n v="2"/>
    <s v="Average +"/>
    <n v="38"/>
    <x v="0"/>
    <s v="2020-04-13"/>
  </r>
  <r>
    <s v="AH1015-010"/>
    <s v="Nike Odyssey React Flyknit 2"/>
    <x v="0"/>
    <n v="4"/>
    <n v="70"/>
    <s v="under $100"/>
    <n v="1"/>
    <s v="Average +"/>
    <n v="25"/>
    <x v="2"/>
    <s v="2020-04-13"/>
  </r>
  <r>
    <s v="AO3258-080"/>
    <s v="Nike Phantom Vision Academy Dynamic Fit MG"/>
    <x v="0"/>
    <n v="4"/>
    <n v="59"/>
    <s v="under $100"/>
    <n v="2"/>
    <s v="Average +"/>
    <n v="10"/>
    <x v="2"/>
    <s v="2020-04-13"/>
  </r>
  <r>
    <s v="AT6395-002"/>
    <s v="Nike Joyride CC3 Setter"/>
    <x v="0"/>
    <n v="4"/>
    <n v="105"/>
    <s v="$100 +"/>
    <n v="1"/>
    <s v="Below Average"/>
    <n v="6"/>
    <x v="2"/>
    <s v="2020-04-13"/>
  </r>
  <r>
    <s v="BV1134-001"/>
    <s v="Nike Zoom Pegasus Turbo 2 Rise"/>
    <x v="0"/>
    <n v="4"/>
    <n v="96"/>
    <s v="under $100"/>
    <n v="1"/>
    <s v="Below Average"/>
    <n v="5"/>
    <x v="1"/>
    <s v="2020-04-13"/>
  </r>
  <r>
    <s v="BQ5467-101"/>
    <s v="Nike Zoom Rise"/>
    <x v="0"/>
    <n v="4"/>
    <n v="84"/>
    <s v="under $100"/>
    <n v="2"/>
    <s v="Below Average"/>
    <n v="4"/>
    <x v="2"/>
    <s v="2020-04-13"/>
  </r>
  <r>
    <s v="AO3269-717"/>
    <s v="Nike Phantom Vision Academy Dynamic Fit TF"/>
    <x v="0"/>
    <n v="4"/>
    <n v="59"/>
    <s v="under $100"/>
    <n v="1"/>
    <s v="Below Average"/>
    <n v="3"/>
    <x v="2"/>
    <s v="2020-04-13"/>
  </r>
  <r>
    <s v="CI3831-200"/>
    <s v="Nike React Element 55 SE"/>
    <x v="0"/>
    <n v="4"/>
    <n v="66"/>
    <s v="under $100"/>
    <n v="1"/>
    <s v="Below Average"/>
    <n v="1"/>
    <x v="1"/>
    <s v="2020-04-13"/>
  </r>
  <r>
    <s v="CD6964-002"/>
    <s v="Nike React Element 55 Premium"/>
    <x v="0"/>
    <n v="4"/>
    <n v="72"/>
    <s v="under $100"/>
    <n v="1"/>
    <s v="Below Average"/>
    <n v="1"/>
    <x v="1"/>
    <s v="2020-04-13"/>
  </r>
  <r>
    <s v="AO4971-700"/>
    <s v="Nike Air Max 270 React"/>
    <x v="1"/>
    <n v="3.9"/>
    <n v="78"/>
    <s v="under $100"/>
    <n v="1"/>
    <s v="Average +"/>
    <n v="33"/>
    <x v="1"/>
    <s v="2020-04-13"/>
  </r>
  <r>
    <s v="AQ1289-003"/>
    <s v="Nike Free RN 5.0"/>
    <x v="1"/>
    <n v="3.9"/>
    <n v="56"/>
    <s v="under $100"/>
    <n v="1"/>
    <s v="Average +"/>
    <n v="25"/>
    <x v="2"/>
    <s v="2020-04-13"/>
  </r>
  <r>
    <s v="AQ5707-001"/>
    <s v="Nike Free RN Flyknit 3.0"/>
    <x v="1"/>
    <n v="3.9"/>
    <n v="77"/>
    <s v="under $100"/>
    <n v="1"/>
    <s v="Average +"/>
    <n v="10"/>
    <x v="2"/>
    <s v="2020-04-13"/>
  </r>
  <r>
    <s v="AR6631-004"/>
    <s v="Nike Air VaporMax 2019"/>
    <x v="1"/>
    <n v="3.8"/>
    <n v="128"/>
    <s v="$100 +"/>
    <n v="1"/>
    <s v="Average +"/>
    <n v="24"/>
    <x v="0"/>
    <s v="2020-04-13"/>
  </r>
  <r>
    <s v="366731-100"/>
    <s v="Nike Air Force 1 Mid '07"/>
    <x v="1"/>
    <n v="3.8"/>
    <n v="63"/>
    <s v="under $100"/>
    <n v="1"/>
    <s v="Below Average"/>
    <n v="4"/>
    <x v="0"/>
    <s v="2020-04-13"/>
  </r>
  <r>
    <s v="BQ6166-003"/>
    <s v="Nike React Element 55"/>
    <x v="1"/>
    <n v="3.7"/>
    <n v="72"/>
    <s v="under $100"/>
    <n v="1"/>
    <s v="Average +"/>
    <n v="31"/>
    <x v="1"/>
    <s v="2020-04-13"/>
  </r>
  <r>
    <s v="AV2605-101"/>
    <s v="Nike React Presto"/>
    <x v="1"/>
    <n v="3.7"/>
    <n v="60"/>
    <s v="under $100"/>
    <n v="1"/>
    <s v="Average +"/>
    <n v="27"/>
    <x v="1"/>
    <s v="2020-04-13"/>
  </r>
  <r>
    <s v="CI2666-400"/>
    <s v="PG 3 NASA"/>
    <x v="1"/>
    <n v="3.7"/>
    <n v="80"/>
    <s v="under $100"/>
    <n v="2"/>
    <s v="Average +"/>
    <n v="22"/>
    <x v="0"/>
    <s v="2020-04-13"/>
  </r>
  <r>
    <s v="BV6344-001"/>
    <s v="Nike ACG React Terra Gobe"/>
    <x v="1"/>
    <n v="3.7"/>
    <n v="78"/>
    <s v="under $100"/>
    <n v="1"/>
    <s v="Average +"/>
    <n v="19"/>
    <x v="1"/>
    <s v="2020-04-13"/>
  </r>
  <r>
    <s v="BQ3203-007"/>
    <s v="Nike Zoom Gravity"/>
    <x v="1"/>
    <n v="3.7"/>
    <n v="64"/>
    <s v="under $100"/>
    <n v="1"/>
    <s v="Average +"/>
    <n v="18"/>
    <x v="0"/>
    <s v="2020-04-13"/>
  </r>
  <r>
    <s v="AO1741-003"/>
    <s v="Nike Air Max2 Light"/>
    <x v="1"/>
    <n v="3.7"/>
    <n v="84"/>
    <s v="under $100"/>
    <n v="1"/>
    <s v="Below Average"/>
    <n v="3"/>
    <x v="2"/>
    <s v="2020-04-13"/>
  </r>
  <r>
    <s v="CJ6971-001"/>
    <s v="Nike x Undercover React"/>
    <x v="1"/>
    <n v="3.7"/>
    <n v="136"/>
    <s v="$100 +"/>
    <n v="1"/>
    <s v="Below Average"/>
    <n v="3"/>
    <x v="0"/>
    <s v="2020-04-13"/>
  </r>
  <r>
    <s v="CI1246-302"/>
    <s v="Nike Air VaporMax SE"/>
    <x v="1"/>
    <n v="3.7"/>
    <n v="102"/>
    <s v="$100 +"/>
    <n v="1"/>
    <s v="Below Average"/>
    <n v="3"/>
    <x v="1"/>
    <s v="2020-04-13"/>
  </r>
  <r>
    <s v="807443-503"/>
    <s v="Nike Air Max 95 Premium"/>
    <x v="1"/>
    <n v="3.7"/>
    <n v="136"/>
    <s v="$100 +"/>
    <n v="1"/>
    <s v="Below Average"/>
    <n v="3"/>
    <x v="0"/>
    <s v="2020-04-13"/>
  </r>
  <r>
    <s v="AA1636-406"/>
    <s v="Nike Air Zoom Structure 22"/>
    <x v="1"/>
    <n v="3.6"/>
    <n v="70"/>
    <s v="under $100"/>
    <n v="1"/>
    <s v="Average +"/>
    <n v="10"/>
    <x v="2"/>
    <s v="2020-04-13"/>
  </r>
  <r>
    <s v="AA0287-002"/>
    <s v="Nike Air Force 1 '07 SE"/>
    <x v="1"/>
    <n v="3.6"/>
    <n v="68"/>
    <s v="under $100"/>
    <n v="1"/>
    <s v="Below Average"/>
    <n v="5"/>
    <x v="0"/>
    <s v="2020-04-13"/>
  </r>
  <r>
    <s v="325213-139"/>
    <s v="Nike Air Max 90"/>
    <x v="1"/>
    <n v="3.6"/>
    <n v="76"/>
    <s v="under $100"/>
    <n v="1"/>
    <s v="Below Average"/>
    <n v="5"/>
    <x v="0"/>
    <s v="2020-04-13"/>
  </r>
  <r>
    <s v="AR6632-603"/>
    <s v="Nike Air VaporMax 2019"/>
    <x v="1"/>
    <n v="3.5"/>
    <n v="96"/>
    <s v="under $100"/>
    <n v="1"/>
    <s v="Average +"/>
    <n v="11"/>
    <x v="1"/>
    <s v="2020-04-13"/>
  </r>
  <r>
    <s v="AO3189-600"/>
    <s v="Nike Air Max FF 720"/>
    <x v="1"/>
    <n v="3.5"/>
    <n v="133"/>
    <s v="$100 +"/>
    <n v="1"/>
    <s v="Below Average"/>
    <n v="6"/>
    <x v="2"/>
    <s v="2020-04-13"/>
  </r>
  <r>
    <s v="AH1016-602"/>
    <s v="Nike Odyssey React Flyknit 2"/>
    <x v="1"/>
    <n v="3.4"/>
    <n v="60"/>
    <s v="under $100"/>
    <n v="1"/>
    <s v="Average +"/>
    <n v="26"/>
    <x v="1"/>
    <s v="2020-04-13"/>
  </r>
  <r>
    <s v="AQ8306-407"/>
    <s v="Nike Free X Metcon 2"/>
    <x v="1"/>
    <n v="3.4"/>
    <n v="80"/>
    <s v="under $100"/>
    <n v="1"/>
    <s v="Average +"/>
    <n v="23"/>
    <x v="0"/>
    <s v="2020-04-13"/>
  </r>
  <r>
    <s v="AO3116-004"/>
    <s v="Nike Air Wildwood ACG"/>
    <x v="1"/>
    <n v="3.4"/>
    <n v="54"/>
    <s v="under $100"/>
    <n v="1"/>
    <s v="Below Average"/>
    <n v="7"/>
    <x v="1"/>
    <s v="2020-04-13"/>
  </r>
  <r>
    <s v="AA7408-008"/>
    <s v="Nike Flex RN 2018"/>
    <x v="1"/>
    <n v="3.2"/>
    <n v="60"/>
    <s v="under $100"/>
    <n v="1"/>
    <s v="Average +"/>
    <n v="15"/>
    <x v="0"/>
    <s v="2020-04-13"/>
  </r>
  <r>
    <s v="CD0917-300"/>
    <s v="Nike Air Max 90"/>
    <x v="1"/>
    <n v="3.2"/>
    <n v="72"/>
    <s v="under $100"/>
    <n v="1"/>
    <s v="Below Average"/>
    <n v="5"/>
    <x v="1"/>
    <s v="2020-04-13"/>
  </r>
  <r>
    <s v="AA7406-006"/>
    <s v="Nike Air Zoom Winflo 5"/>
    <x v="1"/>
    <n v="3"/>
    <n v="64"/>
    <s v="under $100"/>
    <n v="1"/>
    <s v="Below Average"/>
    <n v="6"/>
    <x v="0"/>
    <s v="2020-04-13"/>
  </r>
  <r>
    <s v="BV1357-003"/>
    <s v="Nike Air Max Tailwind IV SP"/>
    <x v="1"/>
    <n v="3"/>
    <n v="96"/>
    <s v="under $100"/>
    <n v="1"/>
    <s v="Below Average"/>
    <n v="5"/>
    <x v="1"/>
    <s v="2020-04-13"/>
  </r>
  <r>
    <s v="CD2182-001"/>
    <s v="Nike ISPA Air Max 720"/>
    <x v="1"/>
    <n v="3"/>
    <n v="144"/>
    <s v="$100 +"/>
    <n v="1"/>
    <s v="Below Average"/>
    <n v="4"/>
    <x v="0"/>
    <s v="2020-04-13"/>
  </r>
  <r>
    <s v="BV0614-005"/>
    <s v="Nike Air Zoom Pegasus 36 FlyEase"/>
    <x v="1"/>
    <n v="3"/>
    <n v="80"/>
    <s v="under $100"/>
    <n v="1"/>
    <s v="Below Average"/>
    <n v="4"/>
    <x v="0"/>
    <s v="2020-04-13"/>
  </r>
  <r>
    <s v="AH7249-118"/>
    <s v="Nike TiempoX Lunar Legend VII Pro TF"/>
    <x v="1"/>
    <n v="3"/>
    <n v="72"/>
    <s v="under $100"/>
    <n v="2"/>
    <s v="Below Average"/>
    <n v="2"/>
    <x v="0"/>
    <s v="2020-04-13"/>
  </r>
  <r>
    <s v="BQ3378-002"/>
    <s v="Nike M2K Tekno"/>
    <x v="1"/>
    <n v="3"/>
    <n v="72"/>
    <s v="under $100"/>
    <n v="1"/>
    <s v="Below Average"/>
    <n v="1"/>
    <x v="0"/>
    <s v="2020-04-13"/>
  </r>
  <r>
    <s v="BQ5401-001"/>
    <s v="Nike AlphaDunk"/>
    <x v="2"/>
    <n v="2.9"/>
    <n v="112"/>
    <s v="$100 +"/>
    <n v="1"/>
    <s v="Average +"/>
    <n v="12"/>
    <x v="2"/>
    <s v="2020-04-13"/>
  </r>
  <r>
    <s v="AH7858-010"/>
    <s v="Nike Air Zoom Vomero 14"/>
    <x v="2"/>
    <n v="2.8"/>
    <n v="96"/>
    <s v="under $100"/>
    <n v="1"/>
    <s v="Average +"/>
    <n v="11"/>
    <x v="0"/>
    <s v="2020-04-13"/>
  </r>
  <r>
    <s v="BV7766-100"/>
    <s v="Nike Zoom Pegasus Turbo 2"/>
    <x v="2"/>
    <n v="2.7"/>
    <n v="128"/>
    <s v="$100 +"/>
    <n v="1"/>
    <s v="Below Average"/>
    <n v="3"/>
    <x v="0"/>
    <s v="2020-04-13"/>
  </r>
  <r>
    <s v="AT5303-100"/>
    <s v="Nike Signal D/MS/X"/>
    <x v="2"/>
    <n v="2.7"/>
    <n v="77"/>
    <s v="under $100"/>
    <n v="1"/>
    <s v="Below Average"/>
    <n v="3"/>
    <x v="2"/>
    <s v="2020-04-13"/>
  </r>
  <r>
    <s v="918194-003"/>
    <s v="NikeCourt Air Zoom Resistance"/>
    <x v="2"/>
    <n v="2.5"/>
    <n v="56"/>
    <s v="under $100"/>
    <n v="1"/>
    <s v="Below Average"/>
    <n v="6"/>
    <x v="0"/>
    <s v="2020-04-13"/>
  </r>
  <r>
    <s v="AT3381-008"/>
    <s v="Jordan Proto-Lyte"/>
    <x v="2"/>
    <n v="2.4"/>
    <n v="64"/>
    <s v="under $100"/>
    <n v="1"/>
    <s v="Below Average"/>
    <n v="5"/>
    <x v="0"/>
    <s v="2020-04-13"/>
  </r>
  <r>
    <s v="AT6110-004"/>
    <s v="Nike Tiempo Legend 8 Club IC"/>
    <x v="2"/>
    <n v="2"/>
    <n v="31"/>
    <s v="$50 and under"/>
    <n v="2"/>
    <s v="Below Average"/>
    <n v="2"/>
    <x v="2"/>
    <s v="2020-04-13"/>
  </r>
  <r>
    <s v="AT5292-004"/>
    <s v="Nike Tiempo Legend 8 Academy MG"/>
    <x v="2"/>
    <n v="2"/>
    <n v="45"/>
    <s v="$50 and under"/>
    <n v="1"/>
    <s v="Below Average"/>
    <n v="1"/>
    <x v="2"/>
    <s v="2020-04-13"/>
  </r>
  <r>
    <s v="749747-010"/>
    <s v="NikeCourt Royale"/>
    <x v="2"/>
    <n v="1.5"/>
    <n v="36"/>
    <s v="$50 and under"/>
    <n v="1"/>
    <s v="Below Average"/>
    <n v="2"/>
    <x v="0"/>
    <s v="2020-04-13"/>
  </r>
  <r>
    <s v="CI1214-004"/>
    <s v="Nike Air Max Dia LX"/>
    <x v="2"/>
    <n v="1"/>
    <n v="80"/>
    <s v="under $100"/>
    <n v="1"/>
    <s v="Below Average"/>
    <n v="1"/>
    <x v="0"/>
    <s v="2020-04-13"/>
  </r>
  <r>
    <s v="AO3424-001"/>
    <s v="Nike Free TR Ultra"/>
    <x v="2"/>
    <n v="1"/>
    <n v="64"/>
    <s v="under $100"/>
    <n v="1"/>
    <s v="Below Average"/>
    <n v="1"/>
    <x v="0"/>
    <s v="2020-04-13"/>
  </r>
  <r>
    <s v="AR4347-600"/>
    <s v="Nike Zoom Pegasus Turbo XX"/>
    <x v="2"/>
    <n v="1"/>
    <n v="136"/>
    <s v="$100 +"/>
    <n v="1"/>
    <s v="Below Average"/>
    <n v="1"/>
    <x v="0"/>
    <s v="2020-04-13"/>
  </r>
  <r>
    <s v="CI2668-004"/>
    <s v="LeBron 16 Low"/>
    <x v="0"/>
    <n v="4.7"/>
    <n v="112"/>
    <s v="$100 +"/>
    <n v="2"/>
    <s v="Average +"/>
    <n v="17"/>
    <x v="0"/>
    <s v="2020-04-13"/>
  </r>
  <r>
    <s v="CT5528-001"/>
    <s v="Nike Air Max 270 React"/>
    <x v="2"/>
    <n v="0"/>
    <n v="90"/>
    <s v="under $100"/>
    <n v="1"/>
    <s v="Below Average"/>
    <n v="0"/>
    <x v="1"/>
    <s v="2020-04-13"/>
  </r>
  <r>
    <s v="CT2535-001"/>
    <s v="Nike Air Max 270 React"/>
    <x v="2"/>
    <n v="0"/>
    <n v="90"/>
    <s v="under $100"/>
    <n v="1"/>
    <s v="Below Average"/>
    <n v="0"/>
    <x v="1"/>
    <s v="2020-04-13"/>
  </r>
  <r>
    <s v="BV7774-100"/>
    <s v="Nike Free RN 5.0"/>
    <x v="2"/>
    <n v="0"/>
    <n v="63"/>
    <s v="under $100"/>
    <n v="1"/>
    <s v="Below Average"/>
    <n v="0"/>
    <x v="2"/>
    <s v="2020-04-13"/>
  </r>
  <r>
    <s v="CI3707-100"/>
    <s v="Nike Joyride Run FlyKnit"/>
    <x v="2"/>
    <n v="0"/>
    <n v="120"/>
    <s v="$100 +"/>
    <n v="1"/>
    <s v="Below Average"/>
    <n v="0"/>
    <x v="3"/>
    <s v="2020-04-13"/>
  </r>
  <r>
    <s v="AH7378-801"/>
    <s v="Nike Mercurial Vapor XII Club MG"/>
    <x v="2"/>
    <n v="0"/>
    <n v="40"/>
    <s v="$50 and under"/>
    <n v="2"/>
    <s v="Below Average"/>
    <n v="0"/>
    <x v="0"/>
    <s v="2020-04-13"/>
  </r>
  <r>
    <s v="AT7999-414"/>
    <s v="Nike Mercurial Vapor 13 Club TF"/>
    <x v="2"/>
    <n v="0"/>
    <n v="35"/>
    <s v="$50 and under"/>
    <n v="2"/>
    <s v="Below Average"/>
    <n v="0"/>
    <x v="2"/>
    <s v="2020-04-13"/>
  </r>
  <r>
    <s v="AO0578-717"/>
    <s v="Nike Phantom Venom Club IC"/>
    <x v="2"/>
    <n v="0"/>
    <n v="35"/>
    <s v="$50 and under"/>
    <n v="2"/>
    <s v="Below Average"/>
    <n v="0"/>
    <x v="2"/>
    <s v="2020-04-13"/>
  </r>
  <r>
    <s v="CJ1300-401"/>
    <s v="Nike Mercurial Vapor 13 Academy MDS IC"/>
    <x v="2"/>
    <n v="0"/>
    <n v="52"/>
    <s v="under $100"/>
    <n v="2"/>
    <s v="Below Average"/>
    <n v="0"/>
    <x v="2"/>
    <s v="2020-04-13"/>
  </r>
  <r>
    <s v="AO0570-810"/>
    <s v="Nike Phantom Venom Academy IC"/>
    <x v="2"/>
    <n v="0"/>
    <n v="52"/>
    <s v="under $100"/>
    <n v="2"/>
    <s v="Below Average"/>
    <n v="0"/>
    <x v="2"/>
    <s v="2020-04-13"/>
  </r>
  <r>
    <s v="AO0577-717"/>
    <s v="Nike PhantomVNM Club FG"/>
    <x v="2"/>
    <n v="0"/>
    <n v="35"/>
    <s v="$50 and under"/>
    <n v="2"/>
    <s v="Below Average"/>
    <n v="0"/>
    <x v="2"/>
    <s v="2020-04-13"/>
  </r>
  <r>
    <s v="BQ5430-401"/>
    <s v="Nike Mercurial Superfly 7 Academy MDS IC"/>
    <x v="2"/>
    <n v="0"/>
    <n v="63"/>
    <s v="under $100"/>
    <n v="2"/>
    <s v="Below Average"/>
    <n v="0"/>
    <x v="2"/>
    <s v="2020-04-13"/>
  </r>
  <r>
    <s v="CJ1292-401"/>
    <s v="Nike Mercurial Vapor 13 Academy MDS MG"/>
    <x v="2"/>
    <n v="0"/>
    <n v="52"/>
    <s v="under $100"/>
    <n v="1"/>
    <s v="Below Average"/>
    <n v="0"/>
    <x v="2"/>
    <s v="2020-04-13"/>
  </r>
  <r>
    <s v="CJ1306-401"/>
    <s v="Nike Mercurial Vapor 13 Academy MDS TF"/>
    <x v="2"/>
    <n v="0"/>
    <n v="52"/>
    <s v="under $100"/>
    <n v="2"/>
    <s v="Below Average"/>
    <n v="0"/>
    <x v="2"/>
    <s v="2020-04-13"/>
  </r>
  <r>
    <s v="CQ6569-001"/>
    <s v="Nike Air Max Tailwind 99"/>
    <x v="2"/>
    <n v="0"/>
    <n v="112"/>
    <s v="$100 +"/>
    <n v="1"/>
    <s v="Below Average"/>
    <n v="0"/>
    <x v="2"/>
    <s v="2020-04-13"/>
  </r>
  <r>
    <s v="CI3703-401"/>
    <s v="Nike Air Max 2 Light"/>
    <x v="2"/>
    <n v="0"/>
    <n v="96"/>
    <s v="under $100"/>
    <n v="1"/>
    <s v="Below Average"/>
    <n v="0"/>
    <x v="0"/>
    <s v="2020-04-13"/>
  </r>
  <r>
    <s v="CI3706-100"/>
    <s v="Nike Joyride Flyknit AW"/>
    <x v="2"/>
    <n v="0"/>
    <n v="120"/>
    <s v="$100 +"/>
    <n v="1"/>
    <s v="Below Average"/>
    <n v="0"/>
    <x v="3"/>
    <s v="2020-04-13"/>
  </r>
  <r>
    <s v="CK4126-001"/>
    <s v="Nike Air Max 270 React LX"/>
    <x v="2"/>
    <n v="0"/>
    <n v="84"/>
    <s v="under $100"/>
    <n v="1"/>
    <s v="Below Average"/>
    <n v="0"/>
    <x v="1"/>
    <s v="2020-04-13"/>
  </r>
  <r>
    <s v="BQ5808-100"/>
    <s v="Nike Air Max 720 Horizon"/>
    <x v="2"/>
    <n v="0"/>
    <n v="160"/>
    <s v="$100 +"/>
    <n v="1"/>
    <s v="Below Average"/>
    <n v="0"/>
    <x v="0"/>
    <s v="2020-04-13"/>
  </r>
  <r>
    <s v="CK5669-400"/>
    <s v="Nike Air Max 95 SP"/>
    <x v="2"/>
    <n v="0"/>
    <n v="112"/>
    <s v="$100 +"/>
    <n v="1"/>
    <s v="Below Average"/>
    <n v="0"/>
    <x v="2"/>
    <s v="2020-04-13"/>
  </r>
  <r>
    <s v="CK5668-600"/>
    <s v="Nike Air Max 200 SP"/>
    <x v="2"/>
    <n v="0"/>
    <n v="84"/>
    <s v="under $100"/>
    <n v="1"/>
    <s v="Below Average"/>
    <n v="0"/>
    <x v="2"/>
    <s v="2020-04-13"/>
  </r>
  <r>
    <s v="CD6404-800"/>
    <s v="Nike P-6000"/>
    <x v="2"/>
    <n v="0"/>
    <n v="48"/>
    <s v="$50 and under"/>
    <n v="1"/>
    <s v="Below Average"/>
    <n v="0"/>
    <x v="1"/>
    <s v="2020-04-13"/>
  </r>
  <r>
    <s v="CI3705-600"/>
    <s v="Nike Air Max 95 Essential"/>
    <x v="2"/>
    <n v="0"/>
    <n v="112"/>
    <s v="$100 +"/>
    <n v="1"/>
    <s v="Below Average"/>
    <n v="0"/>
    <x v="0"/>
    <s v="2020-04-13"/>
  </r>
  <r>
    <s v="CK0986-002"/>
    <s v="Nike Benassi JDI SE"/>
    <x v="2"/>
    <n v="0"/>
    <n v="21"/>
    <s v="$50 and under"/>
    <n v="1"/>
    <s v="Below Average"/>
    <n v="0"/>
    <x v="2"/>
    <s v="2020-04-13"/>
  </r>
  <r>
    <s v="CI1504-100"/>
    <s v="Nike Air Max 97 On Air Jasmine Lasode"/>
    <x v="2"/>
    <n v="0"/>
    <n v="136"/>
    <s v="$100 +"/>
    <n v="1"/>
    <s v="Below Average"/>
    <n v="0"/>
    <x v="0"/>
    <s v="2020-04-13"/>
  </r>
  <r>
    <s v="BV1712-001"/>
    <s v="Nike Air VaporMax LX"/>
    <x v="2"/>
    <n v="0"/>
    <n v="119"/>
    <s v="$100 +"/>
    <n v="1"/>
    <s v="Below Average"/>
    <n v="0"/>
    <x v="2"/>
    <s v="2020-04-13"/>
  </r>
  <r>
    <s v="CK0089-100"/>
    <s v="Nike Epic Phantom React Flyknit Icon Clash"/>
    <x v="2"/>
    <n v="0"/>
    <n v="98"/>
    <s v="under $100"/>
    <n v="1"/>
    <s v="Below Average"/>
    <n v="0"/>
    <x v="2"/>
    <s v="2020-04-13"/>
  </r>
  <r>
    <s v="BQ3610-100"/>
    <s v="Nike Vandalised"/>
    <x v="2"/>
    <n v="0"/>
    <n v="77"/>
    <s v="under $100"/>
    <n v="1"/>
    <s v="Below Average"/>
    <n v="0"/>
    <x v="2"/>
    <s v="2020-04-13"/>
  </r>
  <r>
    <s v="AJ6844-007"/>
    <s v="Nike Joyride Optik"/>
    <x v="2"/>
    <n v="0"/>
    <n v="112"/>
    <s v="$100 +"/>
    <n v="1"/>
    <s v="Below Average"/>
    <n v="0"/>
    <x v="2"/>
    <s v="2020-04-13"/>
  </r>
  <r>
    <s v="BQ5613-001"/>
    <s v="Nike Air Max 98 NRG"/>
    <x v="2"/>
    <n v="0"/>
    <n v="112"/>
    <s v="$100 +"/>
    <n v="1"/>
    <s v="Below Average"/>
    <n v="0"/>
    <x v="2"/>
    <s v="2020-04-13"/>
  </r>
  <r>
    <s v="AT7993-414"/>
    <s v="Nike Mercurial Vapor 13 Academy IC"/>
    <x v="2"/>
    <n v="0"/>
    <n v="52"/>
    <s v="under $100"/>
    <n v="2"/>
    <s v="Below Average"/>
    <n v="0"/>
    <x v="2"/>
    <s v="2020-04-13"/>
  </r>
  <r>
    <s v="AQ7488-004"/>
    <s v="Nike Flex Contact 3"/>
    <x v="2"/>
    <n v="0"/>
    <n v="42"/>
    <s v="$50 and under"/>
    <n v="1"/>
    <s v="Below Average"/>
    <n v="0"/>
    <x v="2"/>
    <s v="2020-04-13"/>
  </r>
  <r>
    <s v="BV7754-001"/>
    <s v="Nike React City"/>
    <x v="2"/>
    <n v="0"/>
    <n v="98"/>
    <s v="under $100"/>
    <n v="1"/>
    <s v="Below Average"/>
    <n v="0"/>
    <x v="2"/>
    <s v="2020-04-13"/>
  </r>
  <r>
    <s v="AR5149-005"/>
    <s v="Air Jordan 11 Low"/>
    <x v="2"/>
    <n v="0"/>
    <n v="136"/>
    <s v="$100 +"/>
    <n v="1"/>
    <s v="Below Average"/>
    <n v="0"/>
    <x v="0"/>
    <s v="2020-04-13"/>
  </r>
  <r>
    <s v="CK3312-001"/>
    <s v="Nike x Olivia Kim Air Mowabb"/>
    <x v="2"/>
    <n v="0"/>
    <n v="112"/>
    <s v="$100 +"/>
    <n v="1"/>
    <s v="Below Average"/>
    <n v="0"/>
    <x v="2"/>
    <s v="2020-04-13"/>
  </r>
  <r>
    <s v="CT1549-001"/>
    <s v="Nike Air Max 97"/>
    <x v="2"/>
    <n v="0"/>
    <n v="96"/>
    <s v="under $100"/>
    <n v="1"/>
    <s v="Below Average"/>
    <n v="0"/>
    <x v="1"/>
    <s v="2020-04-13"/>
  </r>
  <r>
    <s v="AT7996-414"/>
    <s v="Nike Mercurial Vapor 13 Academy TF"/>
    <x v="2"/>
    <n v="0"/>
    <n v="52"/>
    <s v="under $100"/>
    <n v="1"/>
    <s v="Below Average"/>
    <n v="0"/>
    <x v="2"/>
    <s v="2020-04-13"/>
  </r>
  <r>
    <s v="AO3267-080"/>
    <s v="Nike Phantom Vision Academy Dynamic Fit IC"/>
    <x v="2"/>
    <n v="0"/>
    <n v="68"/>
    <s v="under $100"/>
    <n v="2"/>
    <s v="Below Average"/>
    <n v="0"/>
    <x v="0"/>
    <s v="2020-04-13"/>
  </r>
  <r>
    <s v="BV5740-101"/>
    <s v="Nike Air Zoom Pegasus 36"/>
    <x v="2"/>
    <n v="0"/>
    <n v="66"/>
    <s v="under $100"/>
    <n v="1"/>
    <s v="Below Average"/>
    <n v="0"/>
    <x v="1"/>
    <s v="2020-04-13"/>
  </r>
  <r>
    <s v="CJ9681-001"/>
    <s v="Nike Air Max Tailwind IV SE"/>
    <x v="2"/>
    <n v="0"/>
    <n v="105"/>
    <s v="$100 +"/>
    <n v="1"/>
    <s v="Below Average"/>
    <n v="0"/>
    <x v="2"/>
    <s v="2020-04-13"/>
  </r>
  <r>
    <s v="CK4122-100"/>
    <s v="Nike Air Max Tailwind IV"/>
    <x v="2"/>
    <n v="0"/>
    <n v="112"/>
    <s v="$100 +"/>
    <n v="1"/>
    <s v="Below Average"/>
    <n v="0"/>
    <x v="2"/>
    <s v="2020-04-13"/>
  </r>
  <r>
    <s v="CI1289-100"/>
    <s v="Nike Free RN 5.0"/>
    <x v="2"/>
    <n v="0"/>
    <n v="54"/>
    <s v="under $100"/>
    <n v="1"/>
    <s v="Below Average"/>
    <n v="0"/>
    <x v="1"/>
    <s v="2020-04-13"/>
  </r>
  <r>
    <s v="CD7287-003"/>
    <s v="Nike Zoom Rival Fly"/>
    <x v="2"/>
    <n v="0"/>
    <n v="48"/>
    <s v="$50 and under"/>
    <n v="1"/>
    <s v="Below Average"/>
    <n v="0"/>
    <x v="1"/>
    <s v="2020-04-13"/>
  </r>
  <r>
    <s v="BQ5972-001"/>
    <s v="Nike MX-720-818"/>
    <x v="2"/>
    <n v="0"/>
    <n v="112"/>
    <s v="$100 +"/>
    <n v="1"/>
    <s v="Below Average"/>
    <n v="0"/>
    <x v="2"/>
    <s v="2020-04-13"/>
  </r>
  <r>
    <s v="BV6484-002"/>
    <s v="Nike Air Max 720 SE"/>
    <x v="2"/>
    <n v="0"/>
    <n v="112"/>
    <s v="$100 +"/>
    <n v="1"/>
    <s v="Below Average"/>
    <n v="0"/>
    <x v="2"/>
    <s v="2020-04-13"/>
  </r>
  <r>
    <s v="BV7782-001"/>
    <s v="Nike Free RN Flyknit 3.0"/>
    <x v="2"/>
    <n v="0"/>
    <n v="72"/>
    <s v="under $100"/>
    <n v="1"/>
    <s v="Below Average"/>
    <n v="0"/>
    <x v="1"/>
    <s v="2020-04-13"/>
  </r>
  <r>
    <s v="844896-002"/>
    <s v="NikeCourt Royale SL"/>
    <x v="2"/>
    <n v="0"/>
    <n v="32"/>
    <s v="$50 and under"/>
    <n v="1"/>
    <s v="Below Average"/>
    <n v="0"/>
    <x v="0"/>
    <s v="2020-04-13"/>
  </r>
  <r>
    <s v="BV0389-001"/>
    <s v="Nike Zoom Fly SP Fast"/>
    <x v="2"/>
    <n v="0"/>
    <n v="102"/>
    <s v="$100 +"/>
    <n v="1"/>
    <s v="Below Average"/>
    <n v="0"/>
    <x v="1"/>
    <s v="2020-04-13"/>
  </r>
  <r>
    <s v="CK3321-100"/>
    <s v="Nike x Olivia Kim Air Footscape"/>
    <x v="2"/>
    <n v="0"/>
    <n v="91"/>
    <s v="under $100"/>
    <n v="1"/>
    <s v="Below Average"/>
    <n v="0"/>
    <x v="2"/>
    <s v="2020-04-13"/>
  </r>
  <r>
    <s v="AV9373-002"/>
    <s v="Nike Blazer Low Suede"/>
    <x v="2"/>
    <n v="0"/>
    <n v="56"/>
    <s v="under $100"/>
    <n v="1"/>
    <s v="Below Average"/>
    <n v="0"/>
    <x v="0"/>
    <s v="2020-04-13"/>
  </r>
  <r>
    <s v="CQ0278-200"/>
    <s v="Air Jordan 1 Jester XX Low Laced SE"/>
    <x v="2"/>
    <n v="0"/>
    <n v="72"/>
    <s v="under $100"/>
    <n v="1"/>
    <s v="Below Average"/>
    <n v="0"/>
    <x v="0"/>
    <s v="2020-04-13"/>
  </r>
  <r>
    <s v="CJ9585-600"/>
    <s v="Nike P-6000 SE"/>
    <x v="2"/>
    <n v="0"/>
    <n v="63"/>
    <s v="under $100"/>
    <n v="1"/>
    <s v="Below Average"/>
    <n v="0"/>
    <x v="2"/>
    <s v="2020-0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835F69-6448-1D47-8F71-925A8404E41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147:AC152" firstHeaderRow="0" firstDataRow="1" firstDataCol="1"/>
  <pivotFields count="11">
    <pivotField showAll="0"/>
    <pivotField dataField="1" showAll="0"/>
    <pivotField showAll="0"/>
    <pivotField showAll="0"/>
    <pivotField showAll="0"/>
    <pivotField axis="axisRow" showAll="0" sortType="descending">
      <items count="5">
        <item x="0"/>
        <item x="3"/>
        <item x="2"/>
        <item x="1"/>
        <item t="default"/>
      </items>
      <autoSortScope>
        <pivotArea dataOnly="0" outline="0" fieldPosition="0">
          <references count="1">
            <reference field="4294967294" count="1" selected="0">
              <x v="1"/>
            </reference>
          </references>
        </pivotArea>
      </autoSortScope>
    </pivotField>
    <pivotField dataField="1" showAll="0"/>
    <pivotField showAll="0"/>
    <pivotField dataField="1" showAll="0"/>
    <pivotField showAll="0"/>
    <pivotField showAll="0"/>
  </pivotFields>
  <rowFields count="1">
    <field x="5"/>
  </rowFields>
  <rowItems count="5">
    <i>
      <x/>
    </i>
    <i>
      <x v="3"/>
    </i>
    <i>
      <x v="2"/>
    </i>
    <i>
      <x v="1"/>
    </i>
    <i t="grand">
      <x/>
    </i>
  </rowItems>
  <colFields count="1">
    <field x="-2"/>
  </colFields>
  <colItems count="3">
    <i>
      <x/>
    </i>
    <i i="1">
      <x v="1"/>
    </i>
    <i i="2">
      <x v="2"/>
    </i>
  </colItems>
  <dataFields count="3">
    <dataField name="Count of Product" fld="1" subtotal="count" baseField="0" baseItem="0"/>
    <dataField name="Total_Views" fld="6" baseField="0" baseItem="0"/>
    <dataField name="Total_Review_Count" fld="8" baseField="0" baseItem="0"/>
  </dataFields>
  <formats count="20">
    <format dxfId="370">
      <pivotArea collapsedLevelsAreSubtotals="1" fieldPosition="0">
        <references count="1">
          <reference field="5" count="1">
            <x v="0"/>
          </reference>
        </references>
      </pivotArea>
    </format>
    <format dxfId="369">
      <pivotArea collapsedLevelsAreSubtotals="1" fieldPosition="0">
        <references count="1">
          <reference field="5" count="1">
            <x v="3"/>
          </reference>
        </references>
      </pivotArea>
    </format>
    <format dxfId="368">
      <pivotArea collapsedLevelsAreSubtotals="1" fieldPosition="0">
        <references count="1">
          <reference field="5" count="2">
            <x v="1"/>
            <x v="2"/>
          </reference>
        </references>
      </pivotArea>
    </format>
    <format dxfId="367">
      <pivotArea collapsedLevelsAreSubtotals="1" fieldPosition="0">
        <references count="1">
          <reference field="5" count="1">
            <x v="0"/>
          </reference>
        </references>
      </pivotArea>
    </format>
    <format dxfId="366">
      <pivotArea collapsedLevelsAreSubtotals="1" fieldPosition="0">
        <references count="1">
          <reference field="5" count="1">
            <x v="0"/>
          </reference>
        </references>
      </pivotArea>
    </format>
    <format dxfId="365">
      <pivotArea field="5" type="button" dataOnly="0" labelOnly="1" outline="0" axis="axisRow" fieldPosition="0"/>
    </format>
    <format dxfId="364">
      <pivotArea dataOnly="0" labelOnly="1" outline="0" fieldPosition="0">
        <references count="1">
          <reference field="4294967294" count="3">
            <x v="0"/>
            <x v="1"/>
            <x v="2"/>
          </reference>
        </references>
      </pivotArea>
    </format>
    <format dxfId="363">
      <pivotArea field="5" type="button" dataOnly="0" labelOnly="1" outline="0" axis="axisRow" fieldPosition="0"/>
    </format>
    <format dxfId="362">
      <pivotArea dataOnly="0" labelOnly="1" outline="0" fieldPosition="0">
        <references count="1">
          <reference field="4294967294" count="3">
            <x v="0"/>
            <x v="1"/>
            <x v="2"/>
          </reference>
        </references>
      </pivotArea>
    </format>
    <format dxfId="361">
      <pivotArea dataOnly="0" grandRow="1" axis="axisRow" fieldPosition="0"/>
    </format>
    <format dxfId="360">
      <pivotArea dataOnly="0" grandRow="1" axis="axisRow" fieldPosition="0"/>
    </format>
    <format dxfId="359">
      <pivotArea dataOnly="0" labelOnly="1" fieldPosition="0">
        <references count="1">
          <reference field="5" count="1">
            <x v="0"/>
          </reference>
        </references>
      </pivotArea>
    </format>
    <format dxfId="358">
      <pivotArea collapsedLevelsAreSubtotals="1" fieldPosition="0">
        <references count="1">
          <reference field="5" count="1">
            <x v="3"/>
          </reference>
        </references>
      </pivotArea>
    </format>
    <format dxfId="357">
      <pivotArea collapsedLevelsAreSubtotals="1" fieldPosition="0">
        <references count="2">
          <reference field="4294967294" count="1" selected="0">
            <x v="0"/>
          </reference>
          <reference field="5" count="1">
            <x v="0"/>
          </reference>
        </references>
      </pivotArea>
    </format>
    <format dxfId="356">
      <pivotArea collapsedLevelsAreSubtotals="1" fieldPosition="0">
        <references count="2">
          <reference field="4294967294" count="2" selected="0">
            <x v="1"/>
            <x v="2"/>
          </reference>
          <reference field="5" count="1">
            <x v="0"/>
          </reference>
        </references>
      </pivotArea>
    </format>
    <format dxfId="355">
      <pivotArea dataOnly="0" labelOnly="1" fieldPosition="0">
        <references count="1">
          <reference field="5" count="1">
            <x v="0"/>
          </reference>
        </references>
      </pivotArea>
    </format>
    <format dxfId="354">
      <pivotArea dataOnly="0" labelOnly="1" fieldPosition="0">
        <references count="1">
          <reference field="5" count="1">
            <x v="3"/>
          </reference>
        </references>
      </pivotArea>
    </format>
    <format dxfId="353">
      <pivotArea dataOnly="0" labelOnly="1" fieldPosition="0">
        <references count="1">
          <reference field="5" count="1">
            <x v="3"/>
          </reference>
        </references>
      </pivotArea>
    </format>
    <format dxfId="352">
      <pivotArea collapsedLevelsAreSubtotals="1" fieldPosition="0">
        <references count="1">
          <reference field="5" count="1">
            <x v="1"/>
          </reference>
        </references>
      </pivotArea>
    </format>
    <format dxfId="351">
      <pivotArea collapsedLevelsAreSubtotals="1" fieldPosition="0">
        <references count="1">
          <reference field="5" count="1">
            <x v="3"/>
          </reference>
        </references>
      </pivotArea>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E51C24-8EDA-FB4E-B776-CCBDAE58525F}"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Rate_Group">
  <location ref="AH103:AJ106" firstHeaderRow="0" firstDataRow="1" firstDataCol="1"/>
  <pivotFields count="11">
    <pivotField showAll="0"/>
    <pivotField showAll="0"/>
    <pivotField axis="axisRow" showAll="0" sortType="descending">
      <items count="4">
        <item x="2"/>
        <item x="1"/>
        <item x="0"/>
        <item t="default"/>
      </items>
      <autoSortScope>
        <pivotArea dataOnly="0" outline="0" fieldPosition="0">
          <references count="1">
            <reference field="4294967294" count="1" selected="0">
              <x v="1"/>
            </reference>
          </references>
        </pivotArea>
      </autoSortScope>
    </pivotField>
    <pivotField showAll="0"/>
    <pivotField numFmtId="164" showAll="0"/>
    <pivotField showAll="0"/>
    <pivotField dataField="1" showAll="0"/>
    <pivotField showAll="0"/>
    <pivotField showAll="0"/>
    <pivotField showAll="0"/>
    <pivotField showAll="0"/>
  </pivotFields>
  <rowFields count="1">
    <field x="2"/>
  </rowFields>
  <rowItems count="3">
    <i>
      <x v="2"/>
    </i>
    <i>
      <x/>
    </i>
    <i>
      <x v="1"/>
    </i>
  </rowItems>
  <colFields count="1">
    <field x="-2"/>
  </colFields>
  <colItems count="2">
    <i>
      <x/>
    </i>
    <i i="1">
      <x v="1"/>
    </i>
  </colItems>
  <dataFields count="2">
    <dataField name="View %" fld="6" showDataAs="percentOfTotal" baseField="0" baseItem="0" numFmtId="10"/>
    <dataField name="View_Count " fld="6" baseField="0" baseItem="0"/>
  </dataFields>
  <formats count="33">
    <format dxfId="403">
      <pivotArea collapsedLevelsAreSubtotals="1" fieldPosition="0">
        <references count="2">
          <reference field="4294967294" count="1" selected="0">
            <x v="0"/>
          </reference>
          <reference field="2" count="1">
            <x v="2"/>
          </reference>
        </references>
      </pivotArea>
    </format>
    <format dxfId="402">
      <pivotArea collapsedLevelsAreSubtotals="1" fieldPosition="0">
        <references count="2">
          <reference field="4294967294" count="1" selected="0">
            <x v="0"/>
          </reference>
          <reference field="2" count="1">
            <x v="0"/>
          </reference>
        </references>
      </pivotArea>
    </format>
    <format dxfId="401">
      <pivotArea collapsedLevelsAreSubtotals="1" fieldPosition="0">
        <references count="2">
          <reference field="4294967294" count="1" selected="0">
            <x v="0"/>
          </reference>
          <reference field="2" count="1">
            <x v="1"/>
          </reference>
        </references>
      </pivotArea>
    </format>
    <format dxfId="400">
      <pivotArea dataOnly="0" fieldPosition="0">
        <references count="1">
          <reference field="2" count="1">
            <x v="2"/>
          </reference>
        </references>
      </pivotArea>
    </format>
    <format dxfId="399">
      <pivotArea collapsedLevelsAreSubtotals="1" fieldPosition="0">
        <references count="1">
          <reference field="2" count="1">
            <x v="0"/>
          </reference>
        </references>
      </pivotArea>
    </format>
    <format dxfId="398">
      <pivotArea dataOnly="0" labelOnly="1" fieldPosition="0">
        <references count="1">
          <reference field="2" count="1">
            <x v="0"/>
          </reference>
        </references>
      </pivotArea>
    </format>
    <format dxfId="397">
      <pivotArea dataOnly="0" fieldPosition="0">
        <references count="1">
          <reference field="2" count="1">
            <x v="0"/>
          </reference>
        </references>
      </pivotArea>
    </format>
    <format dxfId="396">
      <pivotArea collapsedLevelsAreSubtotals="1" fieldPosition="0">
        <references count="1">
          <reference field="2" count="1">
            <x v="1"/>
          </reference>
        </references>
      </pivotArea>
    </format>
    <format dxfId="395">
      <pivotArea dataOnly="0" labelOnly="1" fieldPosition="0">
        <references count="1">
          <reference field="2" count="1">
            <x v="1"/>
          </reference>
        </references>
      </pivotArea>
    </format>
    <format dxfId="394">
      <pivotArea collapsedLevelsAreSubtotals="1" fieldPosition="0">
        <references count="2">
          <reference field="4294967294" count="1" selected="0">
            <x v="0"/>
          </reference>
          <reference field="2" count="1">
            <x v="2"/>
          </reference>
        </references>
      </pivotArea>
    </format>
    <format dxfId="393">
      <pivotArea collapsedLevelsAreSubtotals="1" fieldPosition="0">
        <references count="2">
          <reference field="4294967294" count="1" selected="0">
            <x v="0"/>
          </reference>
          <reference field="2" count="1">
            <x v="0"/>
          </reference>
        </references>
      </pivotArea>
    </format>
    <format dxfId="392">
      <pivotArea collapsedLevelsAreSubtotals="1" fieldPosition="0">
        <references count="2">
          <reference field="4294967294" count="1" selected="0">
            <x v="1"/>
          </reference>
          <reference field="2" count="1">
            <x v="2"/>
          </reference>
        </references>
      </pivotArea>
    </format>
    <format dxfId="391">
      <pivotArea collapsedLevelsAreSubtotals="1" fieldPosition="0">
        <references count="2">
          <reference field="4294967294" count="1" selected="0">
            <x v="1"/>
          </reference>
          <reference field="2" count="1">
            <x v="0"/>
          </reference>
        </references>
      </pivotArea>
    </format>
    <format dxfId="390">
      <pivotArea dataOnly="0" labelOnly="1" fieldPosition="0">
        <references count="1">
          <reference field="2" count="2">
            <x v="0"/>
            <x v="2"/>
          </reference>
        </references>
      </pivotArea>
    </format>
    <format dxfId="389">
      <pivotArea field="2" type="button" dataOnly="0" labelOnly="1" outline="0" axis="axisRow" fieldPosition="0"/>
    </format>
    <format dxfId="388">
      <pivotArea dataOnly="0" labelOnly="1" outline="0" fieldPosition="0">
        <references count="1">
          <reference field="4294967294" count="2">
            <x v="0"/>
            <x v="1"/>
          </reference>
        </references>
      </pivotArea>
    </format>
    <format dxfId="387">
      <pivotArea field="2" type="button" dataOnly="0" labelOnly="1" outline="0" axis="axisRow" fieldPosition="0"/>
    </format>
    <format dxfId="386">
      <pivotArea dataOnly="0" labelOnly="1" outline="0" fieldPosition="0">
        <references count="1">
          <reference field="4294967294" count="2">
            <x v="0"/>
            <x v="1"/>
          </reference>
        </references>
      </pivotArea>
    </format>
    <format dxfId="385">
      <pivotArea field="2" type="button" dataOnly="0" labelOnly="1" outline="0" axis="axisRow" fieldPosition="0"/>
    </format>
    <format dxfId="384">
      <pivotArea dataOnly="0" labelOnly="1" outline="0" fieldPosition="0">
        <references count="1">
          <reference field="4294967294" count="2">
            <x v="0"/>
            <x v="1"/>
          </reference>
        </references>
      </pivotArea>
    </format>
    <format dxfId="383">
      <pivotArea dataOnly="0" fieldPosition="0">
        <references count="1">
          <reference field="2" count="2">
            <x v="0"/>
            <x v="2"/>
          </reference>
        </references>
      </pivotArea>
    </format>
    <format dxfId="382">
      <pivotArea dataOnly="0" labelOnly="1" fieldPosition="0">
        <references count="1">
          <reference field="2" count="1">
            <x v="1"/>
          </reference>
        </references>
      </pivotArea>
    </format>
    <format dxfId="381">
      <pivotArea dataOnly="0" labelOnly="1" outline="0" fieldPosition="0">
        <references count="1">
          <reference field="4294967294" count="1">
            <x v="1"/>
          </reference>
        </references>
      </pivotArea>
    </format>
    <format dxfId="380">
      <pivotArea dataOnly="0" labelOnly="1" fieldPosition="0">
        <references count="1">
          <reference field="2" count="0"/>
        </references>
      </pivotArea>
    </format>
    <format dxfId="379">
      <pivotArea outline="0" collapsedLevelsAreSubtotals="1" fieldPosition="0">
        <references count="1">
          <reference field="4294967294" count="1" selected="0">
            <x v="1"/>
          </reference>
        </references>
      </pivotArea>
    </format>
    <format dxfId="378">
      <pivotArea outline="0" collapsedLevelsAreSubtotals="1" fieldPosition="0">
        <references count="1">
          <reference field="4294967294" count="1" selected="0">
            <x v="0"/>
          </reference>
        </references>
      </pivotArea>
    </format>
    <format dxfId="377">
      <pivotArea field="2" type="button" dataOnly="0" labelOnly="1" outline="0" axis="axisRow" fieldPosition="0"/>
    </format>
    <format dxfId="376">
      <pivotArea dataOnly="0" labelOnly="1" outline="0" fieldPosition="0">
        <references count="1">
          <reference field="4294967294" count="2">
            <x v="0"/>
            <x v="1"/>
          </reference>
        </references>
      </pivotArea>
    </format>
    <format dxfId="375">
      <pivotArea dataOnly="0" labelOnly="1" outline="0" fieldPosition="0">
        <references count="1">
          <reference field="4294967294" count="1">
            <x v="0"/>
          </reference>
        </references>
      </pivotArea>
    </format>
    <format dxfId="374">
      <pivotArea collapsedLevelsAreSubtotals="1" fieldPosition="0">
        <references count="1">
          <reference field="2" count="1">
            <x v="0"/>
          </reference>
        </references>
      </pivotArea>
    </format>
    <format dxfId="373">
      <pivotArea dataOnly="0" labelOnly="1" fieldPosition="0">
        <references count="1">
          <reference field="2" count="1">
            <x v="0"/>
          </reference>
        </references>
      </pivotArea>
    </format>
    <format dxfId="372">
      <pivotArea collapsedLevelsAreSubtotals="1" fieldPosition="0">
        <references count="1">
          <reference field="2" count="1">
            <x v="2"/>
          </reference>
        </references>
      </pivotArea>
    </format>
    <format dxfId="371">
      <pivotArea dataOnly="0" labelOnly="1" fieldPosition="0">
        <references count="1">
          <reference field="2" count="1">
            <x v="2"/>
          </reference>
        </references>
      </pivotArea>
    </format>
  </formats>
  <chartFormats count="16">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2">
          <reference field="4294967294" count="1" selected="0">
            <x v="0"/>
          </reference>
          <reference field="2" count="1" selected="0">
            <x v="0"/>
          </reference>
        </references>
      </pivotArea>
    </chartFormat>
    <chartFormat chart="3" format="3">
      <pivotArea type="data" outline="0" fieldPosition="0">
        <references count="2">
          <reference field="4294967294" count="1" selected="0">
            <x v="0"/>
          </reference>
          <reference field="2" count="1" selected="0">
            <x v="2"/>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 chart="3" format="5">
      <pivotArea type="data" outline="0" fieldPosition="0">
        <references count="2">
          <reference field="4294967294" count="1" selected="0">
            <x v="1"/>
          </reference>
          <reference field="2" count="1" selected="0">
            <x v="2"/>
          </reference>
        </references>
      </pivotArea>
    </chartFormat>
    <chartFormat chart="3" format="6">
      <pivotArea type="data" outline="0" fieldPosition="0">
        <references count="2">
          <reference field="4294967294" count="1" selected="0">
            <x v="1"/>
          </reference>
          <reference field="2" count="1" selected="0">
            <x v="0"/>
          </reference>
        </references>
      </pivotArea>
    </chartFormat>
    <chartFormat chart="3" format="7">
      <pivotArea type="data" outline="0" fieldPosition="0">
        <references count="2">
          <reference field="4294967294" count="1" selected="0">
            <x v="1"/>
          </reference>
          <reference field="2" count="1" selected="0">
            <x v="1"/>
          </reference>
        </references>
      </pivotArea>
    </chartFormat>
    <chartFormat chart="8" format="16" series="1">
      <pivotArea type="data" outline="0" fieldPosition="0">
        <references count="1">
          <reference field="4294967294" count="1" selected="0">
            <x v="0"/>
          </reference>
        </references>
      </pivotArea>
    </chartFormat>
    <chartFormat chart="8" format="17">
      <pivotArea type="data" outline="0" fieldPosition="0">
        <references count="2">
          <reference field="4294967294" count="1" selected="0">
            <x v="0"/>
          </reference>
          <reference field="2" count="1" selected="0">
            <x v="2"/>
          </reference>
        </references>
      </pivotArea>
    </chartFormat>
    <chartFormat chart="8" format="18">
      <pivotArea type="data" outline="0" fieldPosition="0">
        <references count="2">
          <reference field="4294967294" count="1" selected="0">
            <x v="0"/>
          </reference>
          <reference field="2" count="1" selected="0">
            <x v="0"/>
          </reference>
        </references>
      </pivotArea>
    </chartFormat>
    <chartFormat chart="8" format="19">
      <pivotArea type="data" outline="0" fieldPosition="0">
        <references count="2">
          <reference field="4294967294" count="1" selected="0">
            <x v="0"/>
          </reference>
          <reference field="2" count="1" selected="0">
            <x v="1"/>
          </reference>
        </references>
      </pivotArea>
    </chartFormat>
    <chartFormat chart="8" format="20" series="1">
      <pivotArea type="data" outline="0" fieldPosition="0">
        <references count="1">
          <reference field="4294967294" count="1" selected="0">
            <x v="1"/>
          </reference>
        </references>
      </pivotArea>
    </chartFormat>
    <chartFormat chart="8" format="21">
      <pivotArea type="data" outline="0" fieldPosition="0">
        <references count="2">
          <reference field="4294967294" count="1" selected="0">
            <x v="1"/>
          </reference>
          <reference field="2" count="1" selected="0">
            <x v="2"/>
          </reference>
        </references>
      </pivotArea>
    </chartFormat>
    <chartFormat chart="8" format="22">
      <pivotArea type="data" outline="0" fieldPosition="0">
        <references count="2">
          <reference field="4294967294" count="1" selected="0">
            <x v="1"/>
          </reference>
          <reference field="2" count="1" selected="0">
            <x v="0"/>
          </reference>
        </references>
      </pivotArea>
    </chartFormat>
    <chartFormat chart="8" format="23">
      <pivotArea type="data" outline="0" fieldPosition="0">
        <references count="2">
          <reference field="4294967294" count="1" selected="0">
            <x v="1"/>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8A8855-374E-0741-9BEB-30DE60A9A6A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A105:AB122" firstHeaderRow="1" firstDataRow="1" firstDataCol="1"/>
  <pivotFields count="11">
    <pivotField axis="axisRow" showAll="0">
      <items count="555">
        <item x="154"/>
        <item x="434"/>
        <item x="126"/>
        <item x="117"/>
        <item x="151"/>
        <item x="150"/>
        <item x="160"/>
        <item x="307"/>
        <item x="235"/>
        <item x="203"/>
        <item x="286"/>
        <item x="272"/>
        <item x="232"/>
        <item x="224"/>
        <item x="279"/>
        <item x="285"/>
        <item x="184"/>
        <item x="136"/>
        <item x="450"/>
        <item x="153"/>
        <item x="243"/>
        <item x="328"/>
        <item x="152"/>
        <item x="242"/>
        <item x="207"/>
        <item x="79"/>
        <item x="229"/>
        <item x="358"/>
        <item x="300"/>
        <item x="156"/>
        <item x="157"/>
        <item x="220"/>
        <item x="246"/>
        <item x="161"/>
        <item x="449"/>
        <item x="46"/>
        <item x="536"/>
        <item x="339"/>
        <item x="308"/>
        <item x="113"/>
        <item x="43"/>
        <item x="197"/>
        <item x="44"/>
        <item x="145"/>
        <item x="302"/>
        <item x="351"/>
        <item x="199"/>
        <item x="198"/>
        <item x="282"/>
        <item x="223"/>
        <item x="274"/>
        <item x="234"/>
        <item x="306"/>
        <item x="225"/>
        <item x="344"/>
        <item x="305"/>
        <item x="201"/>
        <item x="327"/>
        <item x="321"/>
        <item x="205"/>
        <item x="287"/>
        <item x="261"/>
        <item x="319"/>
        <item x="249"/>
        <item x="315"/>
        <item x="273"/>
        <item x="258"/>
        <item x="333"/>
        <item x="411"/>
        <item x="221"/>
        <item x="342"/>
        <item x="281"/>
        <item x="252"/>
        <item x="303"/>
        <item x="503"/>
        <item x="289"/>
        <item x="179"/>
        <item x="29"/>
        <item x="486"/>
        <item x="477"/>
        <item x="108"/>
        <item x="343"/>
        <item x="432"/>
        <item x="47"/>
        <item x="442"/>
        <item x="416"/>
        <item x="189"/>
        <item x="296"/>
        <item x="9"/>
        <item x="195"/>
        <item x="478"/>
        <item x="492"/>
        <item x="247"/>
        <item x="214"/>
        <item x="185"/>
        <item x="39"/>
        <item x="250"/>
        <item x="318"/>
        <item x="21"/>
        <item x="311"/>
        <item x="251"/>
        <item x="519"/>
        <item x="259"/>
        <item x="362"/>
        <item x="489"/>
        <item x="127"/>
        <item x="275"/>
        <item x="347"/>
        <item x="178"/>
        <item x="182"/>
        <item x="244"/>
        <item x="118"/>
        <item x="462"/>
        <item x="483"/>
        <item x="493"/>
        <item x="288"/>
        <item x="276"/>
        <item x="222"/>
        <item x="301"/>
        <item x="187"/>
        <item x="3"/>
        <item x="19"/>
        <item x="87"/>
        <item x="159"/>
        <item x="245"/>
        <item x="183"/>
        <item x="172"/>
        <item x="200"/>
        <item x="310"/>
        <item x="139"/>
        <item x="280"/>
        <item x="239"/>
        <item x="349"/>
        <item x="176"/>
        <item x="284"/>
        <item x="509"/>
        <item x="304"/>
        <item x="341"/>
        <item x="204"/>
        <item x="15"/>
        <item x="359"/>
        <item x="295"/>
        <item x="316"/>
        <item x="238"/>
        <item x="453"/>
        <item x="227"/>
        <item x="228"/>
        <item x="138"/>
        <item x="363"/>
        <item x="110"/>
        <item x="216"/>
        <item x="511"/>
        <item x="155"/>
        <item x="226"/>
        <item x="144"/>
        <item x="230"/>
        <item x="283"/>
        <item x="309"/>
        <item x="112"/>
        <item x="317"/>
        <item x="495"/>
        <item x="106"/>
        <item x="425"/>
        <item x="482"/>
        <item x="323"/>
        <item x="231"/>
        <item x="352"/>
        <item x="441"/>
        <item x="357"/>
        <item x="356"/>
        <item x="324"/>
        <item x="42"/>
        <item x="348"/>
        <item x="170"/>
        <item x="525"/>
        <item x="27"/>
        <item x="551"/>
        <item x="413"/>
        <item x="447"/>
        <item x="354"/>
        <item x="218"/>
        <item x="141"/>
        <item x="253"/>
        <item x="93"/>
        <item x="31"/>
        <item x="421"/>
        <item x="8"/>
        <item x="410"/>
        <item x="396"/>
        <item x="435"/>
        <item x="550"/>
        <item x="30"/>
        <item x="35"/>
        <item x="398"/>
        <item x="506"/>
        <item x="423"/>
        <item x="517"/>
        <item x="426"/>
        <item x="422"/>
        <item x="420"/>
        <item x="414"/>
        <item x="404"/>
        <item x="193"/>
        <item x="248"/>
        <item x="114"/>
        <item x="345"/>
        <item x="18"/>
        <item x="291"/>
        <item x="69"/>
        <item x="94"/>
        <item x="335"/>
        <item x="162"/>
        <item x="191"/>
        <item x="455"/>
        <item x="99"/>
        <item x="206"/>
        <item x="171"/>
        <item x="5"/>
        <item x="165"/>
        <item x="53"/>
        <item x="547"/>
        <item x="312"/>
        <item x="240"/>
        <item x="278"/>
        <item x="149"/>
        <item x="325"/>
        <item x="294"/>
        <item x="163"/>
        <item x="336"/>
        <item x="7"/>
        <item x="41"/>
        <item x="501"/>
        <item x="85"/>
        <item x="88"/>
        <item x="10"/>
        <item x="186"/>
        <item x="505"/>
        <item x="210"/>
        <item x="169"/>
        <item x="80"/>
        <item x="124"/>
        <item x="340"/>
        <item x="217"/>
        <item x="427"/>
        <item x="443"/>
        <item x="543"/>
        <item x="433"/>
        <item x="257"/>
        <item x="33"/>
        <item x="504"/>
        <item x="77"/>
        <item x="467"/>
        <item x="529"/>
        <item x="277"/>
        <item x="298"/>
        <item x="290"/>
        <item x="180"/>
        <item x="116"/>
        <item x="181"/>
        <item x="535"/>
        <item x="215"/>
        <item x="233"/>
        <item x="98"/>
        <item x="196"/>
        <item x="538"/>
        <item x="107"/>
        <item x="188"/>
        <item x="331"/>
        <item x="332"/>
        <item x="130"/>
        <item x="128"/>
        <item x="255"/>
        <item x="329"/>
        <item x="119"/>
        <item x="498"/>
        <item x="531"/>
        <item x="38"/>
        <item x="76"/>
        <item x="131"/>
        <item x="520"/>
        <item x="264"/>
        <item x="293"/>
        <item x="350"/>
        <item x="530"/>
        <item x="177"/>
        <item x="133"/>
        <item x="17"/>
        <item x="510"/>
        <item x="100"/>
        <item x="104"/>
        <item x="346"/>
        <item x="388"/>
        <item x="97"/>
        <item x="533"/>
        <item x="375"/>
        <item x="57"/>
        <item x="418"/>
        <item x="490"/>
        <item x="468"/>
        <item x="454"/>
        <item x="75"/>
        <item x="135"/>
        <item x="400"/>
        <item x="0"/>
        <item x="1"/>
        <item x="337"/>
        <item x="129"/>
        <item x="13"/>
        <item x="12"/>
        <item x="68"/>
        <item x="322"/>
        <item x="50"/>
        <item x="58"/>
        <item x="330"/>
        <item x="174"/>
        <item x="208"/>
        <item x="320"/>
        <item x="266"/>
        <item x="37"/>
        <item x="6"/>
        <item x="507"/>
        <item x="158"/>
        <item x="407"/>
        <item x="408"/>
        <item x="32"/>
        <item x="417"/>
        <item x="437"/>
        <item x="120"/>
        <item x="211"/>
        <item x="125"/>
        <item x="137"/>
        <item x="219"/>
        <item x="132"/>
        <item x="81"/>
        <item x="14"/>
        <item x="45"/>
        <item x="72"/>
        <item x="334"/>
        <item x="481"/>
        <item x="73"/>
        <item x="36"/>
        <item x="147"/>
        <item x="168"/>
        <item x="406"/>
        <item x="465"/>
        <item x="484"/>
        <item x="71"/>
        <item m="1" x="553"/>
        <item x="386"/>
        <item x="269"/>
        <item x="63"/>
        <item x="142"/>
        <item x="528"/>
        <item x="62"/>
        <item x="326"/>
        <item x="472"/>
        <item x="111"/>
        <item x="361"/>
        <item x="105"/>
        <item x="299"/>
        <item x="527"/>
        <item x="52"/>
        <item x="16"/>
        <item x="95"/>
        <item x="64"/>
        <item x="497"/>
        <item x="66"/>
        <item x="40"/>
        <item x="292"/>
        <item x="364"/>
        <item x="103"/>
        <item x="471"/>
        <item x="459"/>
        <item x="485"/>
        <item x="460"/>
        <item x="391"/>
        <item x="55"/>
        <item x="271"/>
        <item x="146"/>
        <item x="265"/>
        <item x="65"/>
        <item x="368"/>
        <item x="548"/>
        <item x="373"/>
        <item x="541"/>
        <item x="381"/>
        <item x="194"/>
        <item x="20"/>
        <item x="209"/>
        <item x="355"/>
        <item x="121"/>
        <item x="539"/>
        <item x="101"/>
        <item x="524"/>
        <item x="212"/>
        <item x="51"/>
        <item x="313"/>
        <item x="24"/>
        <item x="409"/>
        <item x="461"/>
        <item x="445"/>
        <item x="438"/>
        <item x="25"/>
        <item x="48"/>
        <item x="415"/>
        <item x="405"/>
        <item x="428"/>
        <item x="419"/>
        <item x="397"/>
        <item x="394"/>
        <item x="513"/>
        <item x="387"/>
        <item x="440"/>
        <item x="374"/>
        <item x="370"/>
        <item x="451"/>
        <item x="360"/>
        <item x="392"/>
        <item x="424"/>
        <item x="526"/>
        <item x="546"/>
        <item x="401"/>
        <item x="61"/>
        <item x="59"/>
        <item x="518"/>
        <item x="444"/>
        <item x="523"/>
        <item x="430"/>
        <item x="446"/>
        <item x="383"/>
        <item x="403"/>
        <item x="399"/>
        <item x="49"/>
        <item x="190"/>
        <item x="70"/>
        <item x="34"/>
        <item x="82"/>
        <item x="390"/>
        <item x="297"/>
        <item x="552"/>
        <item x="521"/>
        <item x="28"/>
        <item x="166"/>
        <item x="500"/>
        <item x="439"/>
        <item x="494"/>
        <item x="436"/>
        <item x="60"/>
        <item x="89"/>
        <item x="109"/>
        <item x="4"/>
        <item x="23"/>
        <item x="384"/>
        <item x="237"/>
        <item x="236"/>
        <item x="241"/>
        <item x="353"/>
        <item x="458"/>
        <item x="476"/>
        <item x="175"/>
        <item x="514"/>
        <item x="91"/>
        <item x="544"/>
        <item x="522"/>
        <item x="464"/>
        <item x="2"/>
        <item x="480"/>
        <item x="479"/>
        <item x="67"/>
        <item x="202"/>
        <item x="122"/>
        <item x="395"/>
        <item x="377"/>
        <item x="263"/>
        <item x="260"/>
        <item x="140"/>
        <item x="86"/>
        <item x="164"/>
        <item x="393"/>
        <item x="534"/>
        <item x="540"/>
        <item x="254"/>
        <item x="256"/>
        <item x="532"/>
        <item x="78"/>
        <item x="11"/>
        <item x="549"/>
        <item x="173"/>
        <item x="26"/>
        <item x="270"/>
        <item x="475"/>
        <item x="213"/>
        <item x="488"/>
        <item x="448"/>
        <item x="96"/>
        <item x="134"/>
        <item x="452"/>
        <item x="463"/>
        <item x="512"/>
        <item x="545"/>
        <item x="148"/>
        <item x="402"/>
        <item x="515"/>
        <item x="429"/>
        <item x="365"/>
        <item x="385"/>
        <item x="457"/>
        <item x="262"/>
        <item x="542"/>
        <item x="516"/>
        <item x="456"/>
        <item x="54"/>
        <item x="371"/>
        <item x="470"/>
        <item x="143"/>
        <item x="412"/>
        <item x="491"/>
        <item x="431"/>
        <item x="473"/>
        <item x="466"/>
        <item x="382"/>
        <item x="366"/>
        <item x="372"/>
        <item x="56"/>
        <item x="496"/>
        <item x="379"/>
        <item x="508"/>
        <item x="378"/>
        <item x="115"/>
        <item x="369"/>
        <item x="268"/>
        <item x="102"/>
        <item x="123"/>
        <item x="22"/>
        <item x="167"/>
        <item x="338"/>
        <item x="90"/>
        <item x="267"/>
        <item x="469"/>
        <item x="537"/>
        <item x="367"/>
        <item x="380"/>
        <item x="84"/>
        <item x="192"/>
        <item x="74"/>
        <item x="314"/>
        <item x="487"/>
        <item x="92"/>
        <item x="502"/>
        <item x="376"/>
        <item x="83"/>
        <item x="499"/>
        <item x="389"/>
        <item x="474"/>
        <item t="default"/>
      </items>
    </pivotField>
    <pivotField axis="axisRow" showAll="0" measureFilter="1" sortType="descending">
      <items count="393">
        <item x="45"/>
        <item x="387"/>
        <item x="113"/>
        <item x="339"/>
        <item x="128"/>
        <item x="95"/>
        <item x="79"/>
        <item x="105"/>
        <item x="372"/>
        <item x="154"/>
        <item x="129"/>
        <item x="213"/>
        <item x="71"/>
        <item x="184"/>
        <item x="97"/>
        <item x="116"/>
        <item x="99"/>
        <item x="87"/>
        <item x="302"/>
        <item x="192"/>
        <item x="6"/>
        <item x="359"/>
        <item x="314"/>
        <item x="362"/>
        <item x="252"/>
        <item x="33"/>
        <item x="64"/>
        <item x="83"/>
        <item x="318"/>
        <item x="187"/>
        <item x="209"/>
        <item x="37"/>
        <item x="118"/>
        <item x="328"/>
        <item x="332"/>
        <item x="262"/>
        <item x="151"/>
        <item x="122"/>
        <item x="321"/>
        <item x="14"/>
        <item x="295"/>
        <item x="324"/>
        <item x="190"/>
        <item x="15"/>
        <item x="55"/>
        <item x="156"/>
        <item x="344"/>
        <item x="368"/>
        <item x="61"/>
        <item x="317"/>
        <item x="137"/>
        <item x="271"/>
        <item x="125"/>
        <item x="251"/>
        <item x="123"/>
        <item x="160"/>
        <item x="62"/>
        <item x="186"/>
        <item x="353"/>
        <item x="100"/>
        <item x="260"/>
        <item x="237"/>
        <item x="224"/>
        <item x="351"/>
        <item x="161"/>
        <item x="126"/>
        <item x="163"/>
        <item x="1"/>
        <item x="75"/>
        <item x="85"/>
        <item x="191"/>
        <item x="145"/>
        <item x="133"/>
        <item x="104"/>
        <item x="130"/>
        <item x="334"/>
        <item x="93"/>
        <item x="111"/>
        <item x="338"/>
        <item x="333"/>
        <item x="143"/>
        <item x="142"/>
        <item x="127"/>
        <item x="121"/>
        <item x="316"/>
        <item x="350"/>
        <item x="356"/>
        <item x="322"/>
        <item x="117"/>
        <item x="343"/>
        <item x="233"/>
        <item sd="0" x="18"/>
        <item x="214"/>
        <item x="157"/>
        <item sd="0" x="174"/>
        <item x="19"/>
        <item x="327"/>
        <item x="380"/>
        <item x="59"/>
        <item x="80"/>
        <item sd="0" x="88"/>
        <item x="3"/>
        <item x="30"/>
        <item x="330"/>
        <item x="337"/>
        <item x="253"/>
        <item x="9"/>
        <item x="0"/>
        <item x="200"/>
        <item x="210"/>
        <item x="40"/>
        <item x="22"/>
        <item x="346"/>
        <item x="56"/>
        <item x="326"/>
        <item x="349"/>
        <item x="348"/>
        <item x="229"/>
        <item x="325"/>
        <item x="342"/>
        <item sd="0" x="47"/>
        <item x="360"/>
        <item x="144"/>
        <item x="65"/>
        <item sd="0" x="195"/>
        <item x="135"/>
        <item x="367"/>
        <item x="290"/>
        <item x="188"/>
        <item x="169"/>
        <item x="385"/>
        <item x="16"/>
        <item x="115"/>
        <item x="268"/>
        <item x="176"/>
        <item x="94"/>
        <item x="164"/>
        <item x="235"/>
        <item x="52"/>
        <item x="24"/>
        <item x="315"/>
        <item x="74"/>
        <item x="377"/>
        <item x="246"/>
        <item x="320"/>
        <item x="44"/>
        <item x="211"/>
        <item x="20"/>
        <item x="226"/>
        <item x="189"/>
        <item x="146"/>
        <item x="69"/>
        <item x="218"/>
        <item x="220"/>
        <item x="78"/>
        <item sd="0" x="194"/>
        <item x="378"/>
        <item x="150"/>
        <item x="361"/>
        <item x="228"/>
        <item x="241"/>
        <item x="215"/>
        <item sd="0" x="41"/>
        <item x="249"/>
        <item x="4"/>
        <item x="120"/>
        <item x="167"/>
        <item x="132"/>
        <item x="21"/>
        <item x="181"/>
        <item x="2"/>
        <item x="244"/>
        <item x="11"/>
        <item x="255"/>
        <item x="352"/>
        <item x="168"/>
        <item x="245"/>
        <item x="173"/>
        <item x="196"/>
        <item x="357"/>
        <item x="340"/>
        <item x="46"/>
        <item x="264"/>
        <item x="386"/>
        <item x="365"/>
        <item x="131"/>
        <item x="158"/>
        <item x="319"/>
        <item x="91"/>
        <item x="13"/>
        <item x="212"/>
        <item x="68"/>
        <item x="202"/>
        <item x="12"/>
        <item x="36"/>
        <item x="89"/>
        <item x="363"/>
        <item x="177"/>
        <item x="35"/>
        <item x="306"/>
        <item x="370"/>
        <item x="242"/>
        <item x="148"/>
        <item x="256"/>
        <item x="331"/>
        <item x="49"/>
        <item x="182"/>
        <item x="282"/>
        <item x="81"/>
        <item x="193"/>
        <item x="279"/>
        <item x="269"/>
        <item x="239"/>
        <item x="141"/>
        <item x="92"/>
        <item x="247"/>
        <item x="34"/>
        <item x="119"/>
        <item x="8"/>
        <item x="201"/>
        <item x="101"/>
        <item x="336"/>
        <item x="323"/>
        <item x="366"/>
        <item x="153"/>
        <item x="134"/>
        <item x="185"/>
        <item x="345"/>
        <item x="159"/>
        <item x="26"/>
        <item x="310"/>
        <item x="297"/>
        <item x="301"/>
        <item x="7"/>
        <item x="31"/>
        <item x="283"/>
        <item x="276"/>
        <item x="166"/>
        <item x="29"/>
        <item x="272"/>
        <item x="369"/>
        <item x="298"/>
        <item x="311"/>
        <item x="312"/>
        <item x="308"/>
        <item x="274"/>
        <item x="294"/>
        <item x="296"/>
        <item x="293"/>
        <item x="388"/>
        <item x="291"/>
        <item x="303"/>
        <item x="278"/>
        <item x="287"/>
        <item x="234"/>
        <item x="292"/>
        <item m="1" x="391"/>
        <item x="284"/>
        <item x="381"/>
        <item x="155"/>
        <item sd="0" x="5"/>
        <item x="379"/>
        <item x="232"/>
        <item sd="0" x="162"/>
        <item x="152"/>
        <item x="198"/>
        <item x="175"/>
        <item x="374"/>
        <item x="347"/>
        <item x="107"/>
        <item x="390"/>
        <item x="248"/>
        <item x="257"/>
        <item x="300"/>
        <item x="43"/>
        <item x="288"/>
        <item x="280"/>
        <item x="289"/>
        <item x="281"/>
        <item x="305"/>
        <item x="28"/>
        <item x="376"/>
        <item x="199"/>
        <item x="206"/>
        <item x="25"/>
        <item x="309"/>
        <item x="42"/>
        <item x="17"/>
        <item x="304"/>
        <item x="371"/>
        <item x="217"/>
        <item x="53"/>
        <item x="48"/>
        <item x="171"/>
        <item x="114"/>
        <item x="58"/>
        <item x="216"/>
        <item x="254"/>
        <item x="275"/>
        <item x="222"/>
        <item x="66"/>
        <item x="38"/>
        <item x="109"/>
        <item x="63"/>
        <item x="102"/>
        <item x="354"/>
        <item x="136"/>
        <item x="299"/>
        <item x="259"/>
        <item x="32"/>
        <item x="375"/>
        <item x="172"/>
        <item x="39"/>
        <item x="183"/>
        <item x="285"/>
        <item x="67"/>
        <item x="307"/>
        <item x="98"/>
        <item x="108"/>
        <item x="240"/>
        <item x="267"/>
        <item x="27"/>
        <item x="219"/>
        <item x="76"/>
        <item x="258"/>
        <item x="221"/>
        <item x="277"/>
        <item x="180"/>
        <item x="23"/>
        <item x="265"/>
        <item x="389"/>
        <item x="263"/>
        <item x="286"/>
        <item x="313"/>
        <item x="243"/>
        <item x="250"/>
        <item x="364"/>
        <item x="73"/>
        <item x="110"/>
        <item x="57"/>
        <item x="70"/>
        <item x="238"/>
        <item x="384"/>
        <item x="77"/>
        <item x="147"/>
        <item x="373"/>
        <item x="207"/>
        <item x="227"/>
        <item x="72"/>
        <item x="103"/>
        <item x="90"/>
        <item x="165"/>
        <item x="96"/>
        <item x="10"/>
        <item x="178"/>
        <item x="383"/>
        <item x="225"/>
        <item x="355"/>
        <item x="50"/>
        <item x="124"/>
        <item x="231"/>
        <item sd="0" x="204"/>
        <item x="203"/>
        <item x="86"/>
        <item x="138"/>
        <item x="270"/>
        <item x="205"/>
        <item x="51"/>
        <item x="273"/>
        <item x="54"/>
        <item x="106"/>
        <item x="139"/>
        <item x="84"/>
        <item x="236"/>
        <item x="329"/>
        <item x="149"/>
        <item x="261"/>
        <item x="112"/>
        <item x="208"/>
        <item x="170"/>
        <item x="335"/>
        <item x="358"/>
        <item x="266"/>
        <item x="82"/>
        <item x="382"/>
        <item x="230"/>
        <item x="197"/>
        <item x="223"/>
        <item x="140"/>
        <item x="179"/>
        <item x="60"/>
        <item x="341"/>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 numFmtId="164" showAll="0"/>
    <pivotField showAll="0"/>
    <pivotField dataField="1" showAll="0"/>
    <pivotField showAll="0"/>
    <pivotField showAll="0"/>
    <pivotField showAll="0"/>
    <pivotField showAll="0"/>
  </pivotFields>
  <rowFields count="2">
    <field x="1"/>
    <field x="0"/>
  </rowFields>
  <rowItems count="17">
    <i>
      <x v="107"/>
    </i>
    <i r="1">
      <x v="7"/>
    </i>
    <i r="1">
      <x v="303"/>
    </i>
    <i r="1">
      <x v="304"/>
    </i>
    <i r="1">
      <x v="306"/>
    </i>
    <i r="1">
      <x v="310"/>
    </i>
    <i r="1">
      <x v="390"/>
    </i>
    <i r="1">
      <x v="393"/>
    </i>
    <i r="1">
      <x v="485"/>
    </i>
    <i r="1">
      <x v="504"/>
    </i>
    <i r="1">
      <x v="511"/>
    </i>
    <i r="1">
      <x v="521"/>
    </i>
    <i r="1">
      <x v="536"/>
    </i>
    <i r="1">
      <x v="539"/>
    </i>
    <i r="1">
      <x v="540"/>
    </i>
    <i>
      <x v="94"/>
    </i>
    <i>
      <x v="120"/>
    </i>
  </rowItems>
  <colItems count="1">
    <i/>
  </colItems>
  <dataFields count="1">
    <dataField name="Sum of View_Count" fld="6" baseField="0" baseItem="0"/>
  </dataFields>
  <formats count="33">
    <format dxfId="436">
      <pivotArea collapsedLevelsAreSubtotals="1" fieldPosition="0">
        <references count="2">
          <reference field="4294967294" count="1" selected="0">
            <x v="0"/>
          </reference>
          <reference field="1" count="1">
            <x v="107"/>
          </reference>
        </references>
      </pivotArea>
    </format>
    <format dxfId="435">
      <pivotArea collapsedLevelsAreSubtotals="1" fieldPosition="0">
        <references count="2">
          <reference field="4294967294" count="1" selected="0">
            <x v="0"/>
          </reference>
          <reference field="1" count="1">
            <x v="107"/>
          </reference>
        </references>
      </pivotArea>
    </format>
    <format dxfId="434">
      <pivotArea dataOnly="0" labelOnly="1" fieldPosition="0">
        <references count="1">
          <reference field="1" count="1">
            <x v="107"/>
          </reference>
        </references>
      </pivotArea>
    </format>
    <format dxfId="433">
      <pivotArea dataOnly="0" labelOnly="1" fieldPosition="0">
        <references count="1">
          <reference field="1" count="2">
            <x v="94"/>
            <x v="120"/>
          </reference>
        </references>
      </pivotArea>
    </format>
    <format dxfId="432">
      <pivotArea collapsedLevelsAreSubtotals="1" fieldPosition="0">
        <references count="2">
          <reference field="4294967294" count="1" selected="0">
            <x v="0"/>
          </reference>
          <reference field="1" count="1">
            <x v="94"/>
          </reference>
        </references>
      </pivotArea>
    </format>
    <format dxfId="431">
      <pivotArea collapsedLevelsAreSubtotals="1" fieldPosition="0">
        <references count="2">
          <reference field="4294967294" count="1" selected="0">
            <x v="0"/>
          </reference>
          <reference field="1" count="1">
            <x v="120"/>
          </reference>
        </references>
      </pivotArea>
    </format>
    <format dxfId="430">
      <pivotArea collapsedLevelsAreSubtotals="1" fieldPosition="0">
        <references count="2">
          <reference field="4294967294" count="1" selected="0">
            <x v="0"/>
          </reference>
          <reference field="1" count="1">
            <x v="120"/>
          </reference>
        </references>
      </pivotArea>
    </format>
    <format dxfId="429">
      <pivotArea collapsedLevelsAreSubtotals="1" fieldPosition="0">
        <references count="2">
          <reference field="4294967294" count="1" selected="0">
            <x v="0"/>
          </reference>
          <reference field="1" count="1">
            <x v="94"/>
          </reference>
        </references>
      </pivotArea>
    </format>
    <format dxfId="428">
      <pivotArea field="1" type="button" dataOnly="0" labelOnly="1" outline="0" axis="axisRow" fieldPosition="0"/>
    </format>
    <format dxfId="427">
      <pivotArea dataOnly="0" labelOnly="1" outline="0" fieldPosition="0">
        <references count="1">
          <reference field="4294967294" count="1">
            <x v="0"/>
          </reference>
        </references>
      </pivotArea>
    </format>
    <format dxfId="426">
      <pivotArea collapsedLevelsAreSubtotals="1" fieldPosition="0">
        <references count="1">
          <reference field="1" count="1">
            <x v="107"/>
          </reference>
        </references>
      </pivotArea>
    </format>
    <format dxfId="425">
      <pivotArea dataOnly="0" labelOnly="1" fieldPosition="0">
        <references count="1">
          <reference field="1" count="1">
            <x v="107"/>
          </reference>
        </references>
      </pivotArea>
    </format>
    <format dxfId="424">
      <pivotArea collapsedLevelsAreSubtotals="1" fieldPosition="0">
        <references count="1">
          <reference field="1" count="1">
            <x v="94"/>
          </reference>
        </references>
      </pivotArea>
    </format>
    <format dxfId="423">
      <pivotArea collapsedLevelsAreSubtotals="1" fieldPosition="0">
        <references count="1">
          <reference field="1" count="1">
            <x v="120"/>
          </reference>
        </references>
      </pivotArea>
    </format>
    <format dxfId="422">
      <pivotArea dataOnly="0" labelOnly="1" fieldPosition="0">
        <references count="1">
          <reference field="1" count="2">
            <x v="94"/>
            <x v="120"/>
          </reference>
        </references>
      </pivotArea>
    </format>
    <format dxfId="421">
      <pivotArea field="1" type="button" dataOnly="0" labelOnly="1" outline="0" axis="axisRow" fieldPosition="0"/>
    </format>
    <format dxfId="420">
      <pivotArea dataOnly="0" labelOnly="1" outline="0" axis="axisValues" fieldPosition="0"/>
    </format>
    <format dxfId="419">
      <pivotArea field="1" type="button" dataOnly="0" labelOnly="1" outline="0" axis="axisRow" fieldPosition="0"/>
    </format>
    <format dxfId="418">
      <pivotArea dataOnly="0" labelOnly="1" outline="0" axis="axisValues" fieldPosition="0"/>
    </format>
    <format dxfId="417">
      <pivotArea collapsedLevelsAreSubtotals="1" fieldPosition="0">
        <references count="1">
          <reference field="1" count="1">
            <x v="107"/>
          </reference>
        </references>
      </pivotArea>
    </format>
    <format dxfId="416">
      <pivotArea dataOnly="0" labelOnly="1" fieldPosition="0">
        <references count="1">
          <reference field="1" count="1">
            <x v="107"/>
          </reference>
        </references>
      </pivotArea>
    </format>
    <format dxfId="415">
      <pivotArea dataOnly="0" fieldPosition="0">
        <references count="1">
          <reference field="1" count="2">
            <x v="94"/>
            <x v="120"/>
          </reference>
        </references>
      </pivotArea>
    </format>
    <format dxfId="414">
      <pivotArea collapsedLevelsAreSubtotals="1" fieldPosition="0">
        <references count="1">
          <reference field="1" count="1">
            <x v="107"/>
          </reference>
        </references>
      </pivotArea>
    </format>
    <format dxfId="413">
      <pivotArea collapsedLevelsAreSubtotals="1" fieldPosition="0">
        <references count="1">
          <reference field="1" count="1">
            <x v="94"/>
          </reference>
        </references>
      </pivotArea>
    </format>
    <format dxfId="412">
      <pivotArea collapsedLevelsAreSubtotals="1" fieldPosition="0">
        <references count="1">
          <reference field="1" count="1">
            <x v="120"/>
          </reference>
        </references>
      </pivotArea>
    </format>
    <format dxfId="411">
      <pivotArea dataOnly="0" fieldPosition="0">
        <references count="2">
          <reference field="0" count="14">
            <x v="7"/>
            <x v="303"/>
            <x v="304"/>
            <x v="306"/>
            <x v="310"/>
            <x v="390"/>
            <x v="393"/>
            <x v="485"/>
            <x v="504"/>
            <x v="511"/>
            <x v="521"/>
            <x v="536"/>
            <x v="539"/>
            <x v="540"/>
          </reference>
          <reference field="1" count="1" selected="0">
            <x v="107"/>
          </reference>
        </references>
      </pivotArea>
    </format>
    <format dxfId="410">
      <pivotArea dataOnly="0" fieldPosition="0">
        <references count="2">
          <reference field="0" count="14">
            <x v="7"/>
            <x v="303"/>
            <x v="304"/>
            <x v="306"/>
            <x v="310"/>
            <x v="390"/>
            <x v="393"/>
            <x v="485"/>
            <x v="504"/>
            <x v="511"/>
            <x v="521"/>
            <x v="536"/>
            <x v="539"/>
            <x v="540"/>
          </reference>
          <reference field="1" count="1" selected="0">
            <x v="107"/>
          </reference>
        </references>
      </pivotArea>
    </format>
    <format dxfId="409">
      <pivotArea collapsedLevelsAreSubtotals="1" fieldPosition="0">
        <references count="1">
          <reference field="1" count="1">
            <x v="107"/>
          </reference>
        </references>
      </pivotArea>
    </format>
    <format dxfId="408">
      <pivotArea collapsedLevelsAreSubtotals="1" fieldPosition="0">
        <references count="2">
          <reference field="0" count="14">
            <x v="7"/>
            <x v="303"/>
            <x v="304"/>
            <x v="306"/>
            <x v="310"/>
            <x v="390"/>
            <x v="393"/>
            <x v="485"/>
            <x v="504"/>
            <x v="511"/>
            <x v="521"/>
            <x v="536"/>
            <x v="539"/>
            <x v="540"/>
          </reference>
          <reference field="1" count="1" selected="0">
            <x v="107"/>
          </reference>
        </references>
      </pivotArea>
    </format>
    <format dxfId="407">
      <pivotArea collapsedLevelsAreSubtotals="1" fieldPosition="0">
        <references count="2">
          <reference field="0" count="14">
            <x v="7"/>
            <x v="303"/>
            <x v="304"/>
            <x v="306"/>
            <x v="310"/>
            <x v="390"/>
            <x v="393"/>
            <x v="485"/>
            <x v="504"/>
            <x v="511"/>
            <x v="521"/>
            <x v="536"/>
            <x v="539"/>
            <x v="540"/>
          </reference>
          <reference field="1" count="1" selected="0">
            <x v="107"/>
          </reference>
        </references>
      </pivotArea>
    </format>
    <format dxfId="406">
      <pivotArea dataOnly="0" labelOnly="1" fieldPosition="0">
        <references count="2">
          <reference field="0" count="14">
            <x v="7"/>
            <x v="303"/>
            <x v="304"/>
            <x v="306"/>
            <x v="310"/>
            <x v="390"/>
            <x v="393"/>
            <x v="485"/>
            <x v="504"/>
            <x v="511"/>
            <x v="521"/>
            <x v="536"/>
            <x v="539"/>
            <x v="540"/>
          </reference>
          <reference field="1" count="1" selected="0">
            <x v="107"/>
          </reference>
        </references>
      </pivotArea>
    </format>
    <format dxfId="405">
      <pivotArea collapsedLevelsAreSubtotals="1" fieldPosition="0">
        <references count="2">
          <reference field="0" count="14">
            <x v="7"/>
            <x v="303"/>
            <x v="304"/>
            <x v="306"/>
            <x v="310"/>
            <x v="390"/>
            <x v="393"/>
            <x v="485"/>
            <x v="504"/>
            <x v="511"/>
            <x v="521"/>
            <x v="536"/>
            <x v="539"/>
            <x v="540"/>
          </reference>
          <reference field="1" count="1" selected="0">
            <x v="107"/>
          </reference>
        </references>
      </pivotArea>
    </format>
    <format dxfId="404">
      <pivotArea dataOnly="0" labelOnly="1" fieldPosition="0">
        <references count="2">
          <reference field="0" count="14">
            <x v="7"/>
            <x v="303"/>
            <x v="304"/>
            <x v="306"/>
            <x v="310"/>
            <x v="390"/>
            <x v="393"/>
            <x v="485"/>
            <x v="504"/>
            <x v="511"/>
            <x v="521"/>
            <x v="536"/>
            <x v="539"/>
            <x v="540"/>
          </reference>
          <reference field="1" count="1" selected="0">
            <x v="107"/>
          </reference>
        </references>
      </pivotArea>
    </format>
  </formats>
  <pivotTableStyleInfo name="PivotStyleLight15" showRowHeaders="1" showColHeaders="1" showRowStripes="0" showColStripes="0" showLastColumn="1"/>
  <filters count="1">
    <filter fld="1" type="count" evalOrder="-1" id="20"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059452-5F53-D44F-98ED-0225559B80F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67:G72" firstHeaderRow="0" firstDataRow="1" firstDataCol="1"/>
  <pivotFields count="11">
    <pivotField showAll="0"/>
    <pivotField dataField="1" showAll="0"/>
    <pivotField showAll="0"/>
    <pivotField showAll="0"/>
    <pivotField showAll="0"/>
    <pivotField axis="axisRow" showAll="0" sortType="descending">
      <items count="5">
        <item x="0"/>
        <item x="3"/>
        <item x="2"/>
        <item x="1"/>
        <item t="default"/>
      </items>
      <autoSortScope>
        <pivotArea dataOnly="0" outline="0" fieldPosition="0">
          <references count="1">
            <reference field="4294967294" count="1" selected="0">
              <x v="1"/>
            </reference>
          </references>
        </pivotArea>
      </autoSortScope>
    </pivotField>
    <pivotField dataField="1" showAll="0"/>
    <pivotField showAll="0"/>
    <pivotField dataField="1" showAll="0"/>
    <pivotField showAll="0"/>
    <pivotField showAll="0"/>
  </pivotFields>
  <rowFields count="1">
    <field x="5"/>
  </rowFields>
  <rowItems count="5">
    <i>
      <x/>
    </i>
    <i>
      <x v="3"/>
    </i>
    <i>
      <x v="2"/>
    </i>
    <i>
      <x v="1"/>
    </i>
    <i t="grand">
      <x/>
    </i>
  </rowItems>
  <colFields count="1">
    <field x="-2"/>
  </colFields>
  <colItems count="3">
    <i>
      <x/>
    </i>
    <i i="1">
      <x v="1"/>
    </i>
    <i i="2">
      <x v="2"/>
    </i>
  </colItems>
  <dataFields count="3">
    <dataField name="Count of Product" fld="1" subtotal="count" baseField="0" baseItem="0"/>
    <dataField name="Total_Views" fld="6" baseField="0" baseItem="0"/>
    <dataField name="Total_Review_Count" fld="8" baseField="0" baseItem="0"/>
  </dataFields>
  <formats count="20">
    <format dxfId="229">
      <pivotArea collapsedLevelsAreSubtotals="1" fieldPosition="0">
        <references count="1">
          <reference field="5" count="1">
            <x v="0"/>
          </reference>
        </references>
      </pivotArea>
    </format>
    <format dxfId="228">
      <pivotArea collapsedLevelsAreSubtotals="1" fieldPosition="0">
        <references count="1">
          <reference field="5" count="1">
            <x v="3"/>
          </reference>
        </references>
      </pivotArea>
    </format>
    <format dxfId="227">
      <pivotArea collapsedLevelsAreSubtotals="1" fieldPosition="0">
        <references count="1">
          <reference field="5" count="2">
            <x v="1"/>
            <x v="2"/>
          </reference>
        </references>
      </pivotArea>
    </format>
    <format dxfId="226">
      <pivotArea collapsedLevelsAreSubtotals="1" fieldPosition="0">
        <references count="1">
          <reference field="5" count="1">
            <x v="0"/>
          </reference>
        </references>
      </pivotArea>
    </format>
    <format dxfId="225">
      <pivotArea collapsedLevelsAreSubtotals="1" fieldPosition="0">
        <references count="1">
          <reference field="5" count="1">
            <x v="0"/>
          </reference>
        </references>
      </pivotArea>
    </format>
    <format dxfId="224">
      <pivotArea field="5" type="button" dataOnly="0" labelOnly="1" outline="0" axis="axisRow" fieldPosition="0"/>
    </format>
    <format dxfId="223">
      <pivotArea dataOnly="0" labelOnly="1" outline="0" fieldPosition="0">
        <references count="1">
          <reference field="4294967294" count="3">
            <x v="0"/>
            <x v="1"/>
            <x v="2"/>
          </reference>
        </references>
      </pivotArea>
    </format>
    <format dxfId="222">
      <pivotArea field="5" type="button" dataOnly="0" labelOnly="1" outline="0" axis="axisRow" fieldPosition="0"/>
    </format>
    <format dxfId="221">
      <pivotArea dataOnly="0" labelOnly="1" outline="0" fieldPosition="0">
        <references count="1">
          <reference field="4294967294" count="3">
            <x v="0"/>
            <x v="1"/>
            <x v="2"/>
          </reference>
        </references>
      </pivotArea>
    </format>
    <format dxfId="220">
      <pivotArea dataOnly="0" grandRow="1" axis="axisRow" fieldPosition="0"/>
    </format>
    <format dxfId="219">
      <pivotArea dataOnly="0" grandRow="1" axis="axisRow" fieldPosition="0"/>
    </format>
    <format dxfId="218">
      <pivotArea dataOnly="0" labelOnly="1" fieldPosition="0">
        <references count="1">
          <reference field="5" count="1">
            <x v="0"/>
          </reference>
        </references>
      </pivotArea>
    </format>
    <format dxfId="217">
      <pivotArea collapsedLevelsAreSubtotals="1" fieldPosition="0">
        <references count="1">
          <reference field="5" count="1">
            <x v="3"/>
          </reference>
        </references>
      </pivotArea>
    </format>
    <format dxfId="216">
      <pivotArea collapsedLevelsAreSubtotals="1" fieldPosition="0">
        <references count="2">
          <reference field="4294967294" count="1" selected="0">
            <x v="0"/>
          </reference>
          <reference field="5" count="1">
            <x v="0"/>
          </reference>
        </references>
      </pivotArea>
    </format>
    <format dxfId="215">
      <pivotArea collapsedLevelsAreSubtotals="1" fieldPosition="0">
        <references count="2">
          <reference field="4294967294" count="2" selected="0">
            <x v="1"/>
            <x v="2"/>
          </reference>
          <reference field="5" count="1">
            <x v="0"/>
          </reference>
        </references>
      </pivotArea>
    </format>
    <format dxfId="214">
      <pivotArea dataOnly="0" labelOnly="1" fieldPosition="0">
        <references count="1">
          <reference field="5" count="1">
            <x v="0"/>
          </reference>
        </references>
      </pivotArea>
    </format>
    <format dxfId="213">
      <pivotArea dataOnly="0" labelOnly="1" fieldPosition="0">
        <references count="1">
          <reference field="5" count="1">
            <x v="3"/>
          </reference>
        </references>
      </pivotArea>
    </format>
    <format dxfId="212">
      <pivotArea dataOnly="0" labelOnly="1" fieldPosition="0">
        <references count="1">
          <reference field="5" count="1">
            <x v="3"/>
          </reference>
        </references>
      </pivotArea>
    </format>
    <format dxfId="211">
      <pivotArea collapsedLevelsAreSubtotals="1" fieldPosition="0">
        <references count="1">
          <reference field="5" count="1">
            <x v="3"/>
          </reference>
        </references>
      </pivotArea>
    </format>
    <format dxfId="210">
      <pivotArea collapsedLevelsAreSubtotals="1" fieldPosition="0">
        <references count="1">
          <reference field="5" count="1">
            <x v="1"/>
          </reference>
        </references>
      </pivotArea>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131FC1-C827-C347-A51D-532597E93368}" name="PivotTable2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rowHeaderCaption="Rate_Group">
  <location ref="C115:E118" firstHeaderRow="0" firstDataRow="1" firstDataCol="1"/>
  <pivotFields count="11">
    <pivotField showAll="0"/>
    <pivotField showAll="0"/>
    <pivotField axis="axisRow" showAll="0" sortType="descending">
      <items count="4">
        <item x="2"/>
        <item x="1"/>
        <item x="0"/>
        <item t="default"/>
      </items>
      <autoSortScope>
        <pivotArea dataOnly="0" outline="0" fieldPosition="0">
          <references count="1">
            <reference field="4294967294" count="1" selected="0">
              <x v="1"/>
            </reference>
          </references>
        </pivotArea>
      </autoSortScope>
    </pivotField>
    <pivotField showAll="0"/>
    <pivotField numFmtId="164" showAll="0"/>
    <pivotField showAll="0"/>
    <pivotField dataField="1" showAll="0"/>
    <pivotField showAll="0"/>
    <pivotField showAll="0"/>
    <pivotField showAll="0"/>
    <pivotField showAll="0"/>
  </pivotFields>
  <rowFields count="1">
    <field x="2"/>
  </rowFields>
  <rowItems count="3">
    <i>
      <x v="2"/>
    </i>
    <i>
      <x/>
    </i>
    <i>
      <x v="1"/>
    </i>
  </rowItems>
  <colFields count="1">
    <field x="-2"/>
  </colFields>
  <colItems count="2">
    <i>
      <x/>
    </i>
    <i i="1">
      <x v="1"/>
    </i>
  </colItems>
  <dataFields count="2">
    <dataField name="View %" fld="6" showDataAs="percentOfTotal" baseField="0" baseItem="0" numFmtId="10"/>
    <dataField name="View_Count " fld="6" baseField="0" baseItem="0"/>
  </dataFields>
  <formats count="34">
    <format dxfId="263">
      <pivotArea collapsedLevelsAreSubtotals="1" fieldPosition="0">
        <references count="2">
          <reference field="4294967294" count="1" selected="0">
            <x v="0"/>
          </reference>
          <reference field="2" count="1">
            <x v="2"/>
          </reference>
        </references>
      </pivotArea>
    </format>
    <format dxfId="262">
      <pivotArea collapsedLevelsAreSubtotals="1" fieldPosition="0">
        <references count="2">
          <reference field="4294967294" count="1" selected="0">
            <x v="0"/>
          </reference>
          <reference field="2" count="1">
            <x v="0"/>
          </reference>
        </references>
      </pivotArea>
    </format>
    <format dxfId="261">
      <pivotArea collapsedLevelsAreSubtotals="1" fieldPosition="0">
        <references count="2">
          <reference field="4294967294" count="1" selected="0">
            <x v="0"/>
          </reference>
          <reference field="2" count="1">
            <x v="1"/>
          </reference>
        </references>
      </pivotArea>
    </format>
    <format dxfId="260">
      <pivotArea dataOnly="0" fieldPosition="0">
        <references count="1">
          <reference field="2" count="1">
            <x v="2"/>
          </reference>
        </references>
      </pivotArea>
    </format>
    <format dxfId="259">
      <pivotArea collapsedLevelsAreSubtotals="1" fieldPosition="0">
        <references count="1">
          <reference field="2" count="1">
            <x v="0"/>
          </reference>
        </references>
      </pivotArea>
    </format>
    <format dxfId="258">
      <pivotArea dataOnly="0" labelOnly="1" fieldPosition="0">
        <references count="1">
          <reference field="2" count="1">
            <x v="0"/>
          </reference>
        </references>
      </pivotArea>
    </format>
    <format dxfId="257">
      <pivotArea dataOnly="0" fieldPosition="0">
        <references count="1">
          <reference field="2" count="1">
            <x v="0"/>
          </reference>
        </references>
      </pivotArea>
    </format>
    <format dxfId="256">
      <pivotArea collapsedLevelsAreSubtotals="1" fieldPosition="0">
        <references count="1">
          <reference field="2" count="1">
            <x v="1"/>
          </reference>
        </references>
      </pivotArea>
    </format>
    <format dxfId="255">
      <pivotArea dataOnly="0" labelOnly="1" fieldPosition="0">
        <references count="1">
          <reference field="2" count="1">
            <x v="1"/>
          </reference>
        </references>
      </pivotArea>
    </format>
    <format dxfId="254">
      <pivotArea collapsedLevelsAreSubtotals="1" fieldPosition="0">
        <references count="2">
          <reference field="4294967294" count="1" selected="0">
            <x v="0"/>
          </reference>
          <reference field="2" count="1">
            <x v="2"/>
          </reference>
        </references>
      </pivotArea>
    </format>
    <format dxfId="253">
      <pivotArea collapsedLevelsAreSubtotals="1" fieldPosition="0">
        <references count="2">
          <reference field="4294967294" count="1" selected="0">
            <x v="0"/>
          </reference>
          <reference field="2" count="1">
            <x v="0"/>
          </reference>
        </references>
      </pivotArea>
    </format>
    <format dxfId="252">
      <pivotArea collapsedLevelsAreSubtotals="1" fieldPosition="0">
        <references count="2">
          <reference field="4294967294" count="1" selected="0">
            <x v="1"/>
          </reference>
          <reference field="2" count="1">
            <x v="2"/>
          </reference>
        </references>
      </pivotArea>
    </format>
    <format dxfId="251">
      <pivotArea collapsedLevelsAreSubtotals="1" fieldPosition="0">
        <references count="2">
          <reference field="4294967294" count="1" selected="0">
            <x v="1"/>
          </reference>
          <reference field="2" count="1">
            <x v="0"/>
          </reference>
        </references>
      </pivotArea>
    </format>
    <format dxfId="250">
      <pivotArea dataOnly="0" labelOnly="1" fieldPosition="0">
        <references count="1">
          <reference field="2" count="2">
            <x v="0"/>
            <x v="2"/>
          </reference>
        </references>
      </pivotArea>
    </format>
    <format dxfId="249">
      <pivotArea field="2" type="button" dataOnly="0" labelOnly="1" outline="0" axis="axisRow" fieldPosition="0"/>
    </format>
    <format dxfId="248">
      <pivotArea dataOnly="0" labelOnly="1" outline="0" fieldPosition="0">
        <references count="1">
          <reference field="4294967294" count="2">
            <x v="0"/>
            <x v="1"/>
          </reference>
        </references>
      </pivotArea>
    </format>
    <format dxfId="247">
      <pivotArea field="2" type="button" dataOnly="0" labelOnly="1" outline="0" axis="axisRow" fieldPosition="0"/>
    </format>
    <format dxfId="246">
      <pivotArea dataOnly="0" labelOnly="1" outline="0" fieldPosition="0">
        <references count="1">
          <reference field="4294967294" count="2">
            <x v="0"/>
            <x v="1"/>
          </reference>
        </references>
      </pivotArea>
    </format>
    <format dxfId="245">
      <pivotArea field="2" type="button" dataOnly="0" labelOnly="1" outline="0" axis="axisRow" fieldPosition="0"/>
    </format>
    <format dxfId="244">
      <pivotArea dataOnly="0" labelOnly="1" outline="0" fieldPosition="0">
        <references count="1">
          <reference field="4294967294" count="2">
            <x v="0"/>
            <x v="1"/>
          </reference>
        </references>
      </pivotArea>
    </format>
    <format dxfId="243">
      <pivotArea dataOnly="0" fieldPosition="0">
        <references count="1">
          <reference field="2" count="2">
            <x v="0"/>
            <x v="2"/>
          </reference>
        </references>
      </pivotArea>
    </format>
    <format dxfId="242">
      <pivotArea dataOnly="0" labelOnly="1" fieldPosition="0">
        <references count="1">
          <reference field="2" count="1">
            <x v="1"/>
          </reference>
        </references>
      </pivotArea>
    </format>
    <format dxfId="241">
      <pivotArea dataOnly="0" labelOnly="1" outline="0" fieldPosition="0">
        <references count="1">
          <reference field="4294967294" count="1">
            <x v="1"/>
          </reference>
        </references>
      </pivotArea>
    </format>
    <format dxfId="240">
      <pivotArea dataOnly="0" labelOnly="1" fieldPosition="0">
        <references count="1">
          <reference field="2" count="0"/>
        </references>
      </pivotArea>
    </format>
    <format dxfId="239">
      <pivotArea outline="0" collapsedLevelsAreSubtotals="1" fieldPosition="0">
        <references count="1">
          <reference field="4294967294" count="1" selected="0">
            <x v="1"/>
          </reference>
        </references>
      </pivotArea>
    </format>
    <format dxfId="238">
      <pivotArea outline="0" collapsedLevelsAreSubtotals="1" fieldPosition="0">
        <references count="1">
          <reference field="4294967294" count="1" selected="0">
            <x v="0"/>
          </reference>
        </references>
      </pivotArea>
    </format>
    <format dxfId="237">
      <pivotArea field="2" type="button" dataOnly="0" labelOnly="1" outline="0" axis="axisRow" fieldPosition="0"/>
    </format>
    <format dxfId="236">
      <pivotArea dataOnly="0" labelOnly="1" outline="0" fieldPosition="0">
        <references count="1">
          <reference field="4294967294" count="2">
            <x v="0"/>
            <x v="1"/>
          </reference>
        </references>
      </pivotArea>
    </format>
    <format dxfId="235">
      <pivotArea dataOnly="0" labelOnly="1" outline="0" fieldPosition="0">
        <references count="1">
          <reference field="4294967294" count="1">
            <x v="0"/>
          </reference>
        </references>
      </pivotArea>
    </format>
    <format dxfId="234">
      <pivotArea collapsedLevelsAreSubtotals="1" fieldPosition="0">
        <references count="1">
          <reference field="2" count="1">
            <x v="0"/>
          </reference>
        </references>
      </pivotArea>
    </format>
    <format dxfId="233">
      <pivotArea dataOnly="0" labelOnly="1" fieldPosition="0">
        <references count="1">
          <reference field="2" count="1">
            <x v="0"/>
          </reference>
        </references>
      </pivotArea>
    </format>
    <format dxfId="232">
      <pivotArea collapsedLevelsAreSubtotals="1" fieldPosition="0">
        <references count="1">
          <reference field="2" count="1">
            <x v="2"/>
          </reference>
        </references>
      </pivotArea>
    </format>
    <format dxfId="231">
      <pivotArea dataOnly="0" labelOnly="1" fieldPosition="0">
        <references count="1">
          <reference field="2" count="1">
            <x v="2"/>
          </reference>
        </references>
      </pivotArea>
    </format>
    <format dxfId="230">
      <pivotArea dataOnly="0" fieldPosition="0">
        <references count="1">
          <reference field="2" count="1">
            <x v="0"/>
          </reference>
        </references>
      </pivotArea>
    </format>
  </formats>
  <chartFormats count="3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2">
          <reference field="4294967294" count="1" selected="0">
            <x v="0"/>
          </reference>
          <reference field="2" count="1" selected="0">
            <x v="0"/>
          </reference>
        </references>
      </pivotArea>
    </chartFormat>
    <chartFormat chart="3" format="3">
      <pivotArea type="data" outline="0" fieldPosition="0">
        <references count="2">
          <reference field="4294967294" count="1" selected="0">
            <x v="0"/>
          </reference>
          <reference field="2" count="1" selected="0">
            <x v="2"/>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 chart="3" format="5">
      <pivotArea type="data" outline="0" fieldPosition="0">
        <references count="2">
          <reference field="4294967294" count="1" selected="0">
            <x v="1"/>
          </reference>
          <reference field="2" count="1" selected="0">
            <x v="2"/>
          </reference>
        </references>
      </pivotArea>
    </chartFormat>
    <chartFormat chart="3" format="6">
      <pivotArea type="data" outline="0" fieldPosition="0">
        <references count="2">
          <reference field="4294967294" count="1" selected="0">
            <x v="1"/>
          </reference>
          <reference field="2" count="1" selected="0">
            <x v="0"/>
          </reference>
        </references>
      </pivotArea>
    </chartFormat>
    <chartFormat chart="3" format="7">
      <pivotArea type="data" outline="0" fieldPosition="0">
        <references count="2">
          <reference field="4294967294" count="1" selected="0">
            <x v="1"/>
          </reference>
          <reference field="2" count="1" selected="0">
            <x v="1"/>
          </reference>
        </references>
      </pivotArea>
    </chartFormat>
    <chartFormat chart="8" format="16" series="1">
      <pivotArea type="data" outline="0" fieldPosition="0">
        <references count="1">
          <reference field="4294967294" count="1" selected="0">
            <x v="0"/>
          </reference>
        </references>
      </pivotArea>
    </chartFormat>
    <chartFormat chart="8" format="17">
      <pivotArea type="data" outline="0" fieldPosition="0">
        <references count="2">
          <reference field="4294967294" count="1" selected="0">
            <x v="0"/>
          </reference>
          <reference field="2" count="1" selected="0">
            <x v="2"/>
          </reference>
        </references>
      </pivotArea>
    </chartFormat>
    <chartFormat chart="8" format="18">
      <pivotArea type="data" outline="0" fieldPosition="0">
        <references count="2">
          <reference field="4294967294" count="1" selected="0">
            <x v="0"/>
          </reference>
          <reference field="2" count="1" selected="0">
            <x v="0"/>
          </reference>
        </references>
      </pivotArea>
    </chartFormat>
    <chartFormat chart="8" format="19">
      <pivotArea type="data" outline="0" fieldPosition="0">
        <references count="2">
          <reference field="4294967294" count="1" selected="0">
            <x v="0"/>
          </reference>
          <reference field="2" count="1" selected="0">
            <x v="1"/>
          </reference>
        </references>
      </pivotArea>
    </chartFormat>
    <chartFormat chart="8" format="20" series="1">
      <pivotArea type="data" outline="0" fieldPosition="0">
        <references count="1">
          <reference field="4294967294" count="1" selected="0">
            <x v="1"/>
          </reference>
        </references>
      </pivotArea>
    </chartFormat>
    <chartFormat chart="8" format="21">
      <pivotArea type="data" outline="0" fieldPosition="0">
        <references count="2">
          <reference field="4294967294" count="1" selected="0">
            <x v="1"/>
          </reference>
          <reference field="2" count="1" selected="0">
            <x v="2"/>
          </reference>
        </references>
      </pivotArea>
    </chartFormat>
    <chartFormat chart="8" format="22">
      <pivotArea type="data" outline="0" fieldPosition="0">
        <references count="2">
          <reference field="4294967294" count="1" selected="0">
            <x v="1"/>
          </reference>
          <reference field="2" count="1" selected="0">
            <x v="0"/>
          </reference>
        </references>
      </pivotArea>
    </chartFormat>
    <chartFormat chart="8" format="23">
      <pivotArea type="data" outline="0" fieldPosition="0">
        <references count="2">
          <reference field="4294967294" count="1" selected="0">
            <x v="1"/>
          </reference>
          <reference field="2" count="1" selected="0">
            <x v="1"/>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2" count="1" selected="0">
            <x v="2"/>
          </reference>
        </references>
      </pivotArea>
    </chartFormat>
    <chartFormat chart="10" format="10">
      <pivotArea type="data" outline="0" fieldPosition="0">
        <references count="2">
          <reference field="4294967294" count="1" selected="0">
            <x v="0"/>
          </reference>
          <reference field="2" count="1" selected="0">
            <x v="0"/>
          </reference>
        </references>
      </pivotArea>
    </chartFormat>
    <chartFormat chart="10" format="11">
      <pivotArea type="data" outline="0" fieldPosition="0">
        <references count="2">
          <reference field="4294967294" count="1" selected="0">
            <x v="0"/>
          </reference>
          <reference field="2" count="1" selected="0">
            <x v="1"/>
          </reference>
        </references>
      </pivotArea>
    </chartFormat>
    <chartFormat chart="10" format="12" series="1">
      <pivotArea type="data" outline="0" fieldPosition="0">
        <references count="1">
          <reference field="4294967294" count="1" selected="0">
            <x v="1"/>
          </reference>
        </references>
      </pivotArea>
    </chartFormat>
    <chartFormat chart="10" format="13">
      <pivotArea type="data" outline="0" fieldPosition="0">
        <references count="2">
          <reference field="4294967294" count="1" selected="0">
            <x v="1"/>
          </reference>
          <reference field="2" count="1" selected="0">
            <x v="2"/>
          </reference>
        </references>
      </pivotArea>
    </chartFormat>
    <chartFormat chart="10" format="14">
      <pivotArea type="data" outline="0" fieldPosition="0">
        <references count="2">
          <reference field="4294967294" count="1" selected="0">
            <x v="1"/>
          </reference>
          <reference field="2" count="1" selected="0">
            <x v="0"/>
          </reference>
        </references>
      </pivotArea>
    </chartFormat>
    <chartFormat chart="10" format="15">
      <pivotArea type="data" outline="0" fieldPosition="0">
        <references count="2">
          <reference field="4294967294" count="1" selected="0">
            <x v="1"/>
          </reference>
          <reference field="2" count="1" selected="0">
            <x v="1"/>
          </reference>
        </references>
      </pivotArea>
    </chartFormat>
    <chartFormat chart="11" format="16" series="1">
      <pivotArea type="data" outline="0" fieldPosition="0">
        <references count="1">
          <reference field="4294967294" count="1" selected="0">
            <x v="0"/>
          </reference>
        </references>
      </pivotArea>
    </chartFormat>
    <chartFormat chart="11" format="17">
      <pivotArea type="data" outline="0" fieldPosition="0">
        <references count="2">
          <reference field="4294967294" count="1" selected="0">
            <x v="0"/>
          </reference>
          <reference field="2" count="1" selected="0">
            <x v="2"/>
          </reference>
        </references>
      </pivotArea>
    </chartFormat>
    <chartFormat chart="11" format="18">
      <pivotArea type="data" outline="0" fieldPosition="0">
        <references count="2">
          <reference field="4294967294" count="1" selected="0">
            <x v="0"/>
          </reference>
          <reference field="2" count="1" selected="0">
            <x v="0"/>
          </reference>
        </references>
      </pivotArea>
    </chartFormat>
    <chartFormat chart="11" format="19">
      <pivotArea type="data" outline="0" fieldPosition="0">
        <references count="2">
          <reference field="4294967294" count="1" selected="0">
            <x v="0"/>
          </reference>
          <reference field="2" count="1" selected="0">
            <x v="1"/>
          </reference>
        </references>
      </pivotArea>
    </chartFormat>
    <chartFormat chart="11" format="20" series="1">
      <pivotArea type="data" outline="0" fieldPosition="0">
        <references count="1">
          <reference field="4294967294" count="1" selected="0">
            <x v="1"/>
          </reference>
        </references>
      </pivotArea>
    </chartFormat>
    <chartFormat chart="11" format="21">
      <pivotArea type="data" outline="0" fieldPosition="0">
        <references count="2">
          <reference field="4294967294" count="1" selected="0">
            <x v="1"/>
          </reference>
          <reference field="2" count="1" selected="0">
            <x v="2"/>
          </reference>
        </references>
      </pivotArea>
    </chartFormat>
    <chartFormat chart="11" format="22">
      <pivotArea type="data" outline="0" fieldPosition="0">
        <references count="2">
          <reference field="4294967294" count="1" selected="0">
            <x v="1"/>
          </reference>
          <reference field="2" count="1" selected="0">
            <x v="0"/>
          </reference>
        </references>
      </pivotArea>
    </chartFormat>
    <chartFormat chart="11" format="23">
      <pivotArea type="data" outline="0" fieldPosition="0">
        <references count="2">
          <reference field="4294967294" count="1" selected="0">
            <x v="1"/>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7E73E6-693D-5E47-80CE-597EBFF4FE69}" name="PivotTable1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91:D108" firstHeaderRow="1" firstDataRow="1" firstDataCol="1"/>
  <pivotFields count="11">
    <pivotField axis="axisRow" showAll="0">
      <items count="555">
        <item x="154"/>
        <item x="434"/>
        <item x="126"/>
        <item x="117"/>
        <item x="151"/>
        <item x="150"/>
        <item x="160"/>
        <item x="307"/>
        <item x="235"/>
        <item x="203"/>
        <item x="286"/>
        <item x="272"/>
        <item x="232"/>
        <item x="224"/>
        <item x="279"/>
        <item x="285"/>
        <item x="184"/>
        <item x="136"/>
        <item x="450"/>
        <item x="153"/>
        <item x="243"/>
        <item x="328"/>
        <item x="152"/>
        <item x="242"/>
        <item x="207"/>
        <item x="79"/>
        <item x="229"/>
        <item x="358"/>
        <item x="300"/>
        <item x="156"/>
        <item x="157"/>
        <item x="220"/>
        <item x="246"/>
        <item x="161"/>
        <item x="449"/>
        <item x="46"/>
        <item x="536"/>
        <item x="339"/>
        <item x="308"/>
        <item x="113"/>
        <item x="43"/>
        <item x="197"/>
        <item x="44"/>
        <item x="145"/>
        <item x="302"/>
        <item x="351"/>
        <item x="199"/>
        <item x="198"/>
        <item x="282"/>
        <item x="223"/>
        <item x="274"/>
        <item x="234"/>
        <item x="306"/>
        <item x="225"/>
        <item x="344"/>
        <item x="305"/>
        <item x="201"/>
        <item x="327"/>
        <item x="321"/>
        <item x="205"/>
        <item x="287"/>
        <item x="261"/>
        <item x="319"/>
        <item x="249"/>
        <item x="315"/>
        <item x="273"/>
        <item x="258"/>
        <item x="333"/>
        <item x="411"/>
        <item x="221"/>
        <item x="342"/>
        <item x="281"/>
        <item x="252"/>
        <item x="303"/>
        <item x="503"/>
        <item x="289"/>
        <item x="179"/>
        <item x="29"/>
        <item x="486"/>
        <item x="477"/>
        <item x="108"/>
        <item x="343"/>
        <item x="432"/>
        <item x="47"/>
        <item x="442"/>
        <item x="416"/>
        <item x="189"/>
        <item x="296"/>
        <item x="9"/>
        <item x="195"/>
        <item x="478"/>
        <item x="492"/>
        <item x="247"/>
        <item x="214"/>
        <item x="185"/>
        <item x="39"/>
        <item x="250"/>
        <item x="318"/>
        <item x="21"/>
        <item x="311"/>
        <item x="251"/>
        <item x="519"/>
        <item x="259"/>
        <item x="362"/>
        <item x="489"/>
        <item x="127"/>
        <item x="275"/>
        <item x="347"/>
        <item x="178"/>
        <item x="182"/>
        <item x="244"/>
        <item x="118"/>
        <item x="462"/>
        <item x="483"/>
        <item x="493"/>
        <item x="288"/>
        <item x="276"/>
        <item x="222"/>
        <item x="301"/>
        <item x="187"/>
        <item x="3"/>
        <item x="19"/>
        <item x="87"/>
        <item x="159"/>
        <item x="245"/>
        <item x="183"/>
        <item x="172"/>
        <item x="200"/>
        <item x="310"/>
        <item x="139"/>
        <item x="280"/>
        <item x="239"/>
        <item x="349"/>
        <item x="176"/>
        <item x="284"/>
        <item x="509"/>
        <item x="304"/>
        <item x="341"/>
        <item x="204"/>
        <item x="15"/>
        <item x="359"/>
        <item x="295"/>
        <item x="316"/>
        <item x="238"/>
        <item x="453"/>
        <item x="227"/>
        <item x="228"/>
        <item x="138"/>
        <item x="363"/>
        <item x="110"/>
        <item x="216"/>
        <item x="511"/>
        <item x="155"/>
        <item x="226"/>
        <item x="144"/>
        <item x="230"/>
        <item x="283"/>
        <item x="309"/>
        <item x="112"/>
        <item x="317"/>
        <item x="495"/>
        <item x="106"/>
        <item x="425"/>
        <item x="482"/>
        <item x="323"/>
        <item x="231"/>
        <item x="352"/>
        <item x="441"/>
        <item x="357"/>
        <item x="356"/>
        <item x="324"/>
        <item x="42"/>
        <item x="348"/>
        <item x="170"/>
        <item x="525"/>
        <item x="27"/>
        <item x="551"/>
        <item x="413"/>
        <item x="447"/>
        <item x="354"/>
        <item x="218"/>
        <item x="141"/>
        <item x="253"/>
        <item x="93"/>
        <item x="31"/>
        <item x="421"/>
        <item x="8"/>
        <item x="410"/>
        <item x="396"/>
        <item x="435"/>
        <item x="550"/>
        <item x="30"/>
        <item x="35"/>
        <item x="398"/>
        <item x="506"/>
        <item x="423"/>
        <item x="517"/>
        <item x="426"/>
        <item x="422"/>
        <item x="420"/>
        <item x="414"/>
        <item x="404"/>
        <item x="193"/>
        <item x="248"/>
        <item x="114"/>
        <item x="345"/>
        <item x="18"/>
        <item x="291"/>
        <item x="69"/>
        <item x="94"/>
        <item x="335"/>
        <item x="162"/>
        <item x="191"/>
        <item x="455"/>
        <item x="99"/>
        <item x="206"/>
        <item x="171"/>
        <item x="5"/>
        <item x="165"/>
        <item x="53"/>
        <item x="547"/>
        <item x="312"/>
        <item x="240"/>
        <item x="278"/>
        <item x="149"/>
        <item x="325"/>
        <item x="294"/>
        <item x="163"/>
        <item x="336"/>
        <item x="7"/>
        <item x="41"/>
        <item x="501"/>
        <item x="85"/>
        <item x="88"/>
        <item x="10"/>
        <item x="186"/>
        <item x="505"/>
        <item x="210"/>
        <item x="169"/>
        <item x="80"/>
        <item x="124"/>
        <item x="340"/>
        <item x="217"/>
        <item x="427"/>
        <item x="443"/>
        <item x="543"/>
        <item x="433"/>
        <item x="257"/>
        <item x="33"/>
        <item x="504"/>
        <item x="77"/>
        <item x="467"/>
        <item x="529"/>
        <item x="277"/>
        <item x="298"/>
        <item x="290"/>
        <item x="180"/>
        <item x="116"/>
        <item x="181"/>
        <item x="535"/>
        <item x="215"/>
        <item x="233"/>
        <item x="98"/>
        <item x="196"/>
        <item x="538"/>
        <item x="107"/>
        <item x="188"/>
        <item x="331"/>
        <item x="332"/>
        <item x="130"/>
        <item x="128"/>
        <item x="255"/>
        <item x="329"/>
        <item x="119"/>
        <item x="498"/>
        <item x="531"/>
        <item x="38"/>
        <item x="76"/>
        <item x="131"/>
        <item x="520"/>
        <item x="264"/>
        <item x="293"/>
        <item x="350"/>
        <item x="530"/>
        <item x="177"/>
        <item x="133"/>
        <item x="17"/>
        <item x="510"/>
        <item x="100"/>
        <item x="104"/>
        <item x="346"/>
        <item x="388"/>
        <item x="97"/>
        <item x="533"/>
        <item x="375"/>
        <item x="57"/>
        <item x="418"/>
        <item x="490"/>
        <item x="468"/>
        <item x="454"/>
        <item x="75"/>
        <item x="135"/>
        <item x="400"/>
        <item x="0"/>
        <item x="1"/>
        <item x="337"/>
        <item x="129"/>
        <item x="13"/>
        <item x="12"/>
        <item x="68"/>
        <item x="322"/>
        <item x="50"/>
        <item x="58"/>
        <item x="330"/>
        <item x="174"/>
        <item x="208"/>
        <item x="320"/>
        <item x="266"/>
        <item x="37"/>
        <item x="6"/>
        <item x="507"/>
        <item x="158"/>
        <item x="407"/>
        <item x="408"/>
        <item x="32"/>
        <item x="417"/>
        <item x="437"/>
        <item x="120"/>
        <item x="211"/>
        <item x="125"/>
        <item x="137"/>
        <item x="219"/>
        <item x="132"/>
        <item x="81"/>
        <item x="14"/>
        <item x="45"/>
        <item x="72"/>
        <item x="334"/>
        <item x="481"/>
        <item x="73"/>
        <item x="36"/>
        <item x="147"/>
        <item x="168"/>
        <item x="406"/>
        <item x="465"/>
        <item x="484"/>
        <item x="71"/>
        <item m="1" x="553"/>
        <item x="386"/>
        <item x="269"/>
        <item x="63"/>
        <item x="142"/>
        <item x="528"/>
        <item x="62"/>
        <item x="326"/>
        <item x="472"/>
        <item x="111"/>
        <item x="361"/>
        <item x="105"/>
        <item x="299"/>
        <item x="527"/>
        <item x="52"/>
        <item x="16"/>
        <item x="95"/>
        <item x="64"/>
        <item x="497"/>
        <item x="66"/>
        <item x="40"/>
        <item x="292"/>
        <item x="364"/>
        <item x="103"/>
        <item x="471"/>
        <item x="459"/>
        <item x="485"/>
        <item x="460"/>
        <item x="391"/>
        <item x="55"/>
        <item x="271"/>
        <item x="146"/>
        <item x="265"/>
        <item x="65"/>
        <item x="368"/>
        <item x="548"/>
        <item x="373"/>
        <item x="541"/>
        <item x="381"/>
        <item x="194"/>
        <item x="20"/>
        <item x="209"/>
        <item x="355"/>
        <item x="121"/>
        <item x="539"/>
        <item x="101"/>
        <item x="524"/>
        <item x="212"/>
        <item x="51"/>
        <item x="313"/>
        <item x="24"/>
        <item x="409"/>
        <item x="461"/>
        <item x="445"/>
        <item x="438"/>
        <item x="25"/>
        <item x="48"/>
        <item x="415"/>
        <item x="405"/>
        <item x="428"/>
        <item x="419"/>
        <item x="397"/>
        <item x="394"/>
        <item x="513"/>
        <item x="387"/>
        <item x="440"/>
        <item x="374"/>
        <item x="370"/>
        <item x="451"/>
        <item x="360"/>
        <item x="392"/>
        <item x="424"/>
        <item x="526"/>
        <item x="546"/>
        <item x="401"/>
        <item x="61"/>
        <item x="59"/>
        <item x="518"/>
        <item x="444"/>
        <item x="523"/>
        <item x="430"/>
        <item x="446"/>
        <item x="383"/>
        <item x="403"/>
        <item x="399"/>
        <item x="49"/>
        <item x="190"/>
        <item x="70"/>
        <item x="34"/>
        <item x="82"/>
        <item x="390"/>
        <item x="297"/>
        <item x="552"/>
        <item x="521"/>
        <item x="28"/>
        <item x="166"/>
        <item x="500"/>
        <item x="439"/>
        <item x="494"/>
        <item x="436"/>
        <item x="60"/>
        <item x="89"/>
        <item x="109"/>
        <item x="4"/>
        <item x="23"/>
        <item x="384"/>
        <item x="237"/>
        <item x="236"/>
        <item x="241"/>
        <item x="353"/>
        <item x="458"/>
        <item x="476"/>
        <item x="175"/>
        <item x="514"/>
        <item x="91"/>
        <item x="544"/>
        <item x="522"/>
        <item x="464"/>
        <item x="2"/>
        <item x="480"/>
        <item x="479"/>
        <item x="67"/>
        <item x="202"/>
        <item x="122"/>
        <item x="395"/>
        <item x="377"/>
        <item x="263"/>
        <item x="260"/>
        <item x="140"/>
        <item x="86"/>
        <item x="164"/>
        <item x="393"/>
        <item x="534"/>
        <item x="540"/>
        <item x="254"/>
        <item x="256"/>
        <item x="532"/>
        <item x="78"/>
        <item x="11"/>
        <item x="549"/>
        <item x="173"/>
        <item x="26"/>
        <item x="270"/>
        <item x="475"/>
        <item x="213"/>
        <item x="488"/>
        <item x="448"/>
        <item x="96"/>
        <item x="134"/>
        <item x="452"/>
        <item x="463"/>
        <item x="512"/>
        <item x="545"/>
        <item x="148"/>
        <item x="402"/>
        <item x="515"/>
        <item x="429"/>
        <item x="365"/>
        <item x="385"/>
        <item x="457"/>
        <item x="262"/>
        <item x="542"/>
        <item x="516"/>
        <item x="456"/>
        <item x="54"/>
        <item x="371"/>
        <item x="470"/>
        <item x="143"/>
        <item x="412"/>
        <item x="491"/>
        <item x="431"/>
        <item x="473"/>
        <item x="466"/>
        <item x="382"/>
        <item x="366"/>
        <item x="372"/>
        <item x="56"/>
        <item x="496"/>
        <item x="379"/>
        <item x="508"/>
        <item x="378"/>
        <item x="115"/>
        <item x="369"/>
        <item x="268"/>
        <item x="102"/>
        <item x="123"/>
        <item x="22"/>
        <item x="167"/>
        <item x="338"/>
        <item x="90"/>
        <item x="267"/>
        <item x="469"/>
        <item x="537"/>
        <item x="367"/>
        <item x="380"/>
        <item x="84"/>
        <item x="192"/>
        <item x="74"/>
        <item x="314"/>
        <item x="487"/>
        <item x="92"/>
        <item x="502"/>
        <item x="376"/>
        <item x="83"/>
        <item x="499"/>
        <item x="389"/>
        <item x="474"/>
        <item t="default"/>
      </items>
    </pivotField>
    <pivotField axis="axisRow" showAll="0" measureFilter="1" sortType="descending">
      <items count="393">
        <item x="45"/>
        <item x="387"/>
        <item x="113"/>
        <item x="339"/>
        <item x="128"/>
        <item x="95"/>
        <item x="79"/>
        <item x="105"/>
        <item x="372"/>
        <item x="154"/>
        <item x="129"/>
        <item x="213"/>
        <item x="71"/>
        <item x="184"/>
        <item x="97"/>
        <item x="116"/>
        <item x="99"/>
        <item x="87"/>
        <item x="302"/>
        <item x="192"/>
        <item x="6"/>
        <item x="359"/>
        <item x="314"/>
        <item x="362"/>
        <item x="252"/>
        <item x="33"/>
        <item x="64"/>
        <item x="83"/>
        <item x="318"/>
        <item x="187"/>
        <item x="209"/>
        <item x="37"/>
        <item x="118"/>
        <item x="328"/>
        <item x="332"/>
        <item x="262"/>
        <item x="151"/>
        <item x="122"/>
        <item x="321"/>
        <item x="14"/>
        <item x="295"/>
        <item x="324"/>
        <item x="190"/>
        <item x="15"/>
        <item x="55"/>
        <item x="156"/>
        <item x="344"/>
        <item x="368"/>
        <item x="61"/>
        <item x="317"/>
        <item x="137"/>
        <item x="271"/>
        <item x="125"/>
        <item x="251"/>
        <item x="123"/>
        <item x="160"/>
        <item x="62"/>
        <item x="186"/>
        <item x="353"/>
        <item x="100"/>
        <item x="260"/>
        <item x="237"/>
        <item x="224"/>
        <item x="351"/>
        <item x="161"/>
        <item x="126"/>
        <item x="163"/>
        <item x="1"/>
        <item x="75"/>
        <item x="85"/>
        <item x="191"/>
        <item x="145"/>
        <item x="133"/>
        <item x="104"/>
        <item x="130"/>
        <item x="334"/>
        <item x="93"/>
        <item x="111"/>
        <item x="338"/>
        <item x="333"/>
        <item x="143"/>
        <item x="142"/>
        <item x="127"/>
        <item x="121"/>
        <item x="316"/>
        <item x="350"/>
        <item x="356"/>
        <item x="322"/>
        <item x="117"/>
        <item x="343"/>
        <item x="233"/>
        <item sd="0" x="18"/>
        <item x="214"/>
        <item x="157"/>
        <item sd="0" x="174"/>
        <item x="19"/>
        <item x="327"/>
        <item x="380"/>
        <item x="59"/>
        <item x="80"/>
        <item sd="0" x="88"/>
        <item x="3"/>
        <item x="30"/>
        <item x="330"/>
        <item x="337"/>
        <item x="253"/>
        <item x="9"/>
        <item x="0"/>
        <item x="200"/>
        <item x="210"/>
        <item x="40"/>
        <item x="22"/>
        <item x="346"/>
        <item x="56"/>
        <item x="326"/>
        <item x="349"/>
        <item x="348"/>
        <item x="229"/>
        <item x="325"/>
        <item x="342"/>
        <item sd="0" x="47"/>
        <item x="360"/>
        <item x="144"/>
        <item x="65"/>
        <item sd="0" x="195"/>
        <item x="135"/>
        <item x="367"/>
        <item x="290"/>
        <item x="188"/>
        <item x="169"/>
        <item x="385"/>
        <item x="16"/>
        <item x="115"/>
        <item x="268"/>
        <item x="176"/>
        <item x="94"/>
        <item x="164"/>
        <item x="235"/>
        <item x="52"/>
        <item x="24"/>
        <item x="315"/>
        <item x="74"/>
        <item x="377"/>
        <item x="246"/>
        <item x="320"/>
        <item x="44"/>
        <item x="211"/>
        <item x="20"/>
        <item x="226"/>
        <item x="189"/>
        <item x="146"/>
        <item x="69"/>
        <item x="218"/>
        <item x="220"/>
        <item x="78"/>
        <item sd="0" x="194"/>
        <item x="378"/>
        <item x="150"/>
        <item x="361"/>
        <item x="228"/>
        <item x="241"/>
        <item x="215"/>
        <item sd="0" x="41"/>
        <item x="249"/>
        <item x="4"/>
        <item x="120"/>
        <item x="167"/>
        <item x="132"/>
        <item x="21"/>
        <item x="181"/>
        <item x="2"/>
        <item x="244"/>
        <item x="11"/>
        <item x="255"/>
        <item x="352"/>
        <item x="168"/>
        <item x="245"/>
        <item x="173"/>
        <item x="196"/>
        <item x="357"/>
        <item x="340"/>
        <item x="46"/>
        <item x="264"/>
        <item x="386"/>
        <item x="365"/>
        <item x="131"/>
        <item x="158"/>
        <item x="319"/>
        <item x="91"/>
        <item x="13"/>
        <item x="212"/>
        <item x="68"/>
        <item x="202"/>
        <item x="12"/>
        <item x="36"/>
        <item x="89"/>
        <item x="363"/>
        <item x="177"/>
        <item x="35"/>
        <item x="306"/>
        <item x="370"/>
        <item x="242"/>
        <item x="148"/>
        <item x="256"/>
        <item x="331"/>
        <item x="49"/>
        <item x="182"/>
        <item x="282"/>
        <item x="81"/>
        <item x="193"/>
        <item x="279"/>
        <item x="269"/>
        <item x="239"/>
        <item x="141"/>
        <item x="92"/>
        <item x="247"/>
        <item x="34"/>
        <item x="119"/>
        <item x="8"/>
        <item x="201"/>
        <item x="101"/>
        <item x="336"/>
        <item x="323"/>
        <item x="366"/>
        <item x="153"/>
        <item x="134"/>
        <item x="185"/>
        <item x="345"/>
        <item x="159"/>
        <item x="26"/>
        <item x="310"/>
        <item x="297"/>
        <item x="301"/>
        <item x="7"/>
        <item x="31"/>
        <item x="283"/>
        <item x="276"/>
        <item x="166"/>
        <item x="29"/>
        <item x="272"/>
        <item x="369"/>
        <item x="298"/>
        <item x="311"/>
        <item x="312"/>
        <item x="308"/>
        <item x="274"/>
        <item x="294"/>
        <item x="296"/>
        <item x="293"/>
        <item x="388"/>
        <item x="291"/>
        <item x="303"/>
        <item x="278"/>
        <item x="287"/>
        <item x="234"/>
        <item x="292"/>
        <item m="1" x="391"/>
        <item x="284"/>
        <item x="381"/>
        <item x="155"/>
        <item sd="0" x="5"/>
        <item x="379"/>
        <item x="232"/>
        <item sd="0" x="162"/>
        <item x="152"/>
        <item x="198"/>
        <item x="175"/>
        <item x="374"/>
        <item x="347"/>
        <item x="107"/>
        <item x="390"/>
        <item x="248"/>
        <item x="257"/>
        <item x="300"/>
        <item x="43"/>
        <item x="288"/>
        <item x="280"/>
        <item x="289"/>
        <item x="281"/>
        <item x="305"/>
        <item x="28"/>
        <item x="376"/>
        <item x="199"/>
        <item x="206"/>
        <item x="25"/>
        <item x="309"/>
        <item x="42"/>
        <item x="17"/>
        <item x="304"/>
        <item x="371"/>
        <item x="217"/>
        <item x="53"/>
        <item x="48"/>
        <item x="171"/>
        <item x="114"/>
        <item x="58"/>
        <item x="216"/>
        <item x="254"/>
        <item x="275"/>
        <item x="222"/>
        <item x="66"/>
        <item x="38"/>
        <item x="109"/>
        <item x="63"/>
        <item x="102"/>
        <item x="354"/>
        <item x="136"/>
        <item x="299"/>
        <item x="259"/>
        <item x="32"/>
        <item x="375"/>
        <item x="172"/>
        <item x="39"/>
        <item x="183"/>
        <item x="285"/>
        <item x="67"/>
        <item x="307"/>
        <item x="98"/>
        <item x="108"/>
        <item x="240"/>
        <item x="267"/>
        <item x="27"/>
        <item x="219"/>
        <item x="76"/>
        <item x="258"/>
        <item x="221"/>
        <item x="277"/>
        <item x="180"/>
        <item x="23"/>
        <item x="265"/>
        <item x="389"/>
        <item x="263"/>
        <item x="286"/>
        <item x="313"/>
        <item x="243"/>
        <item x="250"/>
        <item x="364"/>
        <item x="73"/>
        <item x="110"/>
        <item x="57"/>
        <item x="70"/>
        <item x="238"/>
        <item x="384"/>
        <item x="77"/>
        <item x="147"/>
        <item x="373"/>
        <item x="207"/>
        <item x="227"/>
        <item x="72"/>
        <item x="103"/>
        <item x="90"/>
        <item x="165"/>
        <item x="96"/>
        <item x="10"/>
        <item x="178"/>
        <item x="383"/>
        <item x="225"/>
        <item x="355"/>
        <item x="50"/>
        <item x="124"/>
        <item x="231"/>
        <item sd="0" x="204"/>
        <item x="203"/>
        <item x="86"/>
        <item x="138"/>
        <item x="270"/>
        <item x="205"/>
        <item x="51"/>
        <item x="273"/>
        <item x="54"/>
        <item x="106"/>
        <item x="139"/>
        <item x="84"/>
        <item x="236"/>
        <item x="329"/>
        <item x="149"/>
        <item x="261"/>
        <item x="112"/>
        <item x="208"/>
        <item x="170"/>
        <item x="335"/>
        <item x="358"/>
        <item x="266"/>
        <item x="82"/>
        <item x="382"/>
        <item x="230"/>
        <item x="197"/>
        <item x="223"/>
        <item x="140"/>
        <item x="179"/>
        <item x="60"/>
        <item x="341"/>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 numFmtId="164" showAll="0"/>
    <pivotField showAll="0"/>
    <pivotField dataField="1" showAll="0"/>
    <pivotField showAll="0"/>
    <pivotField showAll="0"/>
    <pivotField showAll="0"/>
    <pivotField showAll="0"/>
  </pivotFields>
  <rowFields count="2">
    <field x="1"/>
    <field x="0"/>
  </rowFields>
  <rowItems count="17">
    <i>
      <x v="107"/>
    </i>
    <i r="1">
      <x v="7"/>
    </i>
    <i r="1">
      <x v="303"/>
    </i>
    <i r="1">
      <x v="304"/>
    </i>
    <i r="1">
      <x v="306"/>
    </i>
    <i r="1">
      <x v="310"/>
    </i>
    <i r="1">
      <x v="390"/>
    </i>
    <i r="1">
      <x v="393"/>
    </i>
    <i r="1">
      <x v="485"/>
    </i>
    <i r="1">
      <x v="504"/>
    </i>
    <i r="1">
      <x v="511"/>
    </i>
    <i r="1">
      <x v="521"/>
    </i>
    <i r="1">
      <x v="536"/>
    </i>
    <i r="1">
      <x v="539"/>
    </i>
    <i r="1">
      <x v="540"/>
    </i>
    <i>
      <x v="94"/>
    </i>
    <i>
      <x v="120"/>
    </i>
  </rowItems>
  <colItems count="1">
    <i/>
  </colItems>
  <dataFields count="1">
    <dataField name="Sum of View_Count" fld="6" baseField="0" baseItem="0"/>
  </dataFields>
  <formats count="33">
    <format dxfId="296">
      <pivotArea collapsedLevelsAreSubtotals="1" fieldPosition="0">
        <references count="2">
          <reference field="4294967294" count="1" selected="0">
            <x v="0"/>
          </reference>
          <reference field="1" count="1">
            <x v="107"/>
          </reference>
        </references>
      </pivotArea>
    </format>
    <format dxfId="295">
      <pivotArea collapsedLevelsAreSubtotals="1" fieldPosition="0">
        <references count="2">
          <reference field="4294967294" count="1" selected="0">
            <x v="0"/>
          </reference>
          <reference field="1" count="1">
            <x v="107"/>
          </reference>
        </references>
      </pivotArea>
    </format>
    <format dxfId="294">
      <pivotArea dataOnly="0" labelOnly="1" fieldPosition="0">
        <references count="1">
          <reference field="1" count="1">
            <x v="107"/>
          </reference>
        </references>
      </pivotArea>
    </format>
    <format dxfId="293">
      <pivotArea dataOnly="0" labelOnly="1" fieldPosition="0">
        <references count="1">
          <reference field="1" count="2">
            <x v="94"/>
            <x v="120"/>
          </reference>
        </references>
      </pivotArea>
    </format>
    <format dxfId="292">
      <pivotArea collapsedLevelsAreSubtotals="1" fieldPosition="0">
        <references count="2">
          <reference field="4294967294" count="1" selected="0">
            <x v="0"/>
          </reference>
          <reference field="1" count="1">
            <x v="94"/>
          </reference>
        </references>
      </pivotArea>
    </format>
    <format dxfId="291">
      <pivotArea collapsedLevelsAreSubtotals="1" fieldPosition="0">
        <references count="2">
          <reference field="4294967294" count="1" selected="0">
            <x v="0"/>
          </reference>
          <reference field="1" count="1">
            <x v="120"/>
          </reference>
        </references>
      </pivotArea>
    </format>
    <format dxfId="290">
      <pivotArea collapsedLevelsAreSubtotals="1" fieldPosition="0">
        <references count="2">
          <reference field="4294967294" count="1" selected="0">
            <x v="0"/>
          </reference>
          <reference field="1" count="1">
            <x v="120"/>
          </reference>
        </references>
      </pivotArea>
    </format>
    <format dxfId="289">
      <pivotArea collapsedLevelsAreSubtotals="1" fieldPosition="0">
        <references count="2">
          <reference field="4294967294" count="1" selected="0">
            <x v="0"/>
          </reference>
          <reference field="1" count="1">
            <x v="94"/>
          </reference>
        </references>
      </pivotArea>
    </format>
    <format dxfId="288">
      <pivotArea field="1" type="button" dataOnly="0" labelOnly="1" outline="0" axis="axisRow" fieldPosition="0"/>
    </format>
    <format dxfId="287">
      <pivotArea dataOnly="0" labelOnly="1" outline="0" fieldPosition="0">
        <references count="1">
          <reference field="4294967294" count="1">
            <x v="0"/>
          </reference>
        </references>
      </pivotArea>
    </format>
    <format dxfId="286">
      <pivotArea collapsedLevelsAreSubtotals="1" fieldPosition="0">
        <references count="1">
          <reference field="1" count="1">
            <x v="107"/>
          </reference>
        </references>
      </pivotArea>
    </format>
    <format dxfId="285">
      <pivotArea dataOnly="0" labelOnly="1" fieldPosition="0">
        <references count="1">
          <reference field="1" count="1">
            <x v="107"/>
          </reference>
        </references>
      </pivotArea>
    </format>
    <format dxfId="284">
      <pivotArea collapsedLevelsAreSubtotals="1" fieldPosition="0">
        <references count="1">
          <reference field="1" count="1">
            <x v="94"/>
          </reference>
        </references>
      </pivotArea>
    </format>
    <format dxfId="283">
      <pivotArea collapsedLevelsAreSubtotals="1" fieldPosition="0">
        <references count="1">
          <reference field="1" count="1">
            <x v="120"/>
          </reference>
        </references>
      </pivotArea>
    </format>
    <format dxfId="282">
      <pivotArea dataOnly="0" labelOnly="1" fieldPosition="0">
        <references count="1">
          <reference field="1" count="2">
            <x v="94"/>
            <x v="120"/>
          </reference>
        </references>
      </pivotArea>
    </format>
    <format dxfId="281">
      <pivotArea field="1" type="button" dataOnly="0" labelOnly="1" outline="0" axis="axisRow" fieldPosition="0"/>
    </format>
    <format dxfId="280">
      <pivotArea dataOnly="0" labelOnly="1" outline="0" axis="axisValues" fieldPosition="0"/>
    </format>
    <format dxfId="279">
      <pivotArea field="1" type="button" dataOnly="0" labelOnly="1" outline="0" axis="axisRow" fieldPosition="0"/>
    </format>
    <format dxfId="278">
      <pivotArea dataOnly="0" labelOnly="1" outline="0" axis="axisValues" fieldPosition="0"/>
    </format>
    <format dxfId="277">
      <pivotArea collapsedLevelsAreSubtotals="1" fieldPosition="0">
        <references count="1">
          <reference field="1" count="1">
            <x v="107"/>
          </reference>
        </references>
      </pivotArea>
    </format>
    <format dxfId="276">
      <pivotArea dataOnly="0" labelOnly="1" fieldPosition="0">
        <references count="1">
          <reference field="1" count="1">
            <x v="107"/>
          </reference>
        </references>
      </pivotArea>
    </format>
    <format dxfId="275">
      <pivotArea dataOnly="0" fieldPosition="0">
        <references count="1">
          <reference field="1" count="2">
            <x v="94"/>
            <x v="120"/>
          </reference>
        </references>
      </pivotArea>
    </format>
    <format dxfId="274">
      <pivotArea collapsedLevelsAreSubtotals="1" fieldPosition="0">
        <references count="1">
          <reference field="1" count="1">
            <x v="107"/>
          </reference>
        </references>
      </pivotArea>
    </format>
    <format dxfId="273">
      <pivotArea collapsedLevelsAreSubtotals="1" fieldPosition="0">
        <references count="1">
          <reference field="1" count="1">
            <x v="94"/>
          </reference>
        </references>
      </pivotArea>
    </format>
    <format dxfId="272">
      <pivotArea collapsedLevelsAreSubtotals="1" fieldPosition="0">
        <references count="1">
          <reference field="1" count="1">
            <x v="120"/>
          </reference>
        </references>
      </pivotArea>
    </format>
    <format dxfId="271">
      <pivotArea dataOnly="0" fieldPosition="0">
        <references count="2">
          <reference field="0" count="14">
            <x v="7"/>
            <x v="303"/>
            <x v="304"/>
            <x v="306"/>
            <x v="310"/>
            <x v="390"/>
            <x v="393"/>
            <x v="485"/>
            <x v="504"/>
            <x v="511"/>
            <x v="521"/>
            <x v="536"/>
            <x v="539"/>
            <x v="540"/>
          </reference>
          <reference field="1" count="1" selected="0">
            <x v="107"/>
          </reference>
        </references>
      </pivotArea>
    </format>
    <format dxfId="270">
      <pivotArea dataOnly="0" fieldPosition="0">
        <references count="2">
          <reference field="0" count="14">
            <x v="7"/>
            <x v="303"/>
            <x v="304"/>
            <x v="306"/>
            <x v="310"/>
            <x v="390"/>
            <x v="393"/>
            <x v="485"/>
            <x v="504"/>
            <x v="511"/>
            <x v="521"/>
            <x v="536"/>
            <x v="539"/>
            <x v="540"/>
          </reference>
          <reference field="1" count="1" selected="0">
            <x v="107"/>
          </reference>
        </references>
      </pivotArea>
    </format>
    <format dxfId="269">
      <pivotArea collapsedLevelsAreSubtotals="1" fieldPosition="0">
        <references count="1">
          <reference field="1" count="1">
            <x v="107"/>
          </reference>
        </references>
      </pivotArea>
    </format>
    <format dxfId="268">
      <pivotArea collapsedLevelsAreSubtotals="1" fieldPosition="0">
        <references count="2">
          <reference field="0" count="14">
            <x v="7"/>
            <x v="303"/>
            <x v="304"/>
            <x v="306"/>
            <x v="310"/>
            <x v="390"/>
            <x v="393"/>
            <x v="485"/>
            <x v="504"/>
            <x v="511"/>
            <x v="521"/>
            <x v="536"/>
            <x v="539"/>
            <x v="540"/>
          </reference>
          <reference field="1" count="1" selected="0">
            <x v="107"/>
          </reference>
        </references>
      </pivotArea>
    </format>
    <format dxfId="267">
      <pivotArea collapsedLevelsAreSubtotals="1" fieldPosition="0">
        <references count="2">
          <reference field="0" count="14">
            <x v="7"/>
            <x v="303"/>
            <x v="304"/>
            <x v="306"/>
            <x v="310"/>
            <x v="390"/>
            <x v="393"/>
            <x v="485"/>
            <x v="504"/>
            <x v="511"/>
            <x v="521"/>
            <x v="536"/>
            <x v="539"/>
            <x v="540"/>
          </reference>
          <reference field="1" count="1" selected="0">
            <x v="107"/>
          </reference>
        </references>
      </pivotArea>
    </format>
    <format dxfId="266">
      <pivotArea dataOnly="0" labelOnly="1" fieldPosition="0">
        <references count="2">
          <reference field="0" count="14">
            <x v="7"/>
            <x v="303"/>
            <x v="304"/>
            <x v="306"/>
            <x v="310"/>
            <x v="390"/>
            <x v="393"/>
            <x v="485"/>
            <x v="504"/>
            <x v="511"/>
            <x v="521"/>
            <x v="536"/>
            <x v="539"/>
            <x v="540"/>
          </reference>
          <reference field="1" count="1" selected="0">
            <x v="107"/>
          </reference>
        </references>
      </pivotArea>
    </format>
    <format dxfId="265">
      <pivotArea collapsedLevelsAreSubtotals="1" fieldPosition="0">
        <references count="2">
          <reference field="0" count="14">
            <x v="7"/>
            <x v="303"/>
            <x v="304"/>
            <x v="306"/>
            <x v="310"/>
            <x v="390"/>
            <x v="393"/>
            <x v="485"/>
            <x v="504"/>
            <x v="511"/>
            <x v="521"/>
            <x v="536"/>
            <x v="539"/>
            <x v="540"/>
          </reference>
          <reference field="1" count="1" selected="0">
            <x v="107"/>
          </reference>
        </references>
      </pivotArea>
    </format>
    <format dxfId="264">
      <pivotArea dataOnly="0" labelOnly="1" fieldPosition="0">
        <references count="2">
          <reference field="0" count="14">
            <x v="7"/>
            <x v="303"/>
            <x v="304"/>
            <x v="306"/>
            <x v="310"/>
            <x v="390"/>
            <x v="393"/>
            <x v="485"/>
            <x v="504"/>
            <x v="511"/>
            <x v="521"/>
            <x v="536"/>
            <x v="539"/>
            <x v="540"/>
          </reference>
          <reference field="1" count="1" selected="0">
            <x v="107"/>
          </reference>
        </references>
      </pivotArea>
    </format>
  </formats>
  <pivotTableStyleInfo name="PivotStyleLight15" showRowHeaders="1" showColHeaders="1" showRowStripes="0" showColStripes="0" showLastColumn="1"/>
  <filters count="1">
    <filter fld="1" type="count" evalOrder="-1" id="20"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B4CC07B-C899-1B44-93BF-CA4E4A4E71F6}"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D38:F41" firstHeaderRow="0" firstDataRow="1" firstDataCol="1"/>
  <pivotFields count="11">
    <pivotField showAll="0"/>
    <pivotField dataField="1"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numFmtId="9" showAll="0"/>
    <pivotField showAll="0"/>
  </pivotFields>
  <rowFields count="1">
    <field x="2"/>
  </rowFields>
  <rowItems count="3">
    <i>
      <x v="2"/>
    </i>
    <i>
      <x/>
    </i>
    <i>
      <x v="1"/>
    </i>
  </rowItems>
  <colFields count="1">
    <field x="-2"/>
  </colFields>
  <colItems count="2">
    <i>
      <x/>
    </i>
    <i i="1">
      <x v="1"/>
    </i>
  </colItems>
  <dataFields count="2">
    <dataField name="Count of Product" fld="1" subtotal="count" showDataAs="percentOfTotal" baseField="0" baseItem="0" numFmtId="10"/>
    <dataField name="Count of Product2" fld="1" subtotal="count" baseField="0" baseItem="0"/>
  </dataFields>
  <formats count="1">
    <format dxfId="297">
      <pivotArea collapsedLevelsAreSubtotals="1" fieldPosition="0">
        <references count="2">
          <reference field="4294967294" count="1" selected="0">
            <x v="0"/>
          </reference>
          <reference field="2" count="0"/>
        </references>
      </pivotArea>
    </format>
  </formats>
  <chartFormats count="1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2" count="1" selected="0">
            <x v="2"/>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1" format="4">
      <pivotArea type="data" outline="0" fieldPosition="0">
        <references count="2">
          <reference field="4294967294" count="1" selected="0">
            <x v="0"/>
          </reference>
          <reference field="2" count="1" selected="0">
            <x v="0"/>
          </reference>
        </references>
      </pivotArea>
    </chartFormat>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2" count="1" selected="0">
            <x v="2"/>
          </reference>
        </references>
      </pivotArea>
    </chartFormat>
    <chartFormat chart="4" format="15">
      <pivotArea type="data" outline="0" fieldPosition="0">
        <references count="2">
          <reference field="4294967294" count="1" selected="0">
            <x v="0"/>
          </reference>
          <reference field="2" count="1" selected="0">
            <x v="0"/>
          </reference>
        </references>
      </pivotArea>
    </chartFormat>
    <chartFormat chart="4" format="16">
      <pivotArea type="data" outline="0" fieldPosition="0">
        <references count="2">
          <reference field="4294967294" count="1" selected="0">
            <x v="0"/>
          </reference>
          <reference field="2" count="1" selected="0">
            <x v="1"/>
          </reference>
        </references>
      </pivotArea>
    </chartFormat>
    <chartFormat chart="4" format="17" series="1">
      <pivotArea type="data" outline="0" fieldPosition="0">
        <references count="1">
          <reference field="4294967294" count="1" selected="0">
            <x v="1"/>
          </reference>
        </references>
      </pivotArea>
    </chartFormat>
    <chartFormat chart="4" format="18">
      <pivotArea type="data" outline="0" fieldPosition="0">
        <references count="2">
          <reference field="4294967294" count="1" selected="0">
            <x v="1"/>
          </reference>
          <reference field="2" count="1" selected="0">
            <x v="2"/>
          </reference>
        </references>
      </pivotArea>
    </chartFormat>
    <chartFormat chart="4" format="19">
      <pivotArea type="data" outline="0" fieldPosition="0">
        <references count="2">
          <reference field="4294967294" count="1" selected="0">
            <x v="1"/>
          </reference>
          <reference field="2" count="1" selected="0">
            <x v="0"/>
          </reference>
        </references>
      </pivotArea>
    </chartFormat>
    <chartFormat chart="4" format="20">
      <pivotArea type="data" outline="0" fieldPosition="0">
        <references count="2">
          <reference field="4294967294" count="1" selected="0">
            <x v="1"/>
          </reference>
          <reference field="2" count="1" selected="0">
            <x v="1"/>
          </reference>
        </references>
      </pivotArea>
    </chartFormat>
    <chartFormat chart="1" format="5">
      <pivotArea type="data" outline="0" fieldPosition="0">
        <references count="2">
          <reference field="4294967294" count="1" selected="0">
            <x v="1"/>
          </reference>
          <reference field="2" count="1" selected="0">
            <x v="2"/>
          </reference>
        </references>
      </pivotArea>
    </chartFormat>
    <chartFormat chart="1" format="6">
      <pivotArea type="data" outline="0" fieldPosition="0">
        <references count="2">
          <reference field="4294967294" count="1" selected="0">
            <x v="1"/>
          </reference>
          <reference field="2" count="1" selected="0">
            <x v="0"/>
          </reference>
        </references>
      </pivotArea>
    </chartFormat>
    <chartFormat chart="1" format="7">
      <pivotArea type="data" outline="0" fieldPosition="0">
        <references count="2">
          <reference field="4294967294" count="1" selected="0">
            <x v="1"/>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673CFE3-FAB9-A348-9DD3-DCD4A59CEB24}"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Rate_Group">
  <location ref="H95:J101" firstHeaderRow="0" firstDataRow="1" firstDataCol="1"/>
  <pivotFields count="11">
    <pivotField showAll="0"/>
    <pivotField axis="axisRow" showAll="0" measureFilter="1" sortType="descending">
      <items count="393">
        <item x="45"/>
        <item x="387"/>
        <item x="113"/>
        <item x="339"/>
        <item x="128"/>
        <item x="95"/>
        <item x="79"/>
        <item x="105"/>
        <item x="372"/>
        <item x="154"/>
        <item x="129"/>
        <item x="213"/>
        <item x="71"/>
        <item x="184"/>
        <item x="97"/>
        <item x="116"/>
        <item x="99"/>
        <item x="87"/>
        <item x="302"/>
        <item x="192"/>
        <item x="6"/>
        <item x="359"/>
        <item x="314"/>
        <item x="362"/>
        <item x="252"/>
        <item x="33"/>
        <item x="64"/>
        <item x="83"/>
        <item x="318"/>
        <item x="187"/>
        <item x="209"/>
        <item x="37"/>
        <item x="118"/>
        <item x="328"/>
        <item x="332"/>
        <item x="262"/>
        <item x="151"/>
        <item x="122"/>
        <item x="321"/>
        <item x="14"/>
        <item x="295"/>
        <item x="324"/>
        <item x="190"/>
        <item x="15"/>
        <item x="55"/>
        <item x="156"/>
        <item x="344"/>
        <item x="368"/>
        <item x="61"/>
        <item x="317"/>
        <item x="137"/>
        <item x="271"/>
        <item x="125"/>
        <item x="251"/>
        <item x="123"/>
        <item x="160"/>
        <item x="62"/>
        <item x="186"/>
        <item x="353"/>
        <item x="100"/>
        <item x="260"/>
        <item x="237"/>
        <item x="224"/>
        <item x="351"/>
        <item x="161"/>
        <item x="126"/>
        <item x="163"/>
        <item x="1"/>
        <item x="75"/>
        <item x="85"/>
        <item x="191"/>
        <item x="145"/>
        <item x="133"/>
        <item x="104"/>
        <item x="130"/>
        <item x="334"/>
        <item x="93"/>
        <item x="111"/>
        <item x="338"/>
        <item x="333"/>
        <item x="143"/>
        <item x="142"/>
        <item x="127"/>
        <item x="121"/>
        <item x="316"/>
        <item x="350"/>
        <item x="356"/>
        <item x="322"/>
        <item x="117"/>
        <item x="343"/>
        <item x="233"/>
        <item x="18"/>
        <item x="214"/>
        <item x="157"/>
        <item x="174"/>
        <item x="19"/>
        <item x="327"/>
        <item x="380"/>
        <item x="59"/>
        <item x="80"/>
        <item x="88"/>
        <item x="3"/>
        <item x="30"/>
        <item x="330"/>
        <item x="337"/>
        <item x="253"/>
        <item x="9"/>
        <item x="0"/>
        <item x="200"/>
        <item x="210"/>
        <item x="40"/>
        <item x="22"/>
        <item x="346"/>
        <item x="56"/>
        <item x="326"/>
        <item x="349"/>
        <item x="348"/>
        <item x="229"/>
        <item x="325"/>
        <item x="342"/>
        <item x="47"/>
        <item x="360"/>
        <item x="144"/>
        <item x="65"/>
        <item x="195"/>
        <item x="135"/>
        <item x="367"/>
        <item x="290"/>
        <item x="188"/>
        <item x="169"/>
        <item x="385"/>
        <item x="16"/>
        <item x="115"/>
        <item x="268"/>
        <item x="176"/>
        <item x="94"/>
        <item x="164"/>
        <item x="235"/>
        <item x="52"/>
        <item x="24"/>
        <item x="315"/>
        <item x="74"/>
        <item x="377"/>
        <item x="246"/>
        <item x="320"/>
        <item x="44"/>
        <item x="211"/>
        <item x="20"/>
        <item x="226"/>
        <item x="189"/>
        <item x="146"/>
        <item x="69"/>
        <item x="218"/>
        <item x="220"/>
        <item x="78"/>
        <item x="194"/>
        <item x="378"/>
        <item x="150"/>
        <item x="361"/>
        <item x="228"/>
        <item x="241"/>
        <item x="215"/>
        <item x="41"/>
        <item x="249"/>
        <item x="4"/>
        <item x="120"/>
        <item x="167"/>
        <item x="132"/>
        <item x="21"/>
        <item x="181"/>
        <item x="2"/>
        <item x="244"/>
        <item x="11"/>
        <item x="255"/>
        <item x="352"/>
        <item x="168"/>
        <item x="245"/>
        <item x="173"/>
        <item x="196"/>
        <item x="357"/>
        <item x="340"/>
        <item x="46"/>
        <item x="264"/>
        <item x="386"/>
        <item x="365"/>
        <item x="131"/>
        <item x="158"/>
        <item x="319"/>
        <item x="91"/>
        <item x="13"/>
        <item x="212"/>
        <item x="68"/>
        <item x="202"/>
        <item x="12"/>
        <item x="36"/>
        <item x="89"/>
        <item x="363"/>
        <item x="177"/>
        <item x="35"/>
        <item x="306"/>
        <item x="370"/>
        <item x="242"/>
        <item x="148"/>
        <item x="256"/>
        <item x="331"/>
        <item x="49"/>
        <item x="182"/>
        <item x="282"/>
        <item x="81"/>
        <item x="193"/>
        <item x="279"/>
        <item x="269"/>
        <item x="239"/>
        <item x="141"/>
        <item x="92"/>
        <item x="247"/>
        <item x="34"/>
        <item x="119"/>
        <item x="8"/>
        <item x="201"/>
        <item x="101"/>
        <item x="336"/>
        <item x="323"/>
        <item x="366"/>
        <item x="153"/>
        <item x="134"/>
        <item x="185"/>
        <item x="345"/>
        <item x="159"/>
        <item x="26"/>
        <item x="310"/>
        <item x="297"/>
        <item x="301"/>
        <item x="7"/>
        <item x="31"/>
        <item x="283"/>
        <item x="276"/>
        <item x="166"/>
        <item x="29"/>
        <item x="272"/>
        <item x="369"/>
        <item x="298"/>
        <item x="311"/>
        <item x="312"/>
        <item x="308"/>
        <item x="274"/>
        <item x="294"/>
        <item x="296"/>
        <item x="293"/>
        <item x="388"/>
        <item x="291"/>
        <item x="303"/>
        <item x="278"/>
        <item x="287"/>
        <item x="234"/>
        <item x="292"/>
        <item m="1" x="391"/>
        <item x="284"/>
        <item x="381"/>
        <item x="155"/>
        <item x="5"/>
        <item x="379"/>
        <item x="232"/>
        <item x="162"/>
        <item x="152"/>
        <item x="198"/>
        <item x="175"/>
        <item x="374"/>
        <item x="347"/>
        <item x="107"/>
        <item x="390"/>
        <item x="248"/>
        <item x="257"/>
        <item x="300"/>
        <item x="43"/>
        <item x="288"/>
        <item x="280"/>
        <item x="289"/>
        <item x="281"/>
        <item x="305"/>
        <item x="28"/>
        <item x="376"/>
        <item x="199"/>
        <item x="206"/>
        <item x="25"/>
        <item x="309"/>
        <item x="42"/>
        <item x="17"/>
        <item x="304"/>
        <item x="371"/>
        <item x="217"/>
        <item x="53"/>
        <item x="48"/>
        <item x="171"/>
        <item x="114"/>
        <item x="58"/>
        <item x="216"/>
        <item x="254"/>
        <item x="275"/>
        <item x="222"/>
        <item x="66"/>
        <item x="38"/>
        <item x="109"/>
        <item x="63"/>
        <item x="102"/>
        <item x="354"/>
        <item x="136"/>
        <item x="299"/>
        <item x="259"/>
        <item x="32"/>
        <item x="375"/>
        <item x="172"/>
        <item x="39"/>
        <item x="183"/>
        <item x="285"/>
        <item x="67"/>
        <item x="307"/>
        <item x="98"/>
        <item x="108"/>
        <item x="240"/>
        <item x="267"/>
        <item x="27"/>
        <item x="219"/>
        <item x="76"/>
        <item x="258"/>
        <item x="221"/>
        <item x="277"/>
        <item x="180"/>
        <item x="23"/>
        <item x="265"/>
        <item x="389"/>
        <item x="263"/>
        <item x="286"/>
        <item x="313"/>
        <item x="243"/>
        <item x="250"/>
        <item x="364"/>
        <item x="73"/>
        <item x="110"/>
        <item x="57"/>
        <item x="70"/>
        <item x="238"/>
        <item x="384"/>
        <item x="77"/>
        <item x="147"/>
        <item x="373"/>
        <item x="207"/>
        <item x="227"/>
        <item x="72"/>
        <item x="103"/>
        <item x="90"/>
        <item x="165"/>
        <item x="96"/>
        <item x="10"/>
        <item x="178"/>
        <item x="383"/>
        <item x="225"/>
        <item x="355"/>
        <item x="50"/>
        <item x="124"/>
        <item x="231"/>
        <item x="204"/>
        <item x="203"/>
        <item x="86"/>
        <item x="138"/>
        <item x="270"/>
        <item x="205"/>
        <item x="51"/>
        <item x="273"/>
        <item x="54"/>
        <item x="106"/>
        <item x="139"/>
        <item x="84"/>
        <item x="236"/>
        <item x="329"/>
        <item x="149"/>
        <item x="261"/>
        <item x="112"/>
        <item x="208"/>
        <item x="170"/>
        <item x="335"/>
        <item x="358"/>
        <item x="266"/>
        <item x="82"/>
        <item x="382"/>
        <item x="230"/>
        <item x="197"/>
        <item x="223"/>
        <item x="140"/>
        <item x="179"/>
        <item x="60"/>
        <item x="341"/>
        <item t="default"/>
      </items>
      <autoSortScope>
        <pivotArea dataOnly="0" outline="0" fieldPosition="0">
          <references count="1">
            <reference field="4294967294" count="1" selected="0">
              <x v="0"/>
            </reference>
          </references>
        </pivotArea>
      </autoSortScope>
    </pivotField>
    <pivotField axis="axisRow" showAll="0">
      <items count="4">
        <item h="1" x="2"/>
        <item h="1" x="1"/>
        <item x="0"/>
        <item t="default"/>
      </items>
    </pivotField>
    <pivotField showAll="0" measureFilter="1" sortType="descending">
      <autoSortScope>
        <pivotArea dataOnly="0" outline="0" fieldPosition="0">
          <references count="1">
            <reference field="4294967294" count="1" selected="0">
              <x v="0"/>
            </reference>
          </references>
        </pivotArea>
      </autoSortScope>
    </pivotField>
    <pivotField numFmtId="164" showAll="0"/>
    <pivotField showAll="0"/>
    <pivotField dataField="1" showAll="0"/>
    <pivotField showAll="0"/>
    <pivotField dataField="1" showAll="0"/>
    <pivotField showAll="0"/>
    <pivotField showAll="0"/>
  </pivotFields>
  <rowFields count="2">
    <field x="2"/>
    <field x="1"/>
  </rowFields>
  <rowItems count="6">
    <i>
      <x v="2"/>
    </i>
    <i r="1">
      <x v="7"/>
    </i>
    <i r="1">
      <x v="65"/>
    </i>
    <i r="1">
      <x v="197"/>
    </i>
    <i r="1">
      <x v="351"/>
    </i>
    <i r="1">
      <x v="294"/>
    </i>
  </rowItems>
  <colFields count="1">
    <field x="-2"/>
  </colFields>
  <colItems count="2">
    <i>
      <x/>
    </i>
    <i i="1">
      <x v="1"/>
    </i>
  </colItems>
  <dataFields count="2">
    <dataField name="Review_ct" fld="8" baseField="0" baseItem="0"/>
    <dataField name="15min_view_ct" fld="6" baseField="0" baseItem="0"/>
  </dataFields>
  <formats count="20">
    <format dxfId="317">
      <pivotArea dataOnly="0" labelOnly="1" fieldPosition="0">
        <references count="2">
          <reference field="1" count="1">
            <x v="7"/>
          </reference>
          <reference field="2" count="0" selected="0"/>
        </references>
      </pivotArea>
    </format>
    <format dxfId="316">
      <pivotArea dataOnly="0" labelOnly="1" fieldPosition="0">
        <references count="2">
          <reference field="1" count="1">
            <x v="7"/>
          </reference>
          <reference field="2" count="0" selected="0"/>
        </references>
      </pivotArea>
    </format>
    <format dxfId="315">
      <pivotArea collapsedLevelsAreSubtotals="1" fieldPosition="0">
        <references count="3">
          <reference field="4294967294" count="1" selected="0">
            <x v="0"/>
          </reference>
          <reference field="1" count="1">
            <x v="7"/>
          </reference>
          <reference field="2" count="0" selected="0"/>
        </references>
      </pivotArea>
    </format>
    <format dxfId="314">
      <pivotArea collapsedLevelsAreSubtotals="1" fieldPosition="0">
        <references count="3">
          <reference field="4294967294" count="1" selected="0">
            <x v="0"/>
          </reference>
          <reference field="1" count="1">
            <x v="7"/>
          </reference>
          <reference field="2" count="0" selected="0"/>
        </references>
      </pivotArea>
    </format>
    <format dxfId="313">
      <pivotArea dataOnly="0" labelOnly="1" fieldPosition="0">
        <references count="1">
          <reference field="2" count="0"/>
        </references>
      </pivotArea>
    </format>
    <format dxfId="312">
      <pivotArea collapsedLevelsAreSubtotals="1" fieldPosition="0">
        <references count="1">
          <reference field="2" count="0"/>
        </references>
      </pivotArea>
    </format>
    <format dxfId="311">
      <pivotArea collapsedLevelsAreSubtotals="1" fieldPosition="0">
        <references count="3">
          <reference field="4294967294" count="1" selected="0">
            <x v="0"/>
          </reference>
          <reference field="1" count="4">
            <x v="65"/>
            <x v="197"/>
            <x v="294"/>
            <x v="351"/>
          </reference>
          <reference field="2" count="0" selected="0"/>
        </references>
      </pivotArea>
    </format>
    <format dxfId="310">
      <pivotArea dataOnly="0" labelOnly="1" fieldPosition="0">
        <references count="2">
          <reference field="1" count="4">
            <x v="65"/>
            <x v="197"/>
            <x v="294"/>
            <x v="351"/>
          </reference>
          <reference field="2" count="0" selected="0"/>
        </references>
      </pivotArea>
    </format>
    <format dxfId="309">
      <pivotArea field="2" type="button" dataOnly="0" labelOnly="1" outline="0" axis="axisRow" fieldPosition="0"/>
    </format>
    <format dxfId="308">
      <pivotArea dataOnly="0" labelOnly="1" outline="0" fieldPosition="0">
        <references count="1">
          <reference field="4294967294" count="2">
            <x v="0"/>
            <x v="1"/>
          </reference>
        </references>
      </pivotArea>
    </format>
    <format dxfId="307">
      <pivotArea field="2" type="button" dataOnly="0" labelOnly="1" outline="0" axis="axisRow" fieldPosition="0"/>
    </format>
    <format dxfId="306">
      <pivotArea dataOnly="0" labelOnly="1" outline="0" fieldPosition="0">
        <references count="1">
          <reference field="4294967294" count="2">
            <x v="0"/>
            <x v="1"/>
          </reference>
        </references>
      </pivotArea>
    </format>
    <format dxfId="305">
      <pivotArea field="2" type="button" dataOnly="0" labelOnly="1" outline="0" axis="axisRow" fieldPosition="0"/>
    </format>
    <format dxfId="304">
      <pivotArea dataOnly="0" labelOnly="1" outline="0" fieldPosition="0">
        <references count="1">
          <reference field="4294967294" count="2">
            <x v="0"/>
            <x v="1"/>
          </reference>
        </references>
      </pivotArea>
    </format>
    <format dxfId="303">
      <pivotArea collapsedLevelsAreSubtotals="1" fieldPosition="0">
        <references count="3">
          <reference field="4294967294" count="1" selected="0">
            <x v="1"/>
          </reference>
          <reference field="1" count="5">
            <x v="7"/>
            <x v="65"/>
            <x v="197"/>
            <x v="294"/>
            <x v="351"/>
          </reference>
          <reference field="2" count="0" selected="0"/>
        </references>
      </pivotArea>
    </format>
    <format dxfId="302">
      <pivotArea collapsedLevelsAreSubtotals="1" fieldPosition="0">
        <references count="3">
          <reference field="4294967294" count="1" selected="0">
            <x v="1"/>
          </reference>
          <reference field="1" count="5">
            <x v="7"/>
            <x v="65"/>
            <x v="197"/>
            <x v="294"/>
            <x v="351"/>
          </reference>
          <reference field="2" count="0" selected="0"/>
        </references>
      </pivotArea>
    </format>
    <format dxfId="301">
      <pivotArea outline="0" collapsedLevelsAreSubtotals="1" fieldPosition="0">
        <references count="1">
          <reference field="4294967294" count="1" selected="0">
            <x v="1"/>
          </reference>
        </references>
      </pivotArea>
    </format>
    <format dxfId="300">
      <pivotArea dataOnly="0" labelOnly="1" fieldPosition="0">
        <references count="1">
          <reference field="2" count="0"/>
        </references>
      </pivotArea>
    </format>
    <format dxfId="299">
      <pivotArea dataOnly="0" labelOnly="1" outline="0" fieldPosition="0">
        <references count="1">
          <reference field="4294967294" count="1">
            <x v="1"/>
          </reference>
        </references>
      </pivotArea>
    </format>
    <format dxfId="298">
      <pivotArea dataOnly="0" labelOnly="1" outline="0" fieldPosition="0">
        <references count="1">
          <reference field="4294967294" count="1">
            <x v="0"/>
          </reference>
        </references>
      </pivotArea>
    </format>
  </formats>
  <pivotTableStyleInfo name="PivotStyleLight16" showRowHeaders="1" showColHeaders="1" showRowStripes="1" showColStripes="0" showLastColumn="1"/>
  <filters count="2">
    <filter fld="1" type="count" evalOrder="-1" id="25" iMeasureFld="0">
      <autoFilter ref="A1">
        <filterColumn colId="0">
          <top10 val="5" filterVal="5"/>
        </filterColumn>
      </autoFilter>
    </filter>
    <filter fld="3" type="count" evalOrder="-1" id="24"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3436EBD-956E-A243-8745-D585CCF1FCDC}"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Rate_Group">
  <location ref="D47:F50" firstHeaderRow="0" firstDataRow="1" firstDataCol="1"/>
  <pivotFields count="11">
    <pivotField showAll="0"/>
    <pivotField showAll="0"/>
    <pivotField axis="axisRow" showAll="0" sortType="descending">
      <items count="4">
        <item x="2"/>
        <item x="1"/>
        <item x="0"/>
        <item t="default"/>
      </items>
      <autoSortScope>
        <pivotArea dataOnly="0" outline="0" fieldPosition="0">
          <references count="1">
            <reference field="4294967294" count="1" selected="0">
              <x v="1"/>
            </reference>
          </references>
        </pivotArea>
      </autoSortScope>
    </pivotField>
    <pivotField showAll="0"/>
    <pivotField numFmtId="164" showAll="0"/>
    <pivotField showAll="0"/>
    <pivotField dataField="1" showAll="0"/>
    <pivotField showAll="0"/>
    <pivotField showAll="0"/>
    <pivotField showAll="0"/>
    <pivotField showAll="0"/>
  </pivotFields>
  <rowFields count="1">
    <field x="2"/>
  </rowFields>
  <rowItems count="3">
    <i>
      <x v="2"/>
    </i>
    <i>
      <x/>
    </i>
    <i>
      <x v="1"/>
    </i>
  </rowItems>
  <colFields count="1">
    <field x="-2"/>
  </colFields>
  <colItems count="2">
    <i>
      <x/>
    </i>
    <i i="1">
      <x v="1"/>
    </i>
  </colItems>
  <dataFields count="2">
    <dataField name="View %" fld="6" showDataAs="percentOfTotal" baseField="0" baseItem="0" numFmtId="10"/>
    <dataField name="View_Count " fld="6" baseField="0" baseItem="0"/>
  </dataFields>
  <formats count="33">
    <format dxfId="350">
      <pivotArea collapsedLevelsAreSubtotals="1" fieldPosition="0">
        <references count="2">
          <reference field="4294967294" count="1" selected="0">
            <x v="0"/>
          </reference>
          <reference field="2" count="1">
            <x v="2"/>
          </reference>
        </references>
      </pivotArea>
    </format>
    <format dxfId="349">
      <pivotArea collapsedLevelsAreSubtotals="1" fieldPosition="0">
        <references count="2">
          <reference field="4294967294" count="1" selected="0">
            <x v="0"/>
          </reference>
          <reference field="2" count="1">
            <x v="0"/>
          </reference>
        </references>
      </pivotArea>
    </format>
    <format dxfId="348">
      <pivotArea collapsedLevelsAreSubtotals="1" fieldPosition="0">
        <references count="2">
          <reference field="4294967294" count="1" selected="0">
            <x v="0"/>
          </reference>
          <reference field="2" count="1">
            <x v="1"/>
          </reference>
        </references>
      </pivotArea>
    </format>
    <format dxfId="347">
      <pivotArea dataOnly="0" fieldPosition="0">
        <references count="1">
          <reference field="2" count="1">
            <x v="2"/>
          </reference>
        </references>
      </pivotArea>
    </format>
    <format dxfId="346">
      <pivotArea collapsedLevelsAreSubtotals="1" fieldPosition="0">
        <references count="1">
          <reference field="2" count="1">
            <x v="0"/>
          </reference>
        </references>
      </pivotArea>
    </format>
    <format dxfId="345">
      <pivotArea dataOnly="0" labelOnly="1" fieldPosition="0">
        <references count="1">
          <reference field="2" count="1">
            <x v="0"/>
          </reference>
        </references>
      </pivotArea>
    </format>
    <format dxfId="344">
      <pivotArea dataOnly="0" fieldPosition="0">
        <references count="1">
          <reference field="2" count="1">
            <x v="0"/>
          </reference>
        </references>
      </pivotArea>
    </format>
    <format dxfId="343">
      <pivotArea collapsedLevelsAreSubtotals="1" fieldPosition="0">
        <references count="1">
          <reference field="2" count="1">
            <x v="1"/>
          </reference>
        </references>
      </pivotArea>
    </format>
    <format dxfId="342">
      <pivotArea dataOnly="0" labelOnly="1" fieldPosition="0">
        <references count="1">
          <reference field="2" count="1">
            <x v="1"/>
          </reference>
        </references>
      </pivotArea>
    </format>
    <format dxfId="341">
      <pivotArea collapsedLevelsAreSubtotals="1" fieldPosition="0">
        <references count="2">
          <reference field="4294967294" count="1" selected="0">
            <x v="0"/>
          </reference>
          <reference field="2" count="1">
            <x v="2"/>
          </reference>
        </references>
      </pivotArea>
    </format>
    <format dxfId="340">
      <pivotArea collapsedLevelsAreSubtotals="1" fieldPosition="0">
        <references count="2">
          <reference field="4294967294" count="1" selected="0">
            <x v="0"/>
          </reference>
          <reference field="2" count="1">
            <x v="0"/>
          </reference>
        </references>
      </pivotArea>
    </format>
    <format dxfId="339">
      <pivotArea collapsedLevelsAreSubtotals="1" fieldPosition="0">
        <references count="2">
          <reference field="4294967294" count="1" selected="0">
            <x v="1"/>
          </reference>
          <reference field="2" count="1">
            <x v="2"/>
          </reference>
        </references>
      </pivotArea>
    </format>
    <format dxfId="338">
      <pivotArea collapsedLevelsAreSubtotals="1" fieldPosition="0">
        <references count="2">
          <reference field="4294967294" count="1" selected="0">
            <x v="1"/>
          </reference>
          <reference field="2" count="1">
            <x v="0"/>
          </reference>
        </references>
      </pivotArea>
    </format>
    <format dxfId="337">
      <pivotArea dataOnly="0" labelOnly="1" fieldPosition="0">
        <references count="1">
          <reference field="2" count="2">
            <x v="0"/>
            <x v="2"/>
          </reference>
        </references>
      </pivotArea>
    </format>
    <format dxfId="336">
      <pivotArea field="2" type="button" dataOnly="0" labelOnly="1" outline="0" axis="axisRow" fieldPosition="0"/>
    </format>
    <format dxfId="335">
      <pivotArea dataOnly="0" labelOnly="1" outline="0" fieldPosition="0">
        <references count="1">
          <reference field="4294967294" count="2">
            <x v="0"/>
            <x v="1"/>
          </reference>
        </references>
      </pivotArea>
    </format>
    <format dxfId="334">
      <pivotArea field="2" type="button" dataOnly="0" labelOnly="1" outline="0" axis="axisRow" fieldPosition="0"/>
    </format>
    <format dxfId="333">
      <pivotArea dataOnly="0" labelOnly="1" outline="0" fieldPosition="0">
        <references count="1">
          <reference field="4294967294" count="2">
            <x v="0"/>
            <x v="1"/>
          </reference>
        </references>
      </pivotArea>
    </format>
    <format dxfId="332">
      <pivotArea field="2" type="button" dataOnly="0" labelOnly="1" outline="0" axis="axisRow" fieldPosition="0"/>
    </format>
    <format dxfId="331">
      <pivotArea dataOnly="0" labelOnly="1" outline="0" fieldPosition="0">
        <references count="1">
          <reference field="4294967294" count="2">
            <x v="0"/>
            <x v="1"/>
          </reference>
        </references>
      </pivotArea>
    </format>
    <format dxfId="330">
      <pivotArea dataOnly="0" fieldPosition="0">
        <references count="1">
          <reference field="2" count="2">
            <x v="0"/>
            <x v="2"/>
          </reference>
        </references>
      </pivotArea>
    </format>
    <format dxfId="329">
      <pivotArea dataOnly="0" labelOnly="1" fieldPosition="0">
        <references count="1">
          <reference field="2" count="1">
            <x v="1"/>
          </reference>
        </references>
      </pivotArea>
    </format>
    <format dxfId="328">
      <pivotArea dataOnly="0" labelOnly="1" outline="0" fieldPosition="0">
        <references count="1">
          <reference field="4294967294" count="1">
            <x v="1"/>
          </reference>
        </references>
      </pivotArea>
    </format>
    <format dxfId="327">
      <pivotArea dataOnly="0" labelOnly="1" fieldPosition="0">
        <references count="1">
          <reference field="2" count="0"/>
        </references>
      </pivotArea>
    </format>
    <format dxfId="326">
      <pivotArea outline="0" collapsedLevelsAreSubtotals="1" fieldPosition="0">
        <references count="1">
          <reference field="4294967294" count="1" selected="0">
            <x v="1"/>
          </reference>
        </references>
      </pivotArea>
    </format>
    <format dxfId="325">
      <pivotArea outline="0" collapsedLevelsAreSubtotals="1" fieldPosition="0">
        <references count="1">
          <reference field="4294967294" count="1" selected="0">
            <x v="0"/>
          </reference>
        </references>
      </pivotArea>
    </format>
    <format dxfId="324">
      <pivotArea field="2" type="button" dataOnly="0" labelOnly="1" outline="0" axis="axisRow" fieldPosition="0"/>
    </format>
    <format dxfId="323">
      <pivotArea dataOnly="0" labelOnly="1" outline="0" fieldPosition="0">
        <references count="1">
          <reference field="4294967294" count="2">
            <x v="0"/>
            <x v="1"/>
          </reference>
        </references>
      </pivotArea>
    </format>
    <format dxfId="322">
      <pivotArea dataOnly="0" labelOnly="1" outline="0" fieldPosition="0">
        <references count="1">
          <reference field="4294967294" count="1">
            <x v="0"/>
          </reference>
        </references>
      </pivotArea>
    </format>
    <format dxfId="321">
      <pivotArea collapsedLevelsAreSubtotals="1" fieldPosition="0">
        <references count="1">
          <reference field="2" count="1">
            <x v="0"/>
          </reference>
        </references>
      </pivotArea>
    </format>
    <format dxfId="320">
      <pivotArea dataOnly="0" labelOnly="1" fieldPosition="0">
        <references count="1">
          <reference field="2" count="1">
            <x v="0"/>
          </reference>
        </references>
      </pivotArea>
    </format>
    <format dxfId="319">
      <pivotArea collapsedLevelsAreSubtotals="1" fieldPosition="0">
        <references count="1">
          <reference field="2" count="1">
            <x v="2"/>
          </reference>
        </references>
      </pivotArea>
    </format>
    <format dxfId="318">
      <pivotArea dataOnly="0" labelOnly="1" fieldPosition="0">
        <references count="1">
          <reference field="2" count="1">
            <x v="2"/>
          </reference>
        </references>
      </pivotArea>
    </format>
  </formats>
  <chartFormats count="16">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2">
          <reference field="4294967294" count="1" selected="0">
            <x v="0"/>
          </reference>
          <reference field="2" count="1" selected="0">
            <x v="0"/>
          </reference>
        </references>
      </pivotArea>
    </chartFormat>
    <chartFormat chart="3" format="3">
      <pivotArea type="data" outline="0" fieldPosition="0">
        <references count="2">
          <reference field="4294967294" count="1" selected="0">
            <x v="0"/>
          </reference>
          <reference field="2" count="1" selected="0">
            <x v="2"/>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 chart="3" format="5">
      <pivotArea type="data" outline="0" fieldPosition="0">
        <references count="2">
          <reference field="4294967294" count="1" selected="0">
            <x v="1"/>
          </reference>
          <reference field="2" count="1" selected="0">
            <x v="2"/>
          </reference>
        </references>
      </pivotArea>
    </chartFormat>
    <chartFormat chart="3" format="6">
      <pivotArea type="data" outline="0" fieldPosition="0">
        <references count="2">
          <reference field="4294967294" count="1" selected="0">
            <x v="1"/>
          </reference>
          <reference field="2" count="1" selected="0">
            <x v="0"/>
          </reference>
        </references>
      </pivotArea>
    </chartFormat>
    <chartFormat chart="3" format="7">
      <pivotArea type="data" outline="0" fieldPosition="0">
        <references count="2">
          <reference field="4294967294" count="1" selected="0">
            <x v="1"/>
          </reference>
          <reference field="2" count="1" selected="0">
            <x v="1"/>
          </reference>
        </references>
      </pivotArea>
    </chartFormat>
    <chartFormat chart="8" format="16" series="1">
      <pivotArea type="data" outline="0" fieldPosition="0">
        <references count="1">
          <reference field="4294967294" count="1" selected="0">
            <x v="0"/>
          </reference>
        </references>
      </pivotArea>
    </chartFormat>
    <chartFormat chart="8" format="17">
      <pivotArea type="data" outline="0" fieldPosition="0">
        <references count="2">
          <reference field="4294967294" count="1" selected="0">
            <x v="0"/>
          </reference>
          <reference field="2" count="1" selected="0">
            <x v="2"/>
          </reference>
        </references>
      </pivotArea>
    </chartFormat>
    <chartFormat chart="8" format="18">
      <pivotArea type="data" outline="0" fieldPosition="0">
        <references count="2">
          <reference field="4294967294" count="1" selected="0">
            <x v="0"/>
          </reference>
          <reference field="2" count="1" selected="0">
            <x v="0"/>
          </reference>
        </references>
      </pivotArea>
    </chartFormat>
    <chartFormat chart="8" format="19">
      <pivotArea type="data" outline="0" fieldPosition="0">
        <references count="2">
          <reference field="4294967294" count="1" selected="0">
            <x v="0"/>
          </reference>
          <reference field="2" count="1" selected="0">
            <x v="1"/>
          </reference>
        </references>
      </pivotArea>
    </chartFormat>
    <chartFormat chart="8" format="20" series="1">
      <pivotArea type="data" outline="0" fieldPosition="0">
        <references count="1">
          <reference field="4294967294" count="1" selected="0">
            <x v="1"/>
          </reference>
        </references>
      </pivotArea>
    </chartFormat>
    <chartFormat chart="8" format="21">
      <pivotArea type="data" outline="0" fieldPosition="0">
        <references count="2">
          <reference field="4294967294" count="1" selected="0">
            <x v="1"/>
          </reference>
          <reference field="2" count="1" selected="0">
            <x v="2"/>
          </reference>
        </references>
      </pivotArea>
    </chartFormat>
    <chartFormat chart="8" format="22">
      <pivotArea type="data" outline="0" fieldPosition="0">
        <references count="2">
          <reference field="4294967294" count="1" selected="0">
            <x v="1"/>
          </reference>
          <reference field="2" count="1" selected="0">
            <x v="0"/>
          </reference>
        </references>
      </pivotArea>
    </chartFormat>
    <chartFormat chart="8" format="23">
      <pivotArea type="data" outline="0" fieldPosition="0">
        <references count="2">
          <reference field="4294967294" count="1" selected="0">
            <x v="1"/>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983B4CB-601B-DC46-9C52-BC657EAAA55D}" name="PivotTable2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Rate_Group">
  <location ref="V55:Y61" firstHeaderRow="0" firstDataRow="1" firstDataCol="1"/>
  <pivotFields count="11">
    <pivotField showAll="0"/>
    <pivotField axis="axisRow" showAll="0" measureFilter="1" sortType="descending">
      <items count="393">
        <item x="45"/>
        <item x="387"/>
        <item x="113"/>
        <item x="339"/>
        <item x="128"/>
        <item x="95"/>
        <item x="79"/>
        <item x="105"/>
        <item x="372"/>
        <item x="154"/>
        <item x="129"/>
        <item x="213"/>
        <item x="71"/>
        <item x="184"/>
        <item x="97"/>
        <item x="116"/>
        <item x="99"/>
        <item x="87"/>
        <item x="302"/>
        <item x="192"/>
        <item x="6"/>
        <item x="359"/>
        <item x="314"/>
        <item x="362"/>
        <item x="252"/>
        <item x="33"/>
        <item x="64"/>
        <item x="83"/>
        <item x="318"/>
        <item x="187"/>
        <item x="209"/>
        <item x="37"/>
        <item x="118"/>
        <item x="328"/>
        <item x="332"/>
        <item x="262"/>
        <item x="151"/>
        <item x="122"/>
        <item x="321"/>
        <item x="14"/>
        <item x="295"/>
        <item x="324"/>
        <item x="190"/>
        <item x="15"/>
        <item x="55"/>
        <item x="156"/>
        <item x="344"/>
        <item x="368"/>
        <item x="61"/>
        <item x="317"/>
        <item x="137"/>
        <item x="271"/>
        <item x="125"/>
        <item x="251"/>
        <item x="123"/>
        <item x="160"/>
        <item x="62"/>
        <item x="186"/>
        <item x="353"/>
        <item x="100"/>
        <item x="260"/>
        <item x="237"/>
        <item x="224"/>
        <item x="351"/>
        <item x="161"/>
        <item x="126"/>
        <item x="163"/>
        <item x="1"/>
        <item x="75"/>
        <item x="85"/>
        <item x="191"/>
        <item x="145"/>
        <item x="133"/>
        <item x="104"/>
        <item x="130"/>
        <item x="334"/>
        <item x="93"/>
        <item x="111"/>
        <item x="338"/>
        <item x="333"/>
        <item x="143"/>
        <item x="142"/>
        <item x="127"/>
        <item x="121"/>
        <item x="316"/>
        <item x="350"/>
        <item x="356"/>
        <item x="322"/>
        <item x="117"/>
        <item x="343"/>
        <item x="233"/>
        <item x="18"/>
        <item x="214"/>
        <item x="157"/>
        <item x="174"/>
        <item x="19"/>
        <item x="327"/>
        <item x="380"/>
        <item x="59"/>
        <item x="80"/>
        <item x="88"/>
        <item x="3"/>
        <item x="30"/>
        <item x="330"/>
        <item x="337"/>
        <item x="253"/>
        <item x="9"/>
        <item x="0"/>
        <item x="200"/>
        <item x="210"/>
        <item x="40"/>
        <item x="22"/>
        <item x="346"/>
        <item x="56"/>
        <item x="326"/>
        <item x="349"/>
        <item x="348"/>
        <item x="229"/>
        <item x="325"/>
        <item x="342"/>
        <item x="47"/>
        <item x="360"/>
        <item x="144"/>
        <item x="65"/>
        <item x="195"/>
        <item x="135"/>
        <item x="367"/>
        <item x="290"/>
        <item x="188"/>
        <item x="169"/>
        <item x="385"/>
        <item x="16"/>
        <item x="115"/>
        <item x="268"/>
        <item x="176"/>
        <item x="94"/>
        <item x="164"/>
        <item x="235"/>
        <item x="52"/>
        <item x="24"/>
        <item x="315"/>
        <item x="74"/>
        <item x="377"/>
        <item x="246"/>
        <item x="320"/>
        <item x="44"/>
        <item x="211"/>
        <item x="20"/>
        <item x="226"/>
        <item x="189"/>
        <item x="146"/>
        <item x="69"/>
        <item x="218"/>
        <item x="220"/>
        <item x="78"/>
        <item x="194"/>
        <item x="378"/>
        <item x="150"/>
        <item x="361"/>
        <item x="228"/>
        <item x="241"/>
        <item x="215"/>
        <item x="41"/>
        <item x="249"/>
        <item x="4"/>
        <item x="120"/>
        <item x="167"/>
        <item x="132"/>
        <item x="21"/>
        <item x="181"/>
        <item x="2"/>
        <item x="244"/>
        <item x="11"/>
        <item x="255"/>
        <item x="352"/>
        <item x="168"/>
        <item x="245"/>
        <item x="173"/>
        <item x="196"/>
        <item x="357"/>
        <item x="340"/>
        <item x="46"/>
        <item x="264"/>
        <item x="386"/>
        <item x="365"/>
        <item x="131"/>
        <item x="158"/>
        <item x="319"/>
        <item x="91"/>
        <item x="13"/>
        <item x="212"/>
        <item x="68"/>
        <item x="202"/>
        <item x="12"/>
        <item x="36"/>
        <item x="89"/>
        <item x="363"/>
        <item x="177"/>
        <item x="35"/>
        <item x="306"/>
        <item x="370"/>
        <item x="242"/>
        <item x="148"/>
        <item x="256"/>
        <item x="331"/>
        <item x="49"/>
        <item x="182"/>
        <item x="282"/>
        <item x="81"/>
        <item x="193"/>
        <item x="279"/>
        <item x="269"/>
        <item x="239"/>
        <item x="141"/>
        <item x="92"/>
        <item x="247"/>
        <item x="34"/>
        <item x="119"/>
        <item x="8"/>
        <item x="201"/>
        <item x="101"/>
        <item x="336"/>
        <item x="323"/>
        <item x="366"/>
        <item x="153"/>
        <item x="134"/>
        <item x="185"/>
        <item x="345"/>
        <item x="159"/>
        <item x="26"/>
        <item x="310"/>
        <item x="297"/>
        <item x="301"/>
        <item x="7"/>
        <item x="31"/>
        <item x="283"/>
        <item x="276"/>
        <item x="166"/>
        <item x="29"/>
        <item x="272"/>
        <item x="369"/>
        <item x="298"/>
        <item x="311"/>
        <item x="312"/>
        <item x="308"/>
        <item x="274"/>
        <item x="294"/>
        <item x="296"/>
        <item x="293"/>
        <item x="388"/>
        <item x="291"/>
        <item x="303"/>
        <item x="278"/>
        <item x="287"/>
        <item x="234"/>
        <item x="292"/>
        <item m="1" x="391"/>
        <item x="284"/>
        <item x="381"/>
        <item x="155"/>
        <item x="5"/>
        <item x="379"/>
        <item x="232"/>
        <item x="162"/>
        <item x="152"/>
        <item x="198"/>
        <item x="175"/>
        <item x="374"/>
        <item x="347"/>
        <item x="107"/>
        <item x="390"/>
        <item x="248"/>
        <item x="257"/>
        <item x="300"/>
        <item x="43"/>
        <item x="288"/>
        <item x="280"/>
        <item x="289"/>
        <item x="281"/>
        <item x="305"/>
        <item x="28"/>
        <item x="376"/>
        <item x="199"/>
        <item x="206"/>
        <item x="25"/>
        <item x="309"/>
        <item x="42"/>
        <item x="17"/>
        <item x="304"/>
        <item x="371"/>
        <item x="217"/>
        <item x="53"/>
        <item x="48"/>
        <item x="171"/>
        <item x="114"/>
        <item x="58"/>
        <item x="216"/>
        <item x="254"/>
        <item x="275"/>
        <item x="222"/>
        <item x="66"/>
        <item x="38"/>
        <item x="109"/>
        <item x="63"/>
        <item x="102"/>
        <item x="354"/>
        <item x="136"/>
        <item x="299"/>
        <item x="259"/>
        <item x="32"/>
        <item x="375"/>
        <item x="172"/>
        <item x="39"/>
        <item x="183"/>
        <item x="285"/>
        <item x="67"/>
        <item x="307"/>
        <item x="98"/>
        <item x="108"/>
        <item x="240"/>
        <item x="267"/>
        <item x="27"/>
        <item x="219"/>
        <item x="76"/>
        <item x="258"/>
        <item x="221"/>
        <item x="277"/>
        <item x="180"/>
        <item x="23"/>
        <item x="265"/>
        <item x="389"/>
        <item x="263"/>
        <item x="286"/>
        <item x="313"/>
        <item x="243"/>
        <item x="250"/>
        <item x="364"/>
        <item x="73"/>
        <item x="110"/>
        <item x="57"/>
        <item x="70"/>
        <item x="238"/>
        <item x="384"/>
        <item x="77"/>
        <item x="147"/>
        <item x="373"/>
        <item x="207"/>
        <item x="227"/>
        <item x="72"/>
        <item x="103"/>
        <item x="90"/>
        <item x="165"/>
        <item x="96"/>
        <item x="10"/>
        <item x="178"/>
        <item x="383"/>
        <item x="225"/>
        <item x="355"/>
        <item x="50"/>
        <item x="124"/>
        <item x="231"/>
        <item x="204"/>
        <item x="203"/>
        <item x="86"/>
        <item x="138"/>
        <item x="270"/>
        <item x="205"/>
        <item x="51"/>
        <item x="273"/>
        <item x="54"/>
        <item x="106"/>
        <item x="139"/>
        <item x="84"/>
        <item x="236"/>
        <item x="329"/>
        <item x="149"/>
        <item x="261"/>
        <item x="112"/>
        <item x="208"/>
        <item x="170"/>
        <item x="335"/>
        <item x="358"/>
        <item x="266"/>
        <item x="82"/>
        <item x="382"/>
        <item x="230"/>
        <item x="197"/>
        <item x="223"/>
        <item x="140"/>
        <item x="179"/>
        <item x="60"/>
        <item x="341"/>
        <item t="default"/>
      </items>
      <autoSortScope>
        <pivotArea dataOnly="0" outline="0" fieldPosition="0">
          <references count="1">
            <reference field="4294967294" count="1" selected="0">
              <x v="1"/>
            </reference>
          </references>
        </pivotArea>
      </autoSortScope>
    </pivotField>
    <pivotField axis="axisRow" showAll="0">
      <items count="4">
        <item h="1" x="2"/>
        <item h="1" x="1"/>
        <item x="0"/>
        <item t="default"/>
      </items>
    </pivotField>
    <pivotField showAll="0" measureFilter="1" sortType="descending">
      <autoSortScope>
        <pivotArea dataOnly="0" outline="0" fieldPosition="0">
          <references count="1">
            <reference field="4294967294" count="1" selected="0">
              <x v="1"/>
            </reference>
          </references>
        </pivotArea>
      </autoSortScope>
    </pivotField>
    <pivotField numFmtId="164" showAll="0"/>
    <pivotField showAll="0"/>
    <pivotField dataField="1" showAll="0"/>
    <pivotField showAll="0"/>
    <pivotField dataField="1" showAll="0"/>
    <pivotField showAll="0"/>
    <pivotField showAll="0"/>
  </pivotFields>
  <rowFields count="2">
    <field x="2"/>
    <field x="1"/>
  </rowFields>
  <rowItems count="6">
    <i>
      <x v="2"/>
    </i>
    <i r="1">
      <x v="7"/>
    </i>
    <i r="1">
      <x v="65"/>
    </i>
    <i r="1">
      <x v="197"/>
    </i>
    <i r="1">
      <x v="351"/>
    </i>
    <i r="1">
      <x v="294"/>
    </i>
  </rowItems>
  <colFields count="1">
    <field x="-2"/>
  </colFields>
  <colItems count="3">
    <i>
      <x/>
    </i>
    <i i="1">
      <x v="1"/>
    </i>
    <i i="2">
      <x v="2"/>
    </i>
  </colItems>
  <dataFields count="3">
    <dataField name="hvvkvkbkkbkbkbjbkkk" fld="8" baseField="0" baseItem="0"/>
    <dataField name="Review_ct" fld="8" baseField="0" baseItem="0"/>
    <dataField name="15min_view_ct" fld="6" baseField="0" baseItem="0"/>
  </dataFields>
  <formats count="30">
    <format dxfId="148">
      <pivotArea dataOnly="0" labelOnly="1" fieldPosition="0">
        <references count="2">
          <reference field="1" count="1">
            <x v="7"/>
          </reference>
          <reference field="2" count="0" selected="0"/>
        </references>
      </pivotArea>
    </format>
    <format dxfId="147">
      <pivotArea collapsedLevelsAreSubtotals="1" fieldPosition="0">
        <references count="3">
          <reference field="4294967294" count="1" selected="0">
            <x v="1"/>
          </reference>
          <reference field="1" count="1">
            <x v="7"/>
          </reference>
          <reference field="2" count="0" selected="0"/>
        </references>
      </pivotArea>
    </format>
    <format dxfId="146">
      <pivotArea collapsedLevelsAreSubtotals="1" fieldPosition="0">
        <references count="3">
          <reference field="4294967294" count="1" selected="0">
            <x v="1"/>
          </reference>
          <reference field="1" count="1">
            <x v="7"/>
          </reference>
          <reference field="2" count="0" selected="0"/>
        </references>
      </pivotArea>
    </format>
    <format dxfId="145">
      <pivotArea dataOnly="0" labelOnly="1" fieldPosition="0">
        <references count="1">
          <reference field="2" count="0"/>
        </references>
      </pivotArea>
    </format>
    <format dxfId="144">
      <pivotArea collapsedLevelsAreSubtotals="1" fieldPosition="0">
        <references count="1">
          <reference field="2" count="0"/>
        </references>
      </pivotArea>
    </format>
    <format dxfId="143">
      <pivotArea collapsedLevelsAreSubtotals="1" fieldPosition="0">
        <references count="3">
          <reference field="4294967294" count="1" selected="0">
            <x v="1"/>
          </reference>
          <reference field="1" count="4">
            <x v="65"/>
            <x v="197"/>
            <x v="294"/>
            <x v="351"/>
          </reference>
          <reference field="2" count="0" selected="0"/>
        </references>
      </pivotArea>
    </format>
    <format dxfId="142">
      <pivotArea field="2" type="button" dataOnly="0" labelOnly="1" outline="0" axis="axisRow" fieldPosition="0"/>
    </format>
    <format dxfId="141">
      <pivotArea dataOnly="0" labelOnly="1" outline="0" fieldPosition="0">
        <references count="1">
          <reference field="4294967294" count="2">
            <x v="1"/>
            <x v="2"/>
          </reference>
        </references>
      </pivotArea>
    </format>
    <format dxfId="140">
      <pivotArea field="2" type="button" dataOnly="0" labelOnly="1" outline="0" axis="axisRow" fieldPosition="0"/>
    </format>
    <format dxfId="139">
      <pivotArea dataOnly="0" labelOnly="1" outline="0" fieldPosition="0">
        <references count="1">
          <reference field="4294967294" count="2">
            <x v="1"/>
            <x v="2"/>
          </reference>
        </references>
      </pivotArea>
    </format>
    <format dxfId="138">
      <pivotArea dataOnly="0" labelOnly="1" outline="0" fieldPosition="0">
        <references count="1">
          <reference field="4294967294" count="2">
            <x v="1"/>
            <x v="2"/>
          </reference>
        </references>
      </pivotArea>
    </format>
    <format dxfId="137">
      <pivotArea collapsedLevelsAreSubtotals="1" fieldPosition="0">
        <references count="3">
          <reference field="4294967294" count="1" selected="0">
            <x v="2"/>
          </reference>
          <reference field="1" count="5">
            <x v="7"/>
            <x v="65"/>
            <x v="197"/>
            <x v="294"/>
            <x v="351"/>
          </reference>
          <reference field="2" count="0" selected="0"/>
        </references>
      </pivotArea>
    </format>
    <format dxfId="136">
      <pivotArea collapsedLevelsAreSubtotals="1" fieldPosition="0">
        <references count="3">
          <reference field="4294967294" count="1" selected="0">
            <x v="2"/>
          </reference>
          <reference field="1" count="5">
            <x v="7"/>
            <x v="65"/>
            <x v="197"/>
            <x v="294"/>
            <x v="351"/>
          </reference>
          <reference field="2" count="0" selected="0"/>
        </references>
      </pivotArea>
    </format>
    <format dxfId="135">
      <pivotArea outline="0" collapsedLevelsAreSubtotals="1" fieldPosition="0">
        <references count="1">
          <reference field="4294967294" count="1" selected="0">
            <x v="2"/>
          </reference>
        </references>
      </pivotArea>
    </format>
    <format dxfId="134">
      <pivotArea dataOnly="0" labelOnly="1" fieldPosition="0">
        <references count="1">
          <reference field="2" count="0"/>
        </references>
      </pivotArea>
    </format>
    <format dxfId="133">
      <pivotArea dataOnly="0" labelOnly="1" outline="0" fieldPosition="0">
        <references count="1">
          <reference field="4294967294" count="1">
            <x v="2"/>
          </reference>
        </references>
      </pivotArea>
    </format>
    <format dxfId="132">
      <pivotArea dataOnly="0" labelOnly="1" outline="0" fieldPosition="0">
        <references count="1">
          <reference field="4294967294" count="1">
            <x v="1"/>
          </reference>
        </references>
      </pivotArea>
    </format>
    <format dxfId="131">
      <pivotArea outline="0" collapsedLevelsAreSubtotals="1" fieldPosition="0"/>
    </format>
    <format dxfId="130">
      <pivotArea dataOnly="0" labelOnly="1" fieldPosition="0">
        <references count="1">
          <reference field="2" count="0"/>
        </references>
      </pivotArea>
    </format>
    <format dxfId="129">
      <pivotArea dataOnly="0" labelOnly="1" fieldPosition="0">
        <references count="2">
          <reference field="1" count="5">
            <x v="7"/>
            <x v="65"/>
            <x v="197"/>
            <x v="294"/>
            <x v="351"/>
          </reference>
          <reference field="2" count="0" selected="0"/>
        </references>
      </pivotArea>
    </format>
    <format dxfId="128">
      <pivotArea field="2" type="button" dataOnly="0" labelOnly="1" outline="0" axis="axisRow" fieldPosition="0"/>
    </format>
    <format dxfId="127">
      <pivotArea dataOnly="0" labelOnly="1" outline="0" fieldPosition="0">
        <references count="1">
          <reference field="4294967294" count="2">
            <x v="1"/>
            <x v="2"/>
          </reference>
        </references>
      </pivotArea>
    </format>
    <format dxfId="126">
      <pivotArea dataOnly="0" labelOnly="1" outline="0" fieldPosition="0">
        <references count="1">
          <reference field="4294967294" count="1">
            <x v="0"/>
          </reference>
        </references>
      </pivotArea>
    </format>
    <format dxfId="125">
      <pivotArea dataOnly="0" labelOnly="1" fieldPosition="0">
        <references count="2">
          <reference field="1" count="5">
            <x v="11"/>
            <x v="92"/>
            <x v="161"/>
            <x v="259"/>
            <x v="361"/>
          </reference>
          <reference field="2" count="0" selected="0"/>
        </references>
      </pivotArea>
    </format>
    <format dxfId="124">
      <pivotArea dataOnly="0" labelOnly="1" fieldPosition="0">
        <references count="2">
          <reference field="1" count="1">
            <x v="92"/>
          </reference>
          <reference field="2" count="0" selected="0"/>
        </references>
      </pivotArea>
    </format>
    <format dxfId="123">
      <pivotArea dataOnly="0" labelOnly="1" fieldPosition="0">
        <references count="2">
          <reference field="1" count="4">
            <x v="60"/>
            <x v="90"/>
            <x v="226"/>
            <x v="308"/>
          </reference>
          <reference field="2" count="0" selected="0"/>
        </references>
      </pivotArea>
    </format>
    <format dxfId="122">
      <pivotArea dataOnly="0" labelOnly="1" fieldPosition="0">
        <references count="2">
          <reference field="1" count="1">
            <x v="90"/>
          </reference>
          <reference field="2" count="0" selected="0"/>
        </references>
      </pivotArea>
    </format>
    <format dxfId="121">
      <pivotArea dataOnly="0" labelOnly="1" fieldPosition="0">
        <references count="1">
          <reference field="2" count="0"/>
        </references>
      </pivotArea>
    </format>
    <format dxfId="120">
      <pivotArea dataOnly="0" labelOnly="1" fieldPosition="0">
        <references count="1">
          <reference field="2" count="0"/>
        </references>
      </pivotArea>
    </format>
    <format dxfId="119">
      <pivotArea dataOnly="0" labelOnly="1" fieldPosition="0">
        <references count="1">
          <reference field="2" count="0"/>
        </references>
      </pivotArea>
    </format>
  </formats>
  <conditionalFormats count="4">
    <conditionalFormat priority="5">
      <pivotAreas count="1">
        <pivotArea type="data" collapsedLevelsAreSubtotals="1" fieldPosition="0">
          <references count="3">
            <reference field="4294967294" count="1" selected="0">
              <x v="0"/>
            </reference>
            <reference field="1" count="5">
              <x v="7"/>
              <x v="65"/>
              <x v="197"/>
              <x v="294"/>
              <x v="351"/>
            </reference>
            <reference field="2" count="1" selected="0">
              <x v="2"/>
            </reference>
          </references>
        </pivotArea>
      </pivotAreas>
    </conditionalFormat>
    <conditionalFormat priority="4">
      <pivotAreas count="1">
        <pivotArea type="data" collapsedLevelsAreSubtotals="1" fieldPosition="0">
          <references count="3">
            <reference field="4294967294" count="1" selected="0">
              <x v="0"/>
            </reference>
            <reference field="1" count="5">
              <x v="11"/>
              <x v="92"/>
              <x v="161"/>
              <x v="259"/>
              <x v="361"/>
            </reference>
            <reference field="2" count="1" selected="0">
              <x v="1"/>
            </reference>
          </references>
        </pivotArea>
      </pivotAreas>
    </conditionalFormat>
    <conditionalFormat priority="2">
      <pivotAreas count="1">
        <pivotArea type="data" collapsedLevelsAreSubtotals="1" fieldPosition="0">
          <references count="3">
            <reference field="4294967294" count="1" selected="0">
              <x v="0"/>
            </reference>
            <reference field="1" count="5">
              <x v="60"/>
              <x v="90"/>
              <x v="226"/>
              <x v="308"/>
              <x v="361"/>
            </reference>
            <reference field="2" count="1" selected="0">
              <x v="0"/>
            </reference>
          </references>
        </pivotArea>
      </pivotAreas>
    </conditionalFormat>
    <conditionalFormat priority="1">
      <pivotAreas count="1">
        <pivotArea type="data" collapsedLevelsAreSubtotals="1" fieldPosition="0">
          <references count="3">
            <reference field="4294967294" count="1" selected="0">
              <x v="0"/>
            </reference>
            <reference field="1" count="5">
              <x v="11"/>
              <x v="92"/>
              <x v="161"/>
              <x v="259"/>
              <x v="361"/>
            </reference>
            <reference field="2" count="1" selected="0">
              <x v="1"/>
            </reference>
          </references>
        </pivotArea>
      </pivotAreas>
    </conditionalFormat>
  </conditionalFormats>
  <pivotTableStyleInfo name="PivotStyleLight16" showRowHeaders="1" showColHeaders="1" showRowStripes="1" showColStripes="0" showLastColumn="1"/>
  <filters count="2">
    <filter fld="1" type="count" evalOrder="-1" id="25" iMeasureFld="1">
      <autoFilter ref="A1">
        <filterColumn colId="0">
          <top10 val="5" filterVal="5"/>
        </filterColumn>
      </autoFilter>
    </filter>
    <filter fld="3" type="count" evalOrder="-1" id="24" iMeasureFld="1">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6FF318F-B812-A24A-9A99-32A7C081B136}" name="PivotTable2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rowHeaderCaption="Rate_Group">
  <location ref="F56:H59" firstHeaderRow="0" firstDataRow="1" firstDataCol="1"/>
  <pivotFields count="11">
    <pivotField showAll="0"/>
    <pivotField showAll="0"/>
    <pivotField axis="axisRow" showAll="0" sortType="descending">
      <items count="4">
        <item x="2"/>
        <item x="1"/>
        <item x="0"/>
        <item t="default"/>
      </items>
      <autoSortScope>
        <pivotArea dataOnly="0" outline="0" fieldPosition="0">
          <references count="1">
            <reference field="4294967294" count="1" selected="0">
              <x v="1"/>
            </reference>
          </references>
        </pivotArea>
      </autoSortScope>
    </pivotField>
    <pivotField showAll="0"/>
    <pivotField numFmtId="164" showAll="0"/>
    <pivotField showAll="0"/>
    <pivotField dataField="1" showAll="0"/>
    <pivotField showAll="0"/>
    <pivotField showAll="0"/>
    <pivotField showAll="0"/>
    <pivotField showAll="0"/>
  </pivotFields>
  <rowFields count="1">
    <field x="2"/>
  </rowFields>
  <rowItems count="3">
    <i>
      <x v="2"/>
    </i>
    <i>
      <x/>
    </i>
    <i>
      <x v="1"/>
    </i>
  </rowItems>
  <colFields count="1">
    <field x="-2"/>
  </colFields>
  <colItems count="2">
    <i>
      <x/>
    </i>
    <i i="1">
      <x v="1"/>
    </i>
  </colItems>
  <dataFields count="2">
    <dataField name="View %" fld="6" showDataAs="percentOfTotal" baseField="0" baseItem="0" numFmtId="10"/>
    <dataField name="View_Count " fld="6" baseField="0" baseItem="0"/>
  </dataFields>
  <formats count="38">
    <format dxfId="186">
      <pivotArea collapsedLevelsAreSubtotals="1" fieldPosition="0">
        <references count="2">
          <reference field="4294967294" count="1" selected="0">
            <x v="0"/>
          </reference>
          <reference field="2" count="1">
            <x v="2"/>
          </reference>
        </references>
      </pivotArea>
    </format>
    <format dxfId="185">
      <pivotArea collapsedLevelsAreSubtotals="1" fieldPosition="0">
        <references count="2">
          <reference field="4294967294" count="1" selected="0">
            <x v="0"/>
          </reference>
          <reference field="2" count="1">
            <x v="0"/>
          </reference>
        </references>
      </pivotArea>
    </format>
    <format dxfId="184">
      <pivotArea collapsedLevelsAreSubtotals="1" fieldPosition="0">
        <references count="2">
          <reference field="4294967294" count="1" selected="0">
            <x v="0"/>
          </reference>
          <reference field="2" count="1">
            <x v="1"/>
          </reference>
        </references>
      </pivotArea>
    </format>
    <format dxfId="183">
      <pivotArea dataOnly="0" fieldPosition="0">
        <references count="1">
          <reference field="2" count="1">
            <x v="2"/>
          </reference>
        </references>
      </pivotArea>
    </format>
    <format dxfId="182">
      <pivotArea collapsedLevelsAreSubtotals="1" fieldPosition="0">
        <references count="1">
          <reference field="2" count="1">
            <x v="0"/>
          </reference>
        </references>
      </pivotArea>
    </format>
    <format dxfId="181">
      <pivotArea dataOnly="0" labelOnly="1" fieldPosition="0">
        <references count="1">
          <reference field="2" count="1">
            <x v="0"/>
          </reference>
        </references>
      </pivotArea>
    </format>
    <format dxfId="180">
      <pivotArea dataOnly="0" fieldPosition="0">
        <references count="1">
          <reference field="2" count="1">
            <x v="0"/>
          </reference>
        </references>
      </pivotArea>
    </format>
    <format dxfId="179">
      <pivotArea collapsedLevelsAreSubtotals="1" fieldPosition="0">
        <references count="1">
          <reference field="2" count="1">
            <x v="1"/>
          </reference>
        </references>
      </pivotArea>
    </format>
    <format dxfId="178">
      <pivotArea dataOnly="0" labelOnly="1" fieldPosition="0">
        <references count="1">
          <reference field="2" count="1">
            <x v="1"/>
          </reference>
        </references>
      </pivotArea>
    </format>
    <format dxfId="177">
      <pivotArea collapsedLevelsAreSubtotals="1" fieldPosition="0">
        <references count="2">
          <reference field="4294967294" count="1" selected="0">
            <x v="0"/>
          </reference>
          <reference field="2" count="1">
            <x v="2"/>
          </reference>
        </references>
      </pivotArea>
    </format>
    <format dxfId="176">
      <pivotArea collapsedLevelsAreSubtotals="1" fieldPosition="0">
        <references count="2">
          <reference field="4294967294" count="1" selected="0">
            <x v="0"/>
          </reference>
          <reference field="2" count="1">
            <x v="0"/>
          </reference>
        </references>
      </pivotArea>
    </format>
    <format dxfId="175">
      <pivotArea collapsedLevelsAreSubtotals="1" fieldPosition="0">
        <references count="2">
          <reference field="4294967294" count="1" selected="0">
            <x v="1"/>
          </reference>
          <reference field="2" count="1">
            <x v="2"/>
          </reference>
        </references>
      </pivotArea>
    </format>
    <format dxfId="174">
      <pivotArea collapsedLevelsAreSubtotals="1" fieldPosition="0">
        <references count="2">
          <reference field="4294967294" count="1" selected="0">
            <x v="1"/>
          </reference>
          <reference field="2" count="1">
            <x v="0"/>
          </reference>
        </references>
      </pivotArea>
    </format>
    <format dxfId="173">
      <pivotArea dataOnly="0" labelOnly="1" fieldPosition="0">
        <references count="1">
          <reference field="2" count="2">
            <x v="0"/>
            <x v="2"/>
          </reference>
        </references>
      </pivotArea>
    </format>
    <format dxfId="172">
      <pivotArea field="2" type="button" dataOnly="0" labelOnly="1" outline="0" axis="axisRow" fieldPosition="0"/>
    </format>
    <format dxfId="171">
      <pivotArea dataOnly="0" labelOnly="1" outline="0" fieldPosition="0">
        <references count="1">
          <reference field="4294967294" count="2">
            <x v="0"/>
            <x v="1"/>
          </reference>
        </references>
      </pivotArea>
    </format>
    <format dxfId="170">
      <pivotArea field="2" type="button" dataOnly="0" labelOnly="1" outline="0" axis="axisRow" fieldPosition="0"/>
    </format>
    <format dxfId="169">
      <pivotArea dataOnly="0" labelOnly="1" outline="0" fieldPosition="0">
        <references count="1">
          <reference field="4294967294" count="2">
            <x v="0"/>
            <x v="1"/>
          </reference>
        </references>
      </pivotArea>
    </format>
    <format dxfId="168">
      <pivotArea field="2" type="button" dataOnly="0" labelOnly="1" outline="0" axis="axisRow" fieldPosition="0"/>
    </format>
    <format dxfId="167">
      <pivotArea dataOnly="0" labelOnly="1" outline="0" fieldPosition="0">
        <references count="1">
          <reference field="4294967294" count="2">
            <x v="0"/>
            <x v="1"/>
          </reference>
        </references>
      </pivotArea>
    </format>
    <format dxfId="166">
      <pivotArea dataOnly="0" fieldPosition="0">
        <references count="1">
          <reference field="2" count="2">
            <x v="0"/>
            <x v="2"/>
          </reference>
        </references>
      </pivotArea>
    </format>
    <format dxfId="165">
      <pivotArea dataOnly="0" labelOnly="1" fieldPosition="0">
        <references count="1">
          <reference field="2" count="1">
            <x v="1"/>
          </reference>
        </references>
      </pivotArea>
    </format>
    <format dxfId="164">
      <pivotArea dataOnly="0" labelOnly="1" outline="0" fieldPosition="0">
        <references count="1">
          <reference field="4294967294" count="1">
            <x v="1"/>
          </reference>
        </references>
      </pivotArea>
    </format>
    <format dxfId="163">
      <pivotArea dataOnly="0" labelOnly="1" fieldPosition="0">
        <references count="1">
          <reference field="2" count="0"/>
        </references>
      </pivotArea>
    </format>
    <format dxfId="162">
      <pivotArea outline="0" collapsedLevelsAreSubtotals="1" fieldPosition="0">
        <references count="1">
          <reference field="4294967294" count="1" selected="0">
            <x v="1"/>
          </reference>
        </references>
      </pivotArea>
    </format>
    <format dxfId="161">
      <pivotArea outline="0" collapsedLevelsAreSubtotals="1" fieldPosition="0">
        <references count="1">
          <reference field="4294967294" count="1" selected="0">
            <x v="0"/>
          </reference>
        </references>
      </pivotArea>
    </format>
    <format dxfId="160">
      <pivotArea field="2" type="button" dataOnly="0" labelOnly="1" outline="0" axis="axisRow" fieldPosition="0"/>
    </format>
    <format dxfId="159">
      <pivotArea dataOnly="0" labelOnly="1" outline="0" fieldPosition="0">
        <references count="1">
          <reference field="4294967294" count="2">
            <x v="0"/>
            <x v="1"/>
          </reference>
        </references>
      </pivotArea>
    </format>
    <format dxfId="158">
      <pivotArea dataOnly="0" labelOnly="1" outline="0" fieldPosition="0">
        <references count="1">
          <reference field="4294967294" count="1">
            <x v="0"/>
          </reference>
        </references>
      </pivotArea>
    </format>
    <format dxfId="157">
      <pivotArea collapsedLevelsAreSubtotals="1" fieldPosition="0">
        <references count="1">
          <reference field="2" count="1">
            <x v="0"/>
          </reference>
        </references>
      </pivotArea>
    </format>
    <format dxfId="156">
      <pivotArea collapsedLevelsAreSubtotals="1" fieldPosition="0">
        <references count="1">
          <reference field="2" count="1">
            <x v="2"/>
          </reference>
        </references>
      </pivotArea>
    </format>
    <format dxfId="155">
      <pivotArea outline="0" collapsedLevelsAreSubtotals="1" fieldPosition="0"/>
    </format>
    <format dxfId="154">
      <pivotArea dataOnly="0" labelOnly="1" fieldPosition="0">
        <references count="1">
          <reference field="2" count="0"/>
        </references>
      </pivotArea>
    </format>
    <format dxfId="153">
      <pivotArea field="2" type="button" dataOnly="0" labelOnly="1" outline="0" axis="axisRow" fieldPosition="0"/>
    </format>
    <format dxfId="152">
      <pivotArea dataOnly="0" labelOnly="1" outline="0" fieldPosition="0">
        <references count="1">
          <reference field="4294967294" count="2">
            <x v="0"/>
            <x v="1"/>
          </reference>
        </references>
      </pivotArea>
    </format>
    <format dxfId="151">
      <pivotArea field="2" type="button" dataOnly="0" labelOnly="1" outline="0" axis="axisRow" fieldPosition="0"/>
    </format>
    <format dxfId="150">
      <pivotArea dataOnly="0" labelOnly="1" fieldPosition="0">
        <references count="1">
          <reference field="2" count="1">
            <x v="0"/>
          </reference>
        </references>
      </pivotArea>
    </format>
    <format dxfId="149">
      <pivotArea collapsedLevelsAreSubtotals="1" fieldPosition="0">
        <references count="1">
          <reference field="2" count="1">
            <x v="0"/>
          </reference>
        </references>
      </pivotArea>
    </format>
  </formats>
  <chartFormats count="40">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2">
          <reference field="4294967294" count="1" selected="0">
            <x v="0"/>
          </reference>
          <reference field="2" count="1" selected="0">
            <x v="0"/>
          </reference>
        </references>
      </pivotArea>
    </chartFormat>
    <chartFormat chart="3" format="3">
      <pivotArea type="data" outline="0" fieldPosition="0">
        <references count="2">
          <reference field="4294967294" count="1" selected="0">
            <x v="0"/>
          </reference>
          <reference field="2" count="1" selected="0">
            <x v="2"/>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 chart="3" format="5">
      <pivotArea type="data" outline="0" fieldPosition="0">
        <references count="2">
          <reference field="4294967294" count="1" selected="0">
            <x v="1"/>
          </reference>
          <reference field="2" count="1" selected="0">
            <x v="2"/>
          </reference>
        </references>
      </pivotArea>
    </chartFormat>
    <chartFormat chart="3" format="6">
      <pivotArea type="data" outline="0" fieldPosition="0">
        <references count="2">
          <reference field="4294967294" count="1" selected="0">
            <x v="1"/>
          </reference>
          <reference field="2" count="1" selected="0">
            <x v="0"/>
          </reference>
        </references>
      </pivotArea>
    </chartFormat>
    <chartFormat chart="3" format="7">
      <pivotArea type="data" outline="0" fieldPosition="0">
        <references count="2">
          <reference field="4294967294" count="1" selected="0">
            <x v="1"/>
          </reference>
          <reference field="2" count="1" selected="0">
            <x v="1"/>
          </reference>
        </references>
      </pivotArea>
    </chartFormat>
    <chartFormat chart="8" format="16" series="1">
      <pivotArea type="data" outline="0" fieldPosition="0">
        <references count="1">
          <reference field="4294967294" count="1" selected="0">
            <x v="0"/>
          </reference>
        </references>
      </pivotArea>
    </chartFormat>
    <chartFormat chart="8" format="17">
      <pivotArea type="data" outline="0" fieldPosition="0">
        <references count="2">
          <reference field="4294967294" count="1" selected="0">
            <x v="0"/>
          </reference>
          <reference field="2" count="1" selected="0">
            <x v="2"/>
          </reference>
        </references>
      </pivotArea>
    </chartFormat>
    <chartFormat chart="8" format="18">
      <pivotArea type="data" outline="0" fieldPosition="0">
        <references count="2">
          <reference field="4294967294" count="1" selected="0">
            <x v="0"/>
          </reference>
          <reference field="2" count="1" selected="0">
            <x v="0"/>
          </reference>
        </references>
      </pivotArea>
    </chartFormat>
    <chartFormat chart="8" format="19">
      <pivotArea type="data" outline="0" fieldPosition="0">
        <references count="2">
          <reference field="4294967294" count="1" selected="0">
            <x v="0"/>
          </reference>
          <reference field="2" count="1" selected="0">
            <x v="1"/>
          </reference>
        </references>
      </pivotArea>
    </chartFormat>
    <chartFormat chart="8" format="20" series="1">
      <pivotArea type="data" outline="0" fieldPosition="0">
        <references count="1">
          <reference field="4294967294" count="1" selected="0">
            <x v="1"/>
          </reference>
        </references>
      </pivotArea>
    </chartFormat>
    <chartFormat chart="8" format="21">
      <pivotArea type="data" outline="0" fieldPosition="0">
        <references count="2">
          <reference field="4294967294" count="1" selected="0">
            <x v="1"/>
          </reference>
          <reference field="2" count="1" selected="0">
            <x v="2"/>
          </reference>
        </references>
      </pivotArea>
    </chartFormat>
    <chartFormat chart="8" format="22">
      <pivotArea type="data" outline="0" fieldPosition="0">
        <references count="2">
          <reference field="4294967294" count="1" selected="0">
            <x v="1"/>
          </reference>
          <reference field="2" count="1" selected="0">
            <x v="0"/>
          </reference>
        </references>
      </pivotArea>
    </chartFormat>
    <chartFormat chart="8" format="23">
      <pivotArea type="data" outline="0" fieldPosition="0">
        <references count="2">
          <reference field="4294967294" count="1" selected="0">
            <x v="1"/>
          </reference>
          <reference field="2" count="1" selected="0">
            <x v="1"/>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2" count="1" selected="0">
            <x v="2"/>
          </reference>
        </references>
      </pivotArea>
    </chartFormat>
    <chartFormat chart="10" format="10">
      <pivotArea type="data" outline="0" fieldPosition="0">
        <references count="2">
          <reference field="4294967294" count="1" selected="0">
            <x v="0"/>
          </reference>
          <reference field="2" count="1" selected="0">
            <x v="0"/>
          </reference>
        </references>
      </pivotArea>
    </chartFormat>
    <chartFormat chart="10" format="11">
      <pivotArea type="data" outline="0" fieldPosition="0">
        <references count="2">
          <reference field="4294967294" count="1" selected="0">
            <x v="0"/>
          </reference>
          <reference field="2" count="1" selected="0">
            <x v="1"/>
          </reference>
        </references>
      </pivotArea>
    </chartFormat>
    <chartFormat chart="10" format="12" series="1">
      <pivotArea type="data" outline="0" fieldPosition="0">
        <references count="1">
          <reference field="4294967294" count="1" selected="0">
            <x v="1"/>
          </reference>
        </references>
      </pivotArea>
    </chartFormat>
    <chartFormat chart="10" format="13">
      <pivotArea type="data" outline="0" fieldPosition="0">
        <references count="2">
          <reference field="4294967294" count="1" selected="0">
            <x v="1"/>
          </reference>
          <reference field="2" count="1" selected="0">
            <x v="2"/>
          </reference>
        </references>
      </pivotArea>
    </chartFormat>
    <chartFormat chart="10" format="14">
      <pivotArea type="data" outline="0" fieldPosition="0">
        <references count="2">
          <reference field="4294967294" count="1" selected="0">
            <x v="1"/>
          </reference>
          <reference field="2" count="1" selected="0">
            <x v="0"/>
          </reference>
        </references>
      </pivotArea>
    </chartFormat>
    <chartFormat chart="10" format="15">
      <pivotArea type="data" outline="0" fieldPosition="0">
        <references count="2">
          <reference field="4294967294" count="1" selected="0">
            <x v="1"/>
          </reference>
          <reference field="2" count="1" selected="0">
            <x v="1"/>
          </reference>
        </references>
      </pivotArea>
    </chartFormat>
    <chartFormat chart="11" format="16" series="1">
      <pivotArea type="data" outline="0" fieldPosition="0">
        <references count="1">
          <reference field="4294967294" count="1" selected="0">
            <x v="0"/>
          </reference>
        </references>
      </pivotArea>
    </chartFormat>
    <chartFormat chart="11" format="17">
      <pivotArea type="data" outline="0" fieldPosition="0">
        <references count="2">
          <reference field="4294967294" count="1" selected="0">
            <x v="0"/>
          </reference>
          <reference field="2" count="1" selected="0">
            <x v="2"/>
          </reference>
        </references>
      </pivotArea>
    </chartFormat>
    <chartFormat chart="11" format="18">
      <pivotArea type="data" outline="0" fieldPosition="0">
        <references count="2">
          <reference field="4294967294" count="1" selected="0">
            <x v="0"/>
          </reference>
          <reference field="2" count="1" selected="0">
            <x v="0"/>
          </reference>
        </references>
      </pivotArea>
    </chartFormat>
    <chartFormat chart="11" format="19">
      <pivotArea type="data" outline="0" fieldPosition="0">
        <references count="2">
          <reference field="4294967294" count="1" selected="0">
            <x v="0"/>
          </reference>
          <reference field="2" count="1" selected="0">
            <x v="1"/>
          </reference>
        </references>
      </pivotArea>
    </chartFormat>
    <chartFormat chart="11" format="20" series="1">
      <pivotArea type="data" outline="0" fieldPosition="0">
        <references count="1">
          <reference field="4294967294" count="1" selected="0">
            <x v="1"/>
          </reference>
        </references>
      </pivotArea>
    </chartFormat>
    <chartFormat chart="11" format="21">
      <pivotArea type="data" outline="0" fieldPosition="0">
        <references count="2">
          <reference field="4294967294" count="1" selected="0">
            <x v="1"/>
          </reference>
          <reference field="2" count="1" selected="0">
            <x v="2"/>
          </reference>
        </references>
      </pivotArea>
    </chartFormat>
    <chartFormat chart="11" format="22">
      <pivotArea type="data" outline="0" fieldPosition="0">
        <references count="2">
          <reference field="4294967294" count="1" selected="0">
            <x v="1"/>
          </reference>
          <reference field="2" count="1" selected="0">
            <x v="0"/>
          </reference>
        </references>
      </pivotArea>
    </chartFormat>
    <chartFormat chart="11" format="23">
      <pivotArea type="data" outline="0" fieldPosition="0">
        <references count="2">
          <reference field="4294967294" count="1" selected="0">
            <x v="1"/>
          </reference>
          <reference field="2"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2" format="2">
      <pivotArea type="data" outline="0" fieldPosition="0">
        <references count="2">
          <reference field="4294967294" count="1" selected="0">
            <x v="0"/>
          </reference>
          <reference field="2" count="1" selected="0">
            <x v="0"/>
          </reference>
        </references>
      </pivotArea>
    </chartFormat>
    <chartFormat chart="12" format="3">
      <pivotArea type="data" outline="0" fieldPosition="0">
        <references count="2">
          <reference field="4294967294" count="1" selected="0">
            <x v="0"/>
          </reference>
          <reference field="2" count="1" selected="0">
            <x v="2"/>
          </reference>
        </references>
      </pivotArea>
    </chartFormat>
    <chartFormat chart="12" format="4">
      <pivotArea type="data" outline="0" fieldPosition="0">
        <references count="2">
          <reference field="4294967294" count="1" selected="0">
            <x v="0"/>
          </reference>
          <reference field="2" count="1" selected="0">
            <x v="1"/>
          </reference>
        </references>
      </pivotArea>
    </chartFormat>
    <chartFormat chart="12" format="5">
      <pivotArea type="data" outline="0" fieldPosition="0">
        <references count="2">
          <reference field="4294967294" count="1" selected="0">
            <x v="1"/>
          </reference>
          <reference field="2" count="1" selected="0">
            <x v="2"/>
          </reference>
        </references>
      </pivotArea>
    </chartFormat>
    <chartFormat chart="12" format="6">
      <pivotArea type="data" outline="0" fieldPosition="0">
        <references count="2">
          <reference field="4294967294" count="1" selected="0">
            <x v="1"/>
          </reference>
          <reference field="2" count="1" selected="0">
            <x v="0"/>
          </reference>
        </references>
      </pivotArea>
    </chartFormat>
    <chartFormat chart="12" format="7">
      <pivotArea type="data" outline="0" fieldPosition="0">
        <references count="2">
          <reference field="4294967294" count="1" selected="0">
            <x v="1"/>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C43409F-394A-7C43-9661-CF789EB127AA}"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54:M59" firstHeaderRow="0" firstDataRow="1" firstDataCol="1"/>
  <pivotFields count="11">
    <pivotField showAll="0"/>
    <pivotField dataField="1" showAll="0"/>
    <pivotField showAll="0"/>
    <pivotField showAll="0"/>
    <pivotField showAll="0"/>
    <pivotField axis="axisRow" showAll="0" sortType="descending">
      <items count="5">
        <item x="0"/>
        <item x="3"/>
        <item x="2"/>
        <item x="1"/>
        <item t="default"/>
      </items>
      <autoSortScope>
        <pivotArea dataOnly="0" outline="0" fieldPosition="0">
          <references count="1">
            <reference field="4294967294" count="1" selected="0">
              <x v="1"/>
            </reference>
          </references>
        </pivotArea>
      </autoSortScope>
    </pivotField>
    <pivotField dataField="1" showAll="0"/>
    <pivotField showAll="0"/>
    <pivotField dataField="1" showAll="0"/>
    <pivotField showAll="0"/>
    <pivotField showAll="0"/>
  </pivotFields>
  <rowFields count="1">
    <field x="5"/>
  </rowFields>
  <rowItems count="5">
    <i>
      <x/>
    </i>
    <i>
      <x v="3"/>
    </i>
    <i>
      <x v="2"/>
    </i>
    <i>
      <x v="1"/>
    </i>
    <i t="grand">
      <x/>
    </i>
  </rowItems>
  <colFields count="1">
    <field x="-2"/>
  </colFields>
  <colItems count="3">
    <i>
      <x/>
    </i>
    <i i="1">
      <x v="1"/>
    </i>
    <i i="2">
      <x v="2"/>
    </i>
  </colItems>
  <dataFields count="3">
    <dataField name="Count of Product" fld="1" subtotal="count" baseField="0" baseItem="0"/>
    <dataField name="Total_Views" fld="6" baseField="0" baseItem="0"/>
    <dataField name="Total_Review_Count" fld="8" baseField="0" baseItem="0"/>
  </dataFields>
  <formats count="23">
    <format dxfId="209">
      <pivotArea collapsedLevelsAreSubtotals="1" fieldPosition="0">
        <references count="1">
          <reference field="5" count="1">
            <x v="0"/>
          </reference>
        </references>
      </pivotArea>
    </format>
    <format dxfId="208">
      <pivotArea collapsedLevelsAreSubtotals="1" fieldPosition="0">
        <references count="1">
          <reference field="5" count="1">
            <x v="3"/>
          </reference>
        </references>
      </pivotArea>
    </format>
    <format dxfId="207">
      <pivotArea collapsedLevelsAreSubtotals="1" fieldPosition="0">
        <references count="1">
          <reference field="5" count="2">
            <x v="1"/>
            <x v="2"/>
          </reference>
        </references>
      </pivotArea>
    </format>
    <format dxfId="206">
      <pivotArea collapsedLevelsAreSubtotals="1" fieldPosition="0">
        <references count="1">
          <reference field="5" count="1">
            <x v="0"/>
          </reference>
        </references>
      </pivotArea>
    </format>
    <format dxfId="205">
      <pivotArea collapsedLevelsAreSubtotals="1" fieldPosition="0">
        <references count="1">
          <reference field="5" count="1">
            <x v="0"/>
          </reference>
        </references>
      </pivotArea>
    </format>
    <format dxfId="204">
      <pivotArea field="5" type="button" dataOnly="0" labelOnly="1" outline="0" axis="axisRow" fieldPosition="0"/>
    </format>
    <format dxfId="203">
      <pivotArea dataOnly="0" labelOnly="1" outline="0" fieldPosition="0">
        <references count="1">
          <reference field="4294967294" count="3">
            <x v="0"/>
            <x v="1"/>
            <x v="2"/>
          </reference>
        </references>
      </pivotArea>
    </format>
    <format dxfId="202">
      <pivotArea field="5" type="button" dataOnly="0" labelOnly="1" outline="0" axis="axisRow" fieldPosition="0"/>
    </format>
    <format dxfId="201">
      <pivotArea dataOnly="0" labelOnly="1" outline="0" fieldPosition="0">
        <references count="1">
          <reference field="4294967294" count="3">
            <x v="0"/>
            <x v="1"/>
            <x v="2"/>
          </reference>
        </references>
      </pivotArea>
    </format>
    <format dxfId="200">
      <pivotArea dataOnly="0" grandRow="1" axis="axisRow" fieldPosition="0"/>
    </format>
    <format dxfId="199">
      <pivotArea dataOnly="0" grandRow="1" axis="axisRow" fieldPosition="0"/>
    </format>
    <format dxfId="198">
      <pivotArea dataOnly="0" labelOnly="1" fieldPosition="0">
        <references count="1">
          <reference field="5" count="1">
            <x v="0"/>
          </reference>
        </references>
      </pivotArea>
    </format>
    <format dxfId="197">
      <pivotArea collapsedLevelsAreSubtotals="1" fieldPosition="0">
        <references count="1">
          <reference field="5" count="1">
            <x v="3"/>
          </reference>
        </references>
      </pivotArea>
    </format>
    <format dxfId="196">
      <pivotArea collapsedLevelsAreSubtotals="1" fieldPosition="0">
        <references count="2">
          <reference field="4294967294" count="1" selected="0">
            <x v="0"/>
          </reference>
          <reference field="5" count="1">
            <x v="0"/>
          </reference>
        </references>
      </pivotArea>
    </format>
    <format dxfId="195">
      <pivotArea collapsedLevelsAreSubtotals="1" fieldPosition="0">
        <references count="2">
          <reference field="4294967294" count="2" selected="0">
            <x v="1"/>
            <x v="2"/>
          </reference>
          <reference field="5" count="1">
            <x v="0"/>
          </reference>
        </references>
      </pivotArea>
    </format>
    <format dxfId="194">
      <pivotArea dataOnly="0" labelOnly="1" fieldPosition="0">
        <references count="1">
          <reference field="5" count="1">
            <x v="3"/>
          </reference>
        </references>
      </pivotArea>
    </format>
    <format dxfId="193">
      <pivotArea collapsedLevelsAreSubtotals="1" fieldPosition="0">
        <references count="1">
          <reference field="5" count="1">
            <x v="1"/>
          </reference>
        </references>
      </pivotArea>
    </format>
    <format dxfId="192">
      <pivotArea type="all" dataOnly="0" outline="0" fieldPosition="0"/>
    </format>
    <format dxfId="191">
      <pivotArea outline="0" collapsedLevelsAreSubtotals="1" fieldPosition="0"/>
    </format>
    <format dxfId="190">
      <pivotArea field="5" type="button" dataOnly="0" labelOnly="1" outline="0" axis="axisRow" fieldPosition="0"/>
    </format>
    <format dxfId="189">
      <pivotArea dataOnly="0" labelOnly="1" fieldPosition="0">
        <references count="1">
          <reference field="5" count="0"/>
        </references>
      </pivotArea>
    </format>
    <format dxfId="188">
      <pivotArea dataOnly="0" labelOnly="1" grandRow="1" outline="0" fieldPosition="0"/>
    </format>
    <format dxfId="187">
      <pivotArea dataOnly="0" labelOnly="1" outline="0" fieldPosition="0">
        <references count="1">
          <reference field="4294967294" count="3">
            <x v="0"/>
            <x v="1"/>
            <x v="2"/>
          </reference>
        </references>
      </pivotArea>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31A328B-C44E-DD4D-B9A7-C8F15FF514F2}"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rate_group">
  <location ref="J40:L43" firstHeaderRow="0" firstDataRow="1" firstDataCol="1"/>
  <pivotFields count="11">
    <pivotField showAll="0"/>
    <pivotField dataField="1"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numFmtId="9" showAll="0"/>
    <pivotField showAll="0"/>
  </pivotFields>
  <rowFields count="1">
    <field x="2"/>
  </rowFields>
  <rowItems count="3">
    <i>
      <x v="2"/>
    </i>
    <i>
      <x/>
    </i>
    <i>
      <x v="1"/>
    </i>
  </rowItems>
  <colFields count="1">
    <field x="-2"/>
  </colFields>
  <colItems count="2">
    <i>
      <x/>
    </i>
    <i i="1">
      <x v="1"/>
    </i>
  </colItems>
  <dataFields count="2">
    <dataField name="percent" fld="1" subtotal="count" showDataAs="percentOfTotal" baseField="0" baseItem="0" numFmtId="10"/>
    <dataField name="Product Count" fld="1" subtotal="count" baseField="0" baseItem="0"/>
  </dataFields>
  <formats count="24">
    <format dxfId="93">
      <pivotArea collapsedLevelsAreSubtotals="1" fieldPosition="0">
        <references count="2">
          <reference field="4294967294" count="1" selected="0">
            <x v="0"/>
          </reference>
          <reference field="2" count="0"/>
        </references>
      </pivotArea>
    </format>
    <format dxfId="92">
      <pivotArea dataOnly="0" labelOnly="1" fieldPosition="0">
        <references count="1">
          <reference field="2" count="0"/>
        </references>
      </pivotArea>
    </format>
    <format dxfId="91">
      <pivotArea outline="0" collapsedLevelsAreSubtotals="1" fieldPosition="0">
        <references count="1">
          <reference field="4294967294" count="1" selected="0">
            <x v="0"/>
          </reference>
        </references>
      </pivotArea>
    </format>
    <format dxfId="90">
      <pivotArea outline="0" collapsedLevelsAreSubtotals="1" fieldPosition="0">
        <references count="1">
          <reference field="4294967294" count="1" selected="0">
            <x v="0"/>
          </reference>
        </references>
      </pivotArea>
    </format>
    <format dxfId="89">
      <pivotArea outline="0" collapsedLevelsAreSubtotals="1" fieldPosition="0">
        <references count="1">
          <reference field="4294967294" count="1" selected="0">
            <x v="1"/>
          </reference>
        </references>
      </pivotArea>
    </format>
    <format dxfId="88">
      <pivotArea dataOnly="0" outline="0" fieldPosition="0">
        <references count="1">
          <reference field="4294967294" count="1">
            <x v="0"/>
          </reference>
        </references>
      </pivotArea>
    </format>
    <format dxfId="87">
      <pivotArea field="2" type="button" dataOnly="0" labelOnly="1" outline="0" axis="axisRow" fieldPosition="0"/>
    </format>
    <format dxfId="86">
      <pivotArea dataOnly="0" labelOnly="1" outline="0" fieldPosition="0">
        <references count="1">
          <reference field="4294967294" count="2">
            <x v="0"/>
            <x v="1"/>
          </reference>
        </references>
      </pivotArea>
    </format>
    <format dxfId="31">
      <pivotArea collapsedLevelsAreSubtotals="1" fieldPosition="0">
        <references count="1">
          <reference field="2" count="1">
            <x v="2"/>
          </reference>
        </references>
      </pivotArea>
    </format>
    <format dxfId="30">
      <pivotArea dataOnly="0" labelOnly="1" fieldPosition="0">
        <references count="1">
          <reference field="2" count="1">
            <x v="2"/>
          </reference>
        </references>
      </pivotArea>
    </format>
    <format dxfId="29">
      <pivotArea collapsedLevelsAreSubtotals="1" fieldPosition="0">
        <references count="1">
          <reference field="2" count="1">
            <x v="0"/>
          </reference>
        </references>
      </pivotArea>
    </format>
    <format dxfId="28">
      <pivotArea dataOnly="0" labelOnly="1" fieldPosition="0">
        <references count="1">
          <reference field="2" count="1">
            <x v="0"/>
          </reference>
        </references>
      </pivotArea>
    </format>
    <format dxfId="27">
      <pivotArea collapsedLevelsAreSubtotals="1" fieldPosition="0">
        <references count="1">
          <reference field="2" count="1">
            <x v="1"/>
          </reference>
        </references>
      </pivotArea>
    </format>
    <format dxfId="26">
      <pivotArea dataOnly="0" labelOnly="1" fieldPosition="0">
        <references count="1">
          <reference field="2" count="1">
            <x v="1"/>
          </reference>
        </references>
      </pivotArea>
    </format>
    <format dxfId="25">
      <pivotArea collapsedLevelsAreSubtotals="1" fieldPosition="0">
        <references count="1">
          <reference field="2" count="1">
            <x v="2"/>
          </reference>
        </references>
      </pivotArea>
    </format>
    <format dxfId="24">
      <pivotArea dataOnly="0" labelOnly="1" fieldPosition="0">
        <references count="1">
          <reference field="2" count="1">
            <x v="2"/>
          </reference>
        </references>
      </pivotArea>
    </format>
    <format dxfId="23">
      <pivotArea collapsedLevelsAreSubtotals="1" fieldPosition="0">
        <references count="1">
          <reference field="2" count="1">
            <x v="1"/>
          </reference>
        </references>
      </pivotArea>
    </format>
    <format dxfId="22">
      <pivotArea dataOnly="0" labelOnly="1" fieldPosition="0">
        <references count="1">
          <reference field="2" count="1">
            <x v="1"/>
          </reference>
        </references>
      </pivotArea>
    </format>
    <format dxfId="21">
      <pivotArea field="2" type="button" dataOnly="0" labelOnly="1" outline="0" axis="axisRow" fieldPosition="0"/>
    </format>
    <format dxfId="20">
      <pivotArea dataOnly="0" labelOnly="1" outline="0" fieldPosition="0">
        <references count="1">
          <reference field="4294967294" count="2">
            <x v="0"/>
            <x v="1"/>
          </reference>
        </references>
      </pivotArea>
    </format>
    <format dxfId="19">
      <pivotArea field="2" type="button" dataOnly="0" labelOnly="1" outline="0" axis="axisRow" fieldPosition="0"/>
    </format>
    <format dxfId="18">
      <pivotArea dataOnly="0" labelOnly="1" outline="0" fieldPosition="0">
        <references count="1">
          <reference field="4294967294" count="2">
            <x v="0"/>
            <x v="1"/>
          </reference>
        </references>
      </pivotArea>
    </format>
    <format dxfId="17">
      <pivotArea collapsedLevelsAreSubtotals="1" fieldPosition="0">
        <references count="1">
          <reference field="2" count="1">
            <x v="2"/>
          </reference>
        </references>
      </pivotArea>
    </format>
    <format dxfId="16">
      <pivotArea dataOnly="0" labelOnly="1" fieldPosition="0">
        <references count="1">
          <reference field="2" count="1">
            <x v="2"/>
          </reference>
        </references>
      </pivotArea>
    </format>
  </formats>
  <chartFormats count="13">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2" count="1" selected="0">
            <x v="2"/>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1" format="4">
      <pivotArea type="data" outline="0" fieldPosition="0">
        <references count="2">
          <reference field="4294967294" count="1" selected="0">
            <x v="0"/>
          </reference>
          <reference field="2" count="1" selected="0">
            <x v="0"/>
          </reference>
        </references>
      </pivotArea>
    </chartFormat>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2" count="1" selected="0">
            <x v="2"/>
          </reference>
        </references>
      </pivotArea>
    </chartFormat>
    <chartFormat chart="4" format="15">
      <pivotArea type="data" outline="0" fieldPosition="0">
        <references count="2">
          <reference field="4294967294" count="1" selected="0">
            <x v="0"/>
          </reference>
          <reference field="2" count="1" selected="0">
            <x v="0"/>
          </reference>
        </references>
      </pivotArea>
    </chartFormat>
    <chartFormat chart="4" format="16">
      <pivotArea type="data" outline="0" fieldPosition="0">
        <references count="2">
          <reference field="4294967294" count="1" selected="0">
            <x v="0"/>
          </reference>
          <reference field="2" count="1" selected="0">
            <x v="1"/>
          </reference>
        </references>
      </pivotArea>
    </chartFormat>
    <chartFormat chart="4" format="17" series="1">
      <pivotArea type="data" outline="0" fieldPosition="0">
        <references count="1">
          <reference field="4294967294" count="1" selected="0">
            <x v="1"/>
          </reference>
        </references>
      </pivotArea>
    </chartFormat>
    <chartFormat chart="4" format="18">
      <pivotArea type="data" outline="0" fieldPosition="0">
        <references count="2">
          <reference field="4294967294" count="1" selected="0">
            <x v="1"/>
          </reference>
          <reference field="2" count="1" selected="0">
            <x v="2"/>
          </reference>
        </references>
      </pivotArea>
    </chartFormat>
    <chartFormat chart="4" format="19">
      <pivotArea type="data" outline="0" fieldPosition="0">
        <references count="2">
          <reference field="4294967294" count="1" selected="0">
            <x v="1"/>
          </reference>
          <reference field="2" count="1" selected="0">
            <x v="0"/>
          </reference>
        </references>
      </pivotArea>
    </chartFormat>
    <chartFormat chart="4" format="20">
      <pivotArea type="data" outline="0" fieldPosition="0">
        <references count="2">
          <reference field="4294967294" count="1" selected="0">
            <x v="1"/>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89E49C2-B5CA-FB44-A966-074305B211A3}"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 off">
  <location ref="F42:H46" firstHeaderRow="0" firstDataRow="1" firstDataCol="1"/>
  <pivotFields count="11">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axis="axisRow" showAll="0" sortType="descending">
      <items count="9">
        <item m="1" x="5"/>
        <item m="1" x="7"/>
        <item m="1" x="4"/>
        <item m="1" x="6"/>
        <item x="0"/>
        <item x="1"/>
        <item x="2"/>
        <item x="3"/>
        <item t="default"/>
      </items>
      <autoSortScope>
        <pivotArea dataOnly="0" outline="0" fieldPosition="0">
          <references count="1">
            <reference field="4294967294" count="1" selected="0">
              <x v="0"/>
            </reference>
          </references>
        </pivotArea>
      </autoSortScope>
    </pivotField>
    <pivotField showAll="0"/>
  </pivotFields>
  <rowFields count="1">
    <field x="9"/>
  </rowFields>
  <rowItems count="4">
    <i>
      <x v="6"/>
    </i>
    <i>
      <x v="4"/>
    </i>
    <i>
      <x v="5"/>
    </i>
    <i>
      <x v="7"/>
    </i>
  </rowItems>
  <colFields count="1">
    <field x="-2"/>
  </colFields>
  <colItems count="2">
    <i>
      <x/>
    </i>
    <i i="1">
      <x v="1"/>
    </i>
  </colItems>
  <dataFields count="2">
    <dataField name="BBJKBJKBKBKBKBKBKB" fld="6" baseField="0" baseItem="0"/>
    <dataField name=" View_Count" fld="6" baseField="0" baseItem="0"/>
  </dataFields>
  <formats count="14">
    <format dxfId="107">
      <pivotArea dataOnly="0" labelOnly="1" fieldPosition="0">
        <references count="1">
          <reference field="9" count="0"/>
        </references>
      </pivotArea>
    </format>
    <format dxfId="106">
      <pivotArea dataOnly="0" labelOnly="1" fieldPosition="0">
        <references count="1">
          <reference field="9" count="0"/>
        </references>
      </pivotArea>
    </format>
    <format dxfId="105">
      <pivotArea collapsedLevelsAreSubtotals="1" fieldPosition="0">
        <references count="2">
          <reference field="4294967294" count="1" selected="0">
            <x v="0"/>
          </reference>
          <reference field="9" count="0"/>
        </references>
      </pivotArea>
    </format>
    <format dxfId="104">
      <pivotArea field="9" type="button" dataOnly="0" labelOnly="1" outline="0" axis="axisRow" fieldPosition="0"/>
    </format>
    <format dxfId="103">
      <pivotArea dataOnly="0" labelOnly="1" outline="0" fieldPosition="0">
        <references count="1">
          <reference field="4294967294" count="1">
            <x v="0"/>
          </reference>
        </references>
      </pivotArea>
    </format>
    <format dxfId="102">
      <pivotArea outline="0" collapsedLevelsAreSubtotals="1" fieldPosition="0">
        <references count="1">
          <reference field="4294967294" count="1" selected="0">
            <x v="1"/>
          </reference>
        </references>
      </pivotArea>
    </format>
    <format dxfId="101">
      <pivotArea outline="0" collapsedLevelsAreSubtotals="1" fieldPosition="0">
        <references count="1">
          <reference field="4294967294" count="1" selected="0">
            <x v="1"/>
          </reference>
        </references>
      </pivotArea>
    </format>
    <format dxfId="100">
      <pivotArea dataOnly="0" labelOnly="1" outline="0" fieldPosition="0">
        <references count="1">
          <reference field="4294967294" count="1">
            <x v="1"/>
          </reference>
        </references>
      </pivotArea>
    </format>
    <format dxfId="99">
      <pivotArea field="9" type="button" dataOnly="0" labelOnly="1" outline="0" axis="axisRow" fieldPosition="0"/>
    </format>
    <format dxfId="98">
      <pivotArea dataOnly="0" labelOnly="1" outline="0" fieldPosition="0">
        <references count="1">
          <reference field="4294967294" count="1">
            <x v="1"/>
          </reference>
        </references>
      </pivotArea>
    </format>
    <format dxfId="97">
      <pivotArea field="9" type="button" dataOnly="0" labelOnly="1" outline="0" axis="axisRow" fieldPosition="0"/>
    </format>
    <format dxfId="96">
      <pivotArea dataOnly="0" labelOnly="1" outline="0" fieldPosition="0">
        <references count="1">
          <reference field="4294967294" count="2">
            <x v="0"/>
            <x v="1"/>
          </reference>
        </references>
      </pivotArea>
    </format>
    <format dxfId="95">
      <pivotArea dataOnly="0" labelOnly="1" outline="0" fieldPosition="0">
        <references count="1">
          <reference field="4294967294" count="1">
            <x v="0"/>
          </reference>
        </references>
      </pivotArea>
    </format>
    <format dxfId="94">
      <pivotArea dataOnly="0" labelOnly="1" fieldPosition="0">
        <references count="1">
          <reference field="9" count="0"/>
        </references>
      </pivotArea>
    </format>
  </formats>
  <conditionalFormats count="2">
    <conditionalFormat priority="1">
      <pivotAreas count="1">
        <pivotArea type="data" outline="0" collapsedLevelsAreSubtotals="1" fieldPosition="0">
          <references count="1">
            <reference field="4294967294" count="1" selected="0">
              <x v="0"/>
            </reference>
          </references>
        </pivotArea>
      </pivotAreas>
    </conditionalFormat>
    <conditionalFormat priority="4">
      <pivotAreas count="1">
        <pivotArea type="data" collapsedLevelsAreSubtotals="1" fieldPosition="0">
          <references count="2">
            <reference field="4294967294" count="1" selected="0">
              <x v="0"/>
            </reference>
            <reference field="9"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2BFF44-A9CA-C04C-8ED1-8B2B4884EB24}"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 off">
  <location ref="N42:P46" firstHeaderRow="0" firstDataRow="1" firstDataCol="1"/>
  <pivotFields count="11">
    <pivotField showAll="0"/>
    <pivotField dataField="1" showAll="0"/>
    <pivotField showAll="0"/>
    <pivotField showAll="0"/>
    <pivotField showAll="0"/>
    <pivotField showAll="0"/>
    <pivotField showAll="0"/>
    <pivotField showAll="0"/>
    <pivotField showAll="0"/>
    <pivotField axis="axisRow" showAll="0" sortType="descending">
      <items count="9">
        <item m="1" x="5"/>
        <item m="1" x="7"/>
        <item m="1" x="4"/>
        <item m="1" x="6"/>
        <item x="0"/>
        <item x="1"/>
        <item x="2"/>
        <item x="3"/>
        <item t="default"/>
      </items>
      <autoSortScope>
        <pivotArea dataOnly="0" outline="0" fieldPosition="0">
          <references count="1">
            <reference field="4294967294" count="1" selected="0">
              <x v="0"/>
            </reference>
          </references>
        </pivotArea>
      </autoSortScope>
    </pivotField>
    <pivotField showAll="0"/>
  </pivotFields>
  <rowFields count="1">
    <field x="9"/>
  </rowFields>
  <rowItems count="4">
    <i>
      <x v="4"/>
    </i>
    <i>
      <x v="6"/>
    </i>
    <i>
      <x v="5"/>
    </i>
    <i>
      <x v="7"/>
    </i>
  </rowItems>
  <colFields count="1">
    <field x="-2"/>
  </colFields>
  <colItems count="2">
    <i>
      <x/>
    </i>
    <i i="1">
      <x v="1"/>
    </i>
  </colItems>
  <dataFields count="2">
    <dataField name="hjvhjvhjvvvkvvkhvkhVHJVJHVKVKVKVKVKH" fld="1" subtotal="count" baseField="0" baseItem="0"/>
    <dataField name="Product_Count" fld="1" subtotal="count" baseField="0" baseItem="0"/>
  </dataFields>
  <formats count="11">
    <format dxfId="118">
      <pivotArea collapsedLevelsAreSubtotals="1" fieldPosition="0">
        <references count="1">
          <reference field="9" count="0"/>
        </references>
      </pivotArea>
    </format>
    <format dxfId="117">
      <pivotArea dataOnly="0" labelOnly="1" fieldPosition="0">
        <references count="1">
          <reference field="9" count="0"/>
        </references>
      </pivotArea>
    </format>
    <format dxfId="116">
      <pivotArea field="9" type="button" dataOnly="0" labelOnly="1" outline="0" axis="axisRow" fieldPosition="0"/>
    </format>
    <format dxfId="115">
      <pivotArea dataOnly="0" labelOnly="1" outline="0" fieldPosition="0">
        <references count="1">
          <reference field="4294967294" count="1">
            <x v="1"/>
          </reference>
        </references>
      </pivotArea>
    </format>
    <format dxfId="114">
      <pivotArea dataOnly="0" labelOnly="1" outline="0" fieldPosition="0">
        <references count="1">
          <reference field="4294967294" count="1">
            <x v="1"/>
          </reference>
        </references>
      </pivotArea>
    </format>
    <format dxfId="113">
      <pivotArea dataOnly="0" labelOnly="1" outline="0" fieldPosition="0">
        <references count="1">
          <reference field="4294967294" count="1">
            <x v="1"/>
          </reference>
        </references>
      </pivotArea>
    </format>
    <format dxfId="112">
      <pivotArea field="9" type="button" dataOnly="0" labelOnly="1" outline="0" axis="axisRow" fieldPosition="0"/>
    </format>
    <format dxfId="111">
      <pivotArea field="9" type="button" dataOnly="0" labelOnly="1" outline="0" axis="axisRow" fieldPosition="0"/>
    </format>
    <format dxfId="110">
      <pivotArea dataOnly="0" labelOnly="1" outline="0" fieldPosition="0">
        <references count="1">
          <reference field="4294967294" count="2">
            <x v="0"/>
            <x v="1"/>
          </reference>
        </references>
      </pivotArea>
    </format>
    <format dxfId="109">
      <pivotArea dataOnly="0" labelOnly="1" outline="0" fieldPosition="0">
        <references count="1">
          <reference field="4294967294" count="1">
            <x v="0"/>
          </reference>
        </references>
      </pivotArea>
    </format>
    <format dxfId="108">
      <pivotArea dataOnly="0" labelOnly="1" fieldPosition="0">
        <references count="1">
          <reference field="9" count="0"/>
        </references>
      </pivotArea>
    </format>
  </formats>
  <conditionalFormats count="1">
    <conditionalFormat priority="2">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EAB7F89-A85F-6F4C-8A6B-195574BEB9FE}"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hoe">
  <location ref="D15:E32" firstHeaderRow="1" firstDataRow="1" firstDataCol="1"/>
  <pivotFields count="11">
    <pivotField axis="axisRow" showAll="0">
      <items count="555">
        <item x="154"/>
        <item x="434"/>
        <item x="126"/>
        <item x="117"/>
        <item x="151"/>
        <item x="150"/>
        <item x="160"/>
        <item x="307"/>
        <item x="235"/>
        <item x="203"/>
        <item x="286"/>
        <item x="272"/>
        <item x="232"/>
        <item x="224"/>
        <item x="279"/>
        <item x="285"/>
        <item x="184"/>
        <item x="136"/>
        <item x="450"/>
        <item x="153"/>
        <item x="243"/>
        <item x="328"/>
        <item x="152"/>
        <item x="242"/>
        <item x="207"/>
        <item x="79"/>
        <item x="229"/>
        <item x="358"/>
        <item x="300"/>
        <item x="156"/>
        <item x="157"/>
        <item x="220"/>
        <item x="246"/>
        <item x="161"/>
        <item x="449"/>
        <item x="46"/>
        <item x="536"/>
        <item x="339"/>
        <item x="308"/>
        <item x="113"/>
        <item x="43"/>
        <item x="197"/>
        <item x="44"/>
        <item x="145"/>
        <item x="302"/>
        <item x="351"/>
        <item x="199"/>
        <item x="198"/>
        <item x="282"/>
        <item x="223"/>
        <item x="274"/>
        <item x="234"/>
        <item x="306"/>
        <item x="225"/>
        <item x="344"/>
        <item x="305"/>
        <item x="201"/>
        <item x="327"/>
        <item x="321"/>
        <item x="205"/>
        <item x="287"/>
        <item x="261"/>
        <item x="319"/>
        <item x="249"/>
        <item x="315"/>
        <item x="273"/>
        <item x="258"/>
        <item x="333"/>
        <item x="411"/>
        <item x="221"/>
        <item x="342"/>
        <item x="281"/>
        <item x="252"/>
        <item x="303"/>
        <item x="503"/>
        <item x="289"/>
        <item x="179"/>
        <item x="29"/>
        <item x="486"/>
        <item x="477"/>
        <item x="108"/>
        <item x="343"/>
        <item x="432"/>
        <item x="47"/>
        <item x="442"/>
        <item x="416"/>
        <item x="189"/>
        <item x="296"/>
        <item x="9"/>
        <item x="195"/>
        <item x="478"/>
        <item x="492"/>
        <item x="247"/>
        <item x="214"/>
        <item x="185"/>
        <item x="39"/>
        <item x="250"/>
        <item x="318"/>
        <item x="21"/>
        <item x="311"/>
        <item x="251"/>
        <item x="519"/>
        <item x="259"/>
        <item x="362"/>
        <item x="489"/>
        <item x="127"/>
        <item x="275"/>
        <item x="347"/>
        <item x="178"/>
        <item x="182"/>
        <item x="244"/>
        <item x="118"/>
        <item x="462"/>
        <item x="483"/>
        <item x="493"/>
        <item x="288"/>
        <item x="276"/>
        <item x="222"/>
        <item x="301"/>
        <item x="187"/>
        <item x="3"/>
        <item x="19"/>
        <item x="87"/>
        <item x="159"/>
        <item x="245"/>
        <item x="183"/>
        <item x="172"/>
        <item x="200"/>
        <item x="310"/>
        <item x="139"/>
        <item x="280"/>
        <item x="239"/>
        <item x="349"/>
        <item x="176"/>
        <item x="284"/>
        <item x="509"/>
        <item x="304"/>
        <item x="341"/>
        <item x="204"/>
        <item x="15"/>
        <item x="359"/>
        <item x="295"/>
        <item x="316"/>
        <item x="238"/>
        <item x="453"/>
        <item x="227"/>
        <item x="228"/>
        <item x="138"/>
        <item x="363"/>
        <item x="110"/>
        <item x="216"/>
        <item x="511"/>
        <item x="155"/>
        <item x="226"/>
        <item x="144"/>
        <item x="230"/>
        <item x="283"/>
        <item x="309"/>
        <item x="112"/>
        <item x="317"/>
        <item x="495"/>
        <item x="106"/>
        <item x="425"/>
        <item x="482"/>
        <item x="323"/>
        <item x="231"/>
        <item x="352"/>
        <item x="441"/>
        <item x="357"/>
        <item x="356"/>
        <item x="324"/>
        <item x="42"/>
        <item x="348"/>
        <item x="170"/>
        <item x="525"/>
        <item x="27"/>
        <item x="551"/>
        <item x="413"/>
        <item x="447"/>
        <item x="354"/>
        <item x="218"/>
        <item x="141"/>
        <item x="253"/>
        <item x="93"/>
        <item x="31"/>
        <item x="421"/>
        <item x="8"/>
        <item x="410"/>
        <item x="396"/>
        <item x="435"/>
        <item x="550"/>
        <item x="30"/>
        <item x="35"/>
        <item x="398"/>
        <item x="506"/>
        <item x="423"/>
        <item x="517"/>
        <item x="426"/>
        <item x="422"/>
        <item x="420"/>
        <item x="414"/>
        <item x="404"/>
        <item x="193"/>
        <item x="248"/>
        <item x="114"/>
        <item x="345"/>
        <item x="18"/>
        <item x="291"/>
        <item x="69"/>
        <item x="94"/>
        <item x="335"/>
        <item x="162"/>
        <item x="191"/>
        <item x="455"/>
        <item x="99"/>
        <item x="206"/>
        <item x="171"/>
        <item x="5"/>
        <item x="165"/>
        <item x="53"/>
        <item x="547"/>
        <item x="312"/>
        <item x="240"/>
        <item x="278"/>
        <item x="149"/>
        <item x="325"/>
        <item x="294"/>
        <item x="163"/>
        <item x="336"/>
        <item x="7"/>
        <item x="41"/>
        <item x="501"/>
        <item x="85"/>
        <item x="88"/>
        <item x="10"/>
        <item x="186"/>
        <item x="505"/>
        <item x="210"/>
        <item x="169"/>
        <item x="80"/>
        <item x="124"/>
        <item x="340"/>
        <item x="217"/>
        <item x="427"/>
        <item x="443"/>
        <item x="543"/>
        <item x="433"/>
        <item x="257"/>
        <item x="33"/>
        <item x="504"/>
        <item x="77"/>
        <item x="467"/>
        <item x="529"/>
        <item x="277"/>
        <item x="298"/>
        <item x="290"/>
        <item x="180"/>
        <item x="116"/>
        <item x="181"/>
        <item x="535"/>
        <item x="215"/>
        <item x="233"/>
        <item x="98"/>
        <item x="196"/>
        <item x="538"/>
        <item x="107"/>
        <item x="188"/>
        <item x="331"/>
        <item x="332"/>
        <item x="130"/>
        <item x="128"/>
        <item x="255"/>
        <item x="329"/>
        <item x="119"/>
        <item x="498"/>
        <item x="531"/>
        <item x="38"/>
        <item x="76"/>
        <item x="131"/>
        <item x="520"/>
        <item x="264"/>
        <item x="293"/>
        <item x="350"/>
        <item x="530"/>
        <item x="177"/>
        <item x="133"/>
        <item x="17"/>
        <item x="510"/>
        <item x="100"/>
        <item x="104"/>
        <item x="346"/>
        <item x="388"/>
        <item x="97"/>
        <item x="533"/>
        <item x="375"/>
        <item x="57"/>
        <item x="418"/>
        <item x="490"/>
        <item x="468"/>
        <item x="454"/>
        <item x="75"/>
        <item x="135"/>
        <item x="400"/>
        <item x="0"/>
        <item x="1"/>
        <item x="337"/>
        <item x="129"/>
        <item x="13"/>
        <item x="12"/>
        <item x="68"/>
        <item x="322"/>
        <item x="50"/>
        <item x="58"/>
        <item x="330"/>
        <item x="174"/>
        <item x="208"/>
        <item x="320"/>
        <item x="266"/>
        <item x="37"/>
        <item x="6"/>
        <item x="507"/>
        <item x="158"/>
        <item x="407"/>
        <item x="408"/>
        <item x="32"/>
        <item x="417"/>
        <item x="437"/>
        <item x="120"/>
        <item x="211"/>
        <item x="125"/>
        <item x="137"/>
        <item x="219"/>
        <item x="132"/>
        <item x="81"/>
        <item x="14"/>
        <item x="45"/>
        <item x="72"/>
        <item x="334"/>
        <item x="481"/>
        <item x="73"/>
        <item x="36"/>
        <item x="147"/>
        <item x="168"/>
        <item x="406"/>
        <item x="465"/>
        <item x="484"/>
        <item x="71"/>
        <item m="1" x="553"/>
        <item x="386"/>
        <item x="269"/>
        <item x="63"/>
        <item x="142"/>
        <item x="528"/>
        <item x="62"/>
        <item x="326"/>
        <item x="472"/>
        <item x="111"/>
        <item x="361"/>
        <item x="105"/>
        <item x="299"/>
        <item x="527"/>
        <item x="52"/>
        <item x="16"/>
        <item x="95"/>
        <item x="64"/>
        <item x="497"/>
        <item x="66"/>
        <item x="40"/>
        <item x="292"/>
        <item x="364"/>
        <item x="103"/>
        <item x="471"/>
        <item x="459"/>
        <item x="485"/>
        <item x="460"/>
        <item x="391"/>
        <item x="55"/>
        <item x="271"/>
        <item x="146"/>
        <item x="265"/>
        <item x="65"/>
        <item x="368"/>
        <item x="548"/>
        <item x="373"/>
        <item x="541"/>
        <item x="381"/>
        <item x="194"/>
        <item x="20"/>
        <item x="209"/>
        <item x="355"/>
        <item x="121"/>
        <item x="539"/>
        <item x="101"/>
        <item x="524"/>
        <item x="212"/>
        <item x="51"/>
        <item x="313"/>
        <item x="24"/>
        <item x="409"/>
        <item x="461"/>
        <item x="445"/>
        <item x="438"/>
        <item x="25"/>
        <item x="48"/>
        <item x="415"/>
        <item x="405"/>
        <item x="428"/>
        <item x="419"/>
        <item x="397"/>
        <item x="394"/>
        <item x="513"/>
        <item x="387"/>
        <item x="440"/>
        <item x="374"/>
        <item x="370"/>
        <item x="451"/>
        <item x="360"/>
        <item x="392"/>
        <item x="424"/>
        <item x="526"/>
        <item x="546"/>
        <item x="401"/>
        <item x="61"/>
        <item x="59"/>
        <item x="518"/>
        <item x="444"/>
        <item x="523"/>
        <item x="430"/>
        <item x="446"/>
        <item x="383"/>
        <item x="403"/>
        <item x="399"/>
        <item x="49"/>
        <item x="190"/>
        <item x="70"/>
        <item x="34"/>
        <item x="82"/>
        <item x="390"/>
        <item x="297"/>
        <item x="552"/>
        <item x="521"/>
        <item x="28"/>
        <item x="166"/>
        <item x="500"/>
        <item x="439"/>
        <item x="494"/>
        <item x="436"/>
        <item x="60"/>
        <item x="89"/>
        <item x="109"/>
        <item x="4"/>
        <item x="23"/>
        <item x="384"/>
        <item x="237"/>
        <item x="236"/>
        <item x="241"/>
        <item x="353"/>
        <item x="458"/>
        <item x="476"/>
        <item x="175"/>
        <item x="514"/>
        <item x="91"/>
        <item x="544"/>
        <item x="522"/>
        <item x="464"/>
        <item x="2"/>
        <item x="480"/>
        <item x="479"/>
        <item x="67"/>
        <item x="202"/>
        <item x="122"/>
        <item x="395"/>
        <item x="377"/>
        <item x="263"/>
        <item x="260"/>
        <item x="140"/>
        <item x="86"/>
        <item x="164"/>
        <item x="393"/>
        <item x="534"/>
        <item x="540"/>
        <item x="254"/>
        <item x="256"/>
        <item x="532"/>
        <item x="78"/>
        <item x="11"/>
        <item x="549"/>
        <item x="173"/>
        <item x="26"/>
        <item x="270"/>
        <item x="475"/>
        <item x="213"/>
        <item x="488"/>
        <item x="448"/>
        <item x="96"/>
        <item x="134"/>
        <item x="452"/>
        <item x="463"/>
        <item x="512"/>
        <item x="545"/>
        <item x="148"/>
        <item x="402"/>
        <item x="515"/>
        <item x="429"/>
        <item x="365"/>
        <item x="385"/>
        <item x="457"/>
        <item x="262"/>
        <item x="542"/>
        <item x="516"/>
        <item x="456"/>
        <item x="54"/>
        <item x="371"/>
        <item x="470"/>
        <item x="143"/>
        <item x="412"/>
        <item x="491"/>
        <item x="431"/>
        <item x="473"/>
        <item x="466"/>
        <item x="382"/>
        <item x="366"/>
        <item x="372"/>
        <item x="56"/>
        <item x="496"/>
        <item x="379"/>
        <item x="508"/>
        <item x="378"/>
        <item x="115"/>
        <item x="369"/>
        <item x="268"/>
        <item x="102"/>
        <item x="123"/>
        <item x="22"/>
        <item x="167"/>
        <item x="338"/>
        <item x="90"/>
        <item x="267"/>
        <item x="469"/>
        <item x="537"/>
        <item x="367"/>
        <item x="380"/>
        <item x="84"/>
        <item x="192"/>
        <item x="74"/>
        <item x="314"/>
        <item x="487"/>
        <item x="92"/>
        <item x="502"/>
        <item x="376"/>
        <item x="83"/>
        <item x="499"/>
        <item x="389"/>
        <item x="474"/>
        <item t="default"/>
      </items>
    </pivotField>
    <pivotField axis="axisRow" showAll="0" measureFilter="1" sortType="descending">
      <items count="393">
        <item x="45"/>
        <item x="387"/>
        <item x="113"/>
        <item x="339"/>
        <item x="128"/>
        <item x="95"/>
        <item x="79"/>
        <item x="105"/>
        <item x="372"/>
        <item x="154"/>
        <item x="129"/>
        <item x="213"/>
        <item x="71"/>
        <item x="184"/>
        <item x="97"/>
        <item x="116"/>
        <item x="99"/>
        <item x="87"/>
        <item x="302"/>
        <item x="192"/>
        <item x="6"/>
        <item x="359"/>
        <item x="314"/>
        <item x="362"/>
        <item x="252"/>
        <item x="33"/>
        <item x="64"/>
        <item x="83"/>
        <item x="318"/>
        <item x="187"/>
        <item x="209"/>
        <item x="37"/>
        <item x="118"/>
        <item x="328"/>
        <item x="332"/>
        <item x="262"/>
        <item x="151"/>
        <item x="122"/>
        <item x="321"/>
        <item x="14"/>
        <item x="295"/>
        <item x="324"/>
        <item x="190"/>
        <item x="15"/>
        <item x="55"/>
        <item x="156"/>
        <item x="344"/>
        <item x="368"/>
        <item x="61"/>
        <item x="317"/>
        <item x="137"/>
        <item x="271"/>
        <item x="125"/>
        <item x="251"/>
        <item x="123"/>
        <item x="160"/>
        <item x="62"/>
        <item x="186"/>
        <item x="353"/>
        <item x="100"/>
        <item x="260"/>
        <item x="237"/>
        <item x="224"/>
        <item x="351"/>
        <item x="161"/>
        <item x="126"/>
        <item x="163"/>
        <item x="1"/>
        <item x="75"/>
        <item x="85"/>
        <item x="191"/>
        <item x="145"/>
        <item x="133"/>
        <item x="104"/>
        <item x="130"/>
        <item x="334"/>
        <item x="93"/>
        <item x="111"/>
        <item x="338"/>
        <item x="333"/>
        <item x="143"/>
        <item x="142"/>
        <item x="127"/>
        <item x="121"/>
        <item x="316"/>
        <item x="350"/>
        <item x="356"/>
        <item x="322"/>
        <item x="117"/>
        <item x="343"/>
        <item x="233"/>
        <item sd="0" x="18"/>
        <item x="214"/>
        <item x="157"/>
        <item sd="0" x="174"/>
        <item x="19"/>
        <item x="327"/>
        <item x="380"/>
        <item x="59"/>
        <item x="80"/>
        <item sd="0" x="88"/>
        <item x="3"/>
        <item x="30"/>
        <item x="330"/>
        <item x="337"/>
        <item x="253"/>
        <item x="9"/>
        <item x="0"/>
        <item x="200"/>
        <item x="210"/>
        <item x="40"/>
        <item x="22"/>
        <item x="346"/>
        <item x="56"/>
        <item x="326"/>
        <item x="349"/>
        <item x="348"/>
        <item x="229"/>
        <item x="325"/>
        <item x="342"/>
        <item sd="0" x="47"/>
        <item x="360"/>
        <item x="144"/>
        <item x="65"/>
        <item sd="0" x="195"/>
        <item x="135"/>
        <item x="367"/>
        <item x="290"/>
        <item x="188"/>
        <item x="169"/>
        <item x="385"/>
        <item x="16"/>
        <item x="115"/>
        <item x="268"/>
        <item x="176"/>
        <item x="94"/>
        <item x="164"/>
        <item x="235"/>
        <item x="52"/>
        <item x="24"/>
        <item x="315"/>
        <item x="74"/>
        <item x="377"/>
        <item x="246"/>
        <item x="320"/>
        <item x="44"/>
        <item x="211"/>
        <item x="20"/>
        <item x="226"/>
        <item x="189"/>
        <item x="146"/>
        <item x="69"/>
        <item x="218"/>
        <item x="220"/>
        <item x="78"/>
        <item sd="0" x="194"/>
        <item x="378"/>
        <item x="150"/>
        <item x="361"/>
        <item x="228"/>
        <item x="241"/>
        <item x="215"/>
        <item sd="0" x="41"/>
        <item x="249"/>
        <item x="4"/>
        <item x="120"/>
        <item x="167"/>
        <item x="132"/>
        <item x="21"/>
        <item x="181"/>
        <item x="2"/>
        <item x="244"/>
        <item x="11"/>
        <item x="255"/>
        <item x="352"/>
        <item x="168"/>
        <item x="245"/>
        <item x="173"/>
        <item x="196"/>
        <item x="357"/>
        <item x="340"/>
        <item x="46"/>
        <item x="264"/>
        <item x="386"/>
        <item x="365"/>
        <item x="131"/>
        <item x="158"/>
        <item x="319"/>
        <item x="91"/>
        <item x="13"/>
        <item x="212"/>
        <item x="68"/>
        <item x="202"/>
        <item x="12"/>
        <item x="36"/>
        <item x="89"/>
        <item x="363"/>
        <item x="177"/>
        <item x="35"/>
        <item x="306"/>
        <item x="370"/>
        <item x="242"/>
        <item x="148"/>
        <item x="256"/>
        <item x="331"/>
        <item x="49"/>
        <item x="182"/>
        <item x="282"/>
        <item x="81"/>
        <item x="193"/>
        <item x="279"/>
        <item x="269"/>
        <item x="239"/>
        <item x="141"/>
        <item x="92"/>
        <item x="247"/>
        <item x="34"/>
        <item x="119"/>
        <item x="8"/>
        <item x="201"/>
        <item x="101"/>
        <item x="336"/>
        <item x="323"/>
        <item x="366"/>
        <item x="153"/>
        <item x="134"/>
        <item x="185"/>
        <item x="345"/>
        <item x="159"/>
        <item x="26"/>
        <item x="310"/>
        <item x="297"/>
        <item x="301"/>
        <item x="7"/>
        <item x="31"/>
        <item x="283"/>
        <item x="276"/>
        <item x="166"/>
        <item x="29"/>
        <item x="272"/>
        <item x="369"/>
        <item x="298"/>
        <item x="311"/>
        <item x="312"/>
        <item x="308"/>
        <item x="274"/>
        <item x="294"/>
        <item x="296"/>
        <item x="293"/>
        <item x="388"/>
        <item x="291"/>
        <item x="303"/>
        <item x="278"/>
        <item x="287"/>
        <item x="234"/>
        <item x="292"/>
        <item m="1" x="391"/>
        <item x="284"/>
        <item x="381"/>
        <item x="155"/>
        <item sd="0" x="5"/>
        <item x="379"/>
        <item x="232"/>
        <item sd="0" x="162"/>
        <item x="152"/>
        <item x="198"/>
        <item x="175"/>
        <item x="374"/>
        <item x="347"/>
        <item x="107"/>
        <item x="390"/>
        <item x="248"/>
        <item x="257"/>
        <item x="300"/>
        <item x="43"/>
        <item x="288"/>
        <item x="280"/>
        <item x="289"/>
        <item x="281"/>
        <item x="305"/>
        <item x="28"/>
        <item x="376"/>
        <item x="199"/>
        <item x="206"/>
        <item x="25"/>
        <item x="309"/>
        <item x="42"/>
        <item x="17"/>
        <item x="304"/>
        <item x="371"/>
        <item x="217"/>
        <item x="53"/>
        <item x="48"/>
        <item x="171"/>
        <item x="114"/>
        <item x="58"/>
        <item x="216"/>
        <item x="254"/>
        <item x="275"/>
        <item x="222"/>
        <item x="66"/>
        <item x="38"/>
        <item x="109"/>
        <item x="63"/>
        <item x="102"/>
        <item x="354"/>
        <item x="136"/>
        <item x="299"/>
        <item x="259"/>
        <item x="32"/>
        <item x="375"/>
        <item x="172"/>
        <item x="39"/>
        <item x="183"/>
        <item x="285"/>
        <item x="67"/>
        <item x="307"/>
        <item x="98"/>
        <item x="108"/>
        <item x="240"/>
        <item x="267"/>
        <item x="27"/>
        <item x="219"/>
        <item x="76"/>
        <item x="258"/>
        <item x="221"/>
        <item x="277"/>
        <item x="180"/>
        <item x="23"/>
        <item x="265"/>
        <item x="389"/>
        <item x="263"/>
        <item x="286"/>
        <item x="313"/>
        <item x="243"/>
        <item x="250"/>
        <item x="364"/>
        <item x="73"/>
        <item x="110"/>
        <item x="57"/>
        <item x="70"/>
        <item x="238"/>
        <item x="384"/>
        <item x="77"/>
        <item x="147"/>
        <item x="373"/>
        <item x="207"/>
        <item x="227"/>
        <item x="72"/>
        <item x="103"/>
        <item x="90"/>
        <item x="165"/>
        <item x="96"/>
        <item x="10"/>
        <item x="178"/>
        <item x="383"/>
        <item x="225"/>
        <item x="355"/>
        <item x="50"/>
        <item x="124"/>
        <item x="231"/>
        <item sd="0" x="204"/>
        <item x="203"/>
        <item x="86"/>
        <item x="138"/>
        <item x="270"/>
        <item x="205"/>
        <item x="51"/>
        <item x="273"/>
        <item x="54"/>
        <item x="106"/>
        <item x="139"/>
        <item x="84"/>
        <item x="236"/>
        <item x="329"/>
        <item x="149"/>
        <item x="261"/>
        <item x="112"/>
        <item x="208"/>
        <item x="170"/>
        <item x="335"/>
        <item x="358"/>
        <item x="266"/>
        <item x="82"/>
        <item x="382"/>
        <item x="230"/>
        <item x="197"/>
        <item x="223"/>
        <item x="140"/>
        <item x="179"/>
        <item x="60"/>
        <item x="341"/>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 numFmtId="164" showAll="0"/>
    <pivotField showAll="0"/>
    <pivotField dataField="1" showAll="0"/>
    <pivotField showAll="0"/>
    <pivotField showAll="0"/>
    <pivotField showAll="0"/>
    <pivotField showAll="0"/>
  </pivotFields>
  <rowFields count="2">
    <field x="1"/>
    <field x="0"/>
  </rowFields>
  <rowItems count="17">
    <i>
      <x v="107"/>
    </i>
    <i r="1">
      <x v="7"/>
    </i>
    <i r="1">
      <x v="303"/>
    </i>
    <i r="1">
      <x v="304"/>
    </i>
    <i r="1">
      <x v="306"/>
    </i>
    <i r="1">
      <x v="310"/>
    </i>
    <i r="1">
      <x v="390"/>
    </i>
    <i r="1">
      <x v="393"/>
    </i>
    <i r="1">
      <x v="485"/>
    </i>
    <i r="1">
      <x v="504"/>
    </i>
    <i r="1">
      <x v="511"/>
    </i>
    <i r="1">
      <x v="521"/>
    </i>
    <i r="1">
      <x v="536"/>
    </i>
    <i r="1">
      <x v="539"/>
    </i>
    <i r="1">
      <x v="540"/>
    </i>
    <i>
      <x v="94"/>
    </i>
    <i>
      <x v="120"/>
    </i>
  </rowItems>
  <colItems count="1">
    <i/>
  </colItems>
  <dataFields count="1">
    <dataField name="Sum of View_Count" fld="6" baseField="0" baseItem="0"/>
  </dataFields>
  <formats count="33">
    <format dxfId="85">
      <pivotArea collapsedLevelsAreSubtotals="1" fieldPosition="0">
        <references count="2">
          <reference field="4294967294" count="1" selected="0">
            <x v="0"/>
          </reference>
          <reference field="1" count="1">
            <x v="107"/>
          </reference>
        </references>
      </pivotArea>
    </format>
    <format dxfId="84">
      <pivotArea collapsedLevelsAreSubtotals="1" fieldPosition="0">
        <references count="2">
          <reference field="4294967294" count="1" selected="0">
            <x v="0"/>
          </reference>
          <reference field="1" count="1">
            <x v="107"/>
          </reference>
        </references>
      </pivotArea>
    </format>
    <format dxfId="83">
      <pivotArea dataOnly="0" labelOnly="1" fieldPosition="0">
        <references count="1">
          <reference field="1" count="1">
            <x v="107"/>
          </reference>
        </references>
      </pivotArea>
    </format>
    <format dxfId="82">
      <pivotArea dataOnly="0" labelOnly="1" fieldPosition="0">
        <references count="1">
          <reference field="1" count="2">
            <x v="94"/>
            <x v="120"/>
          </reference>
        </references>
      </pivotArea>
    </format>
    <format dxfId="81">
      <pivotArea collapsedLevelsAreSubtotals="1" fieldPosition="0">
        <references count="2">
          <reference field="4294967294" count="1" selected="0">
            <x v="0"/>
          </reference>
          <reference field="1" count="1">
            <x v="94"/>
          </reference>
        </references>
      </pivotArea>
    </format>
    <format dxfId="80">
      <pivotArea collapsedLevelsAreSubtotals="1" fieldPosition="0">
        <references count="2">
          <reference field="4294967294" count="1" selected="0">
            <x v="0"/>
          </reference>
          <reference field="1" count="1">
            <x v="120"/>
          </reference>
        </references>
      </pivotArea>
    </format>
    <format dxfId="79">
      <pivotArea collapsedLevelsAreSubtotals="1" fieldPosition="0">
        <references count="2">
          <reference field="4294967294" count="1" selected="0">
            <x v="0"/>
          </reference>
          <reference field="1" count="1">
            <x v="120"/>
          </reference>
        </references>
      </pivotArea>
    </format>
    <format dxfId="78">
      <pivotArea collapsedLevelsAreSubtotals="1" fieldPosition="0">
        <references count="2">
          <reference field="4294967294" count="1" selected="0">
            <x v="0"/>
          </reference>
          <reference field="1" count="1">
            <x v="94"/>
          </reference>
        </references>
      </pivotArea>
    </format>
    <format dxfId="77">
      <pivotArea field="1" type="button" dataOnly="0" labelOnly="1" outline="0" axis="axisRow" fieldPosition="0"/>
    </format>
    <format dxfId="76">
      <pivotArea dataOnly="0" labelOnly="1" outline="0" fieldPosition="0">
        <references count="1">
          <reference field="4294967294" count="1">
            <x v="0"/>
          </reference>
        </references>
      </pivotArea>
    </format>
    <format dxfId="75">
      <pivotArea collapsedLevelsAreSubtotals="1" fieldPosition="0">
        <references count="1">
          <reference field="1" count="1">
            <x v="107"/>
          </reference>
        </references>
      </pivotArea>
    </format>
    <format dxfId="74">
      <pivotArea dataOnly="0" labelOnly="1" fieldPosition="0">
        <references count="1">
          <reference field="1" count="1">
            <x v="107"/>
          </reference>
        </references>
      </pivotArea>
    </format>
    <format dxfId="73">
      <pivotArea collapsedLevelsAreSubtotals="1" fieldPosition="0">
        <references count="1">
          <reference field="1" count="1">
            <x v="94"/>
          </reference>
        </references>
      </pivotArea>
    </format>
    <format dxfId="72">
      <pivotArea collapsedLevelsAreSubtotals="1" fieldPosition="0">
        <references count="1">
          <reference field="1" count="1">
            <x v="120"/>
          </reference>
        </references>
      </pivotArea>
    </format>
    <format dxfId="71">
      <pivotArea dataOnly="0" labelOnly="1" fieldPosition="0">
        <references count="1">
          <reference field="1" count="2">
            <x v="94"/>
            <x v="120"/>
          </reference>
        </references>
      </pivotArea>
    </format>
    <format dxfId="70">
      <pivotArea field="1" type="button" dataOnly="0" labelOnly="1" outline="0" axis="axisRow" fieldPosition="0"/>
    </format>
    <format dxfId="69">
      <pivotArea dataOnly="0" labelOnly="1" outline="0" axis="axisValues" fieldPosition="0"/>
    </format>
    <format dxfId="68">
      <pivotArea field="1" type="button" dataOnly="0" labelOnly="1" outline="0" axis="axisRow" fieldPosition="0"/>
    </format>
    <format dxfId="67">
      <pivotArea dataOnly="0" labelOnly="1" outline="0" axis="axisValues" fieldPosition="0"/>
    </format>
    <format dxfId="66">
      <pivotArea collapsedLevelsAreSubtotals="1" fieldPosition="0">
        <references count="1">
          <reference field="1" count="1">
            <x v="107"/>
          </reference>
        </references>
      </pivotArea>
    </format>
    <format dxfId="65">
      <pivotArea dataOnly="0" labelOnly="1" fieldPosition="0">
        <references count="1">
          <reference field="1" count="1">
            <x v="107"/>
          </reference>
        </references>
      </pivotArea>
    </format>
    <format dxfId="64">
      <pivotArea dataOnly="0" fieldPosition="0">
        <references count="1">
          <reference field="1" count="2">
            <x v="94"/>
            <x v="120"/>
          </reference>
        </references>
      </pivotArea>
    </format>
    <format dxfId="63">
      <pivotArea collapsedLevelsAreSubtotals="1" fieldPosition="0">
        <references count="1">
          <reference field="1" count="1">
            <x v="107"/>
          </reference>
        </references>
      </pivotArea>
    </format>
    <format dxfId="62">
      <pivotArea collapsedLevelsAreSubtotals="1" fieldPosition="0">
        <references count="1">
          <reference field="1" count="1">
            <x v="94"/>
          </reference>
        </references>
      </pivotArea>
    </format>
    <format dxfId="61">
      <pivotArea collapsedLevelsAreSubtotals="1" fieldPosition="0">
        <references count="1">
          <reference field="1" count="1">
            <x v="120"/>
          </reference>
        </references>
      </pivotArea>
    </format>
    <format dxfId="60">
      <pivotArea dataOnly="0" fieldPosition="0">
        <references count="2">
          <reference field="0" count="14">
            <x v="7"/>
            <x v="303"/>
            <x v="304"/>
            <x v="306"/>
            <x v="310"/>
            <x v="390"/>
            <x v="393"/>
            <x v="485"/>
            <x v="504"/>
            <x v="511"/>
            <x v="521"/>
            <x v="536"/>
            <x v="539"/>
            <x v="540"/>
          </reference>
          <reference field="1" count="1" selected="0">
            <x v="107"/>
          </reference>
        </references>
      </pivotArea>
    </format>
    <format dxfId="59">
      <pivotArea dataOnly="0" fieldPosition="0">
        <references count="2">
          <reference field="0" count="14">
            <x v="7"/>
            <x v="303"/>
            <x v="304"/>
            <x v="306"/>
            <x v="310"/>
            <x v="390"/>
            <x v="393"/>
            <x v="485"/>
            <x v="504"/>
            <x v="511"/>
            <x v="521"/>
            <x v="536"/>
            <x v="539"/>
            <x v="540"/>
          </reference>
          <reference field="1" count="1" selected="0">
            <x v="107"/>
          </reference>
        </references>
      </pivotArea>
    </format>
    <format dxfId="58">
      <pivotArea collapsedLevelsAreSubtotals="1" fieldPosition="0">
        <references count="1">
          <reference field="1" count="1">
            <x v="107"/>
          </reference>
        </references>
      </pivotArea>
    </format>
    <format dxfId="57">
      <pivotArea collapsedLevelsAreSubtotals="1" fieldPosition="0">
        <references count="2">
          <reference field="0" count="14">
            <x v="7"/>
            <x v="303"/>
            <x v="304"/>
            <x v="306"/>
            <x v="310"/>
            <x v="390"/>
            <x v="393"/>
            <x v="485"/>
            <x v="504"/>
            <x v="511"/>
            <x v="521"/>
            <x v="536"/>
            <x v="539"/>
            <x v="540"/>
          </reference>
          <reference field="1" count="1" selected="0">
            <x v="107"/>
          </reference>
        </references>
      </pivotArea>
    </format>
    <format dxfId="56">
      <pivotArea collapsedLevelsAreSubtotals="1" fieldPosition="0">
        <references count="2">
          <reference field="0" count="14">
            <x v="7"/>
            <x v="303"/>
            <x v="304"/>
            <x v="306"/>
            <x v="310"/>
            <x v="390"/>
            <x v="393"/>
            <x v="485"/>
            <x v="504"/>
            <x v="511"/>
            <x v="521"/>
            <x v="536"/>
            <x v="539"/>
            <x v="540"/>
          </reference>
          <reference field="1" count="1" selected="0">
            <x v="107"/>
          </reference>
        </references>
      </pivotArea>
    </format>
    <format dxfId="55">
      <pivotArea dataOnly="0" labelOnly="1" fieldPosition="0">
        <references count="2">
          <reference field="0" count="14">
            <x v="7"/>
            <x v="303"/>
            <x v="304"/>
            <x v="306"/>
            <x v="310"/>
            <x v="390"/>
            <x v="393"/>
            <x v="485"/>
            <x v="504"/>
            <x v="511"/>
            <x v="521"/>
            <x v="536"/>
            <x v="539"/>
            <x v="540"/>
          </reference>
          <reference field="1" count="1" selected="0">
            <x v="107"/>
          </reference>
        </references>
      </pivotArea>
    </format>
    <format dxfId="54">
      <pivotArea collapsedLevelsAreSubtotals="1" fieldPosition="0">
        <references count="2">
          <reference field="0" count="14">
            <x v="7"/>
            <x v="303"/>
            <x v="304"/>
            <x v="306"/>
            <x v="310"/>
            <x v="390"/>
            <x v="393"/>
            <x v="485"/>
            <x v="504"/>
            <x v="511"/>
            <x v="521"/>
            <x v="536"/>
            <x v="539"/>
            <x v="540"/>
          </reference>
          <reference field="1" count="1" selected="0">
            <x v="107"/>
          </reference>
        </references>
      </pivotArea>
    </format>
    <format dxfId="53">
      <pivotArea dataOnly="0" labelOnly="1" fieldPosition="0">
        <references count="2">
          <reference field="0" count="14">
            <x v="7"/>
            <x v="303"/>
            <x v="304"/>
            <x v="306"/>
            <x v="310"/>
            <x v="390"/>
            <x v="393"/>
            <x v="485"/>
            <x v="504"/>
            <x v="511"/>
            <x v="521"/>
            <x v="536"/>
            <x v="539"/>
            <x v="540"/>
          </reference>
          <reference field="1" count="1" selected="0">
            <x v="107"/>
          </reference>
        </references>
      </pivotArea>
    </format>
  </formats>
  <pivotTableStyleInfo name="PivotStyleLight15" showRowHeaders="1" showColHeaders="1" showRowStripes="0" showColStripes="0" showLastColumn="1"/>
  <filters count="1">
    <filter fld="1" type="count" evalOrder="-1" id="20"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5AB286F-053D-F249-A89E-F2BD4DD0B3AB}"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Rate_Group">
  <location ref="K7:L494" firstHeaderRow="1" firstDataRow="1" firstDataCol="1"/>
  <pivotFields count="11">
    <pivotField axis="axisRow" showAll="0">
      <items count="555">
        <item x="154"/>
        <item x="434"/>
        <item x="126"/>
        <item x="117"/>
        <item x="151"/>
        <item x="150"/>
        <item x="160"/>
        <item x="307"/>
        <item x="235"/>
        <item x="203"/>
        <item x="286"/>
        <item x="272"/>
        <item x="232"/>
        <item x="224"/>
        <item x="279"/>
        <item x="285"/>
        <item x="184"/>
        <item x="136"/>
        <item x="450"/>
        <item x="153"/>
        <item x="243"/>
        <item x="328"/>
        <item x="152"/>
        <item x="242"/>
        <item x="207"/>
        <item x="79"/>
        <item x="229"/>
        <item x="358"/>
        <item x="300"/>
        <item x="156"/>
        <item x="157"/>
        <item x="220"/>
        <item x="246"/>
        <item x="161"/>
        <item x="449"/>
        <item x="46"/>
        <item x="536"/>
        <item x="339"/>
        <item x="308"/>
        <item x="113"/>
        <item x="43"/>
        <item x="197"/>
        <item x="44"/>
        <item x="145"/>
        <item x="302"/>
        <item x="351"/>
        <item x="199"/>
        <item x="198"/>
        <item x="282"/>
        <item x="223"/>
        <item x="274"/>
        <item x="234"/>
        <item x="306"/>
        <item x="225"/>
        <item x="344"/>
        <item x="305"/>
        <item x="201"/>
        <item x="327"/>
        <item x="321"/>
        <item x="205"/>
        <item x="287"/>
        <item x="261"/>
        <item x="319"/>
        <item x="249"/>
        <item x="315"/>
        <item x="273"/>
        <item x="258"/>
        <item x="333"/>
        <item x="411"/>
        <item x="221"/>
        <item x="342"/>
        <item x="281"/>
        <item x="252"/>
        <item x="303"/>
        <item x="503"/>
        <item x="289"/>
        <item x="179"/>
        <item x="29"/>
        <item x="486"/>
        <item x="477"/>
        <item x="108"/>
        <item x="343"/>
        <item x="432"/>
        <item x="47"/>
        <item x="442"/>
        <item x="416"/>
        <item x="189"/>
        <item x="296"/>
        <item x="9"/>
        <item x="195"/>
        <item x="478"/>
        <item x="492"/>
        <item x="247"/>
        <item x="214"/>
        <item x="185"/>
        <item x="39"/>
        <item x="250"/>
        <item x="318"/>
        <item x="21"/>
        <item x="311"/>
        <item x="251"/>
        <item x="519"/>
        <item x="259"/>
        <item x="362"/>
        <item x="489"/>
        <item x="127"/>
        <item x="275"/>
        <item x="347"/>
        <item x="178"/>
        <item x="182"/>
        <item x="244"/>
        <item x="118"/>
        <item x="462"/>
        <item x="483"/>
        <item x="493"/>
        <item x="288"/>
        <item x="276"/>
        <item x="222"/>
        <item x="301"/>
        <item x="187"/>
        <item x="3"/>
        <item x="19"/>
        <item x="87"/>
        <item x="159"/>
        <item x="245"/>
        <item x="183"/>
        <item x="172"/>
        <item x="200"/>
        <item x="310"/>
        <item x="139"/>
        <item x="280"/>
        <item x="239"/>
        <item x="349"/>
        <item x="176"/>
        <item x="284"/>
        <item x="509"/>
        <item x="304"/>
        <item x="341"/>
        <item x="204"/>
        <item x="15"/>
        <item x="359"/>
        <item x="295"/>
        <item x="316"/>
        <item x="238"/>
        <item x="453"/>
        <item x="227"/>
        <item x="228"/>
        <item x="138"/>
        <item x="363"/>
        <item x="110"/>
        <item x="216"/>
        <item x="511"/>
        <item x="155"/>
        <item x="226"/>
        <item x="144"/>
        <item x="230"/>
        <item x="283"/>
        <item x="309"/>
        <item x="112"/>
        <item x="317"/>
        <item x="495"/>
        <item x="106"/>
        <item x="425"/>
        <item x="482"/>
        <item x="323"/>
        <item x="231"/>
        <item x="352"/>
        <item x="441"/>
        <item x="357"/>
        <item x="356"/>
        <item x="324"/>
        <item x="42"/>
        <item x="348"/>
        <item x="170"/>
        <item x="525"/>
        <item x="27"/>
        <item x="551"/>
        <item x="413"/>
        <item x="447"/>
        <item x="354"/>
        <item x="218"/>
        <item x="141"/>
        <item x="253"/>
        <item x="93"/>
        <item x="31"/>
        <item x="421"/>
        <item x="8"/>
        <item x="410"/>
        <item x="396"/>
        <item x="435"/>
        <item x="550"/>
        <item x="30"/>
        <item x="35"/>
        <item x="398"/>
        <item x="506"/>
        <item x="423"/>
        <item x="517"/>
        <item x="426"/>
        <item x="422"/>
        <item x="420"/>
        <item x="414"/>
        <item x="404"/>
        <item x="193"/>
        <item x="248"/>
        <item x="114"/>
        <item x="345"/>
        <item x="18"/>
        <item x="291"/>
        <item x="69"/>
        <item x="94"/>
        <item x="335"/>
        <item x="162"/>
        <item x="191"/>
        <item x="455"/>
        <item x="99"/>
        <item x="206"/>
        <item x="171"/>
        <item x="5"/>
        <item x="165"/>
        <item x="53"/>
        <item x="547"/>
        <item x="312"/>
        <item x="240"/>
        <item x="278"/>
        <item x="149"/>
        <item x="325"/>
        <item x="294"/>
        <item x="163"/>
        <item x="336"/>
        <item x="7"/>
        <item x="41"/>
        <item x="501"/>
        <item x="85"/>
        <item x="88"/>
        <item x="10"/>
        <item x="186"/>
        <item x="505"/>
        <item x="210"/>
        <item x="169"/>
        <item x="80"/>
        <item x="124"/>
        <item x="340"/>
        <item x="217"/>
        <item x="427"/>
        <item x="443"/>
        <item x="543"/>
        <item x="433"/>
        <item x="257"/>
        <item x="33"/>
        <item x="504"/>
        <item x="77"/>
        <item x="467"/>
        <item x="529"/>
        <item x="277"/>
        <item x="298"/>
        <item x="290"/>
        <item x="180"/>
        <item x="116"/>
        <item x="181"/>
        <item x="535"/>
        <item x="215"/>
        <item x="233"/>
        <item x="98"/>
        <item x="196"/>
        <item x="538"/>
        <item x="107"/>
        <item x="188"/>
        <item x="331"/>
        <item x="332"/>
        <item x="130"/>
        <item x="128"/>
        <item x="255"/>
        <item x="329"/>
        <item x="119"/>
        <item x="498"/>
        <item x="531"/>
        <item x="38"/>
        <item x="76"/>
        <item x="131"/>
        <item x="520"/>
        <item x="264"/>
        <item x="293"/>
        <item x="350"/>
        <item x="530"/>
        <item x="177"/>
        <item x="133"/>
        <item x="17"/>
        <item x="510"/>
        <item x="100"/>
        <item x="104"/>
        <item x="346"/>
        <item x="388"/>
        <item x="97"/>
        <item x="533"/>
        <item x="375"/>
        <item x="57"/>
        <item x="418"/>
        <item x="490"/>
        <item x="468"/>
        <item x="454"/>
        <item x="75"/>
        <item x="135"/>
        <item x="400"/>
        <item x="0"/>
        <item x="1"/>
        <item x="337"/>
        <item x="129"/>
        <item x="13"/>
        <item x="12"/>
        <item x="68"/>
        <item x="322"/>
        <item x="50"/>
        <item x="58"/>
        <item x="330"/>
        <item x="174"/>
        <item x="208"/>
        <item x="320"/>
        <item x="266"/>
        <item x="37"/>
        <item x="6"/>
        <item x="507"/>
        <item x="158"/>
        <item x="407"/>
        <item x="408"/>
        <item x="32"/>
        <item x="417"/>
        <item x="437"/>
        <item x="120"/>
        <item x="211"/>
        <item x="125"/>
        <item x="137"/>
        <item x="219"/>
        <item x="132"/>
        <item x="81"/>
        <item x="14"/>
        <item x="45"/>
        <item x="72"/>
        <item x="334"/>
        <item x="481"/>
        <item x="73"/>
        <item x="36"/>
        <item x="147"/>
        <item x="168"/>
        <item x="406"/>
        <item x="465"/>
        <item x="484"/>
        <item x="71"/>
        <item m="1" x="553"/>
        <item x="386"/>
        <item x="269"/>
        <item x="63"/>
        <item x="142"/>
        <item x="528"/>
        <item x="62"/>
        <item x="326"/>
        <item x="472"/>
        <item x="111"/>
        <item x="361"/>
        <item x="105"/>
        <item x="299"/>
        <item x="527"/>
        <item x="52"/>
        <item x="16"/>
        <item x="95"/>
        <item x="64"/>
        <item x="497"/>
        <item x="66"/>
        <item x="40"/>
        <item x="292"/>
        <item x="364"/>
        <item x="103"/>
        <item x="471"/>
        <item x="459"/>
        <item x="485"/>
        <item x="460"/>
        <item x="391"/>
        <item x="55"/>
        <item x="271"/>
        <item x="146"/>
        <item x="265"/>
        <item x="65"/>
        <item x="368"/>
        <item x="548"/>
        <item x="373"/>
        <item x="541"/>
        <item x="381"/>
        <item x="194"/>
        <item x="20"/>
        <item x="209"/>
        <item x="355"/>
        <item x="121"/>
        <item x="539"/>
        <item x="101"/>
        <item x="524"/>
        <item x="212"/>
        <item x="51"/>
        <item x="313"/>
        <item x="24"/>
        <item x="409"/>
        <item x="461"/>
        <item x="445"/>
        <item x="438"/>
        <item x="25"/>
        <item x="48"/>
        <item x="415"/>
        <item x="405"/>
        <item x="428"/>
        <item x="419"/>
        <item x="397"/>
        <item x="394"/>
        <item x="513"/>
        <item x="387"/>
        <item x="440"/>
        <item x="374"/>
        <item x="370"/>
        <item x="451"/>
        <item x="360"/>
        <item x="392"/>
        <item x="424"/>
        <item x="526"/>
        <item x="546"/>
        <item x="401"/>
        <item x="61"/>
        <item x="59"/>
        <item x="518"/>
        <item x="444"/>
        <item x="523"/>
        <item x="430"/>
        <item x="446"/>
        <item x="383"/>
        <item x="403"/>
        <item x="399"/>
        <item x="49"/>
        <item x="190"/>
        <item x="70"/>
        <item x="34"/>
        <item x="82"/>
        <item x="390"/>
        <item x="297"/>
        <item x="552"/>
        <item x="521"/>
        <item x="28"/>
        <item x="166"/>
        <item x="500"/>
        <item x="439"/>
        <item x="494"/>
        <item x="436"/>
        <item x="60"/>
        <item x="89"/>
        <item x="109"/>
        <item x="4"/>
        <item x="23"/>
        <item x="384"/>
        <item x="237"/>
        <item x="236"/>
        <item x="241"/>
        <item x="353"/>
        <item x="458"/>
        <item x="476"/>
        <item x="175"/>
        <item x="514"/>
        <item x="91"/>
        <item x="544"/>
        <item x="522"/>
        <item x="464"/>
        <item x="2"/>
        <item x="480"/>
        <item x="479"/>
        <item x="67"/>
        <item x="202"/>
        <item x="122"/>
        <item x="395"/>
        <item x="377"/>
        <item x="263"/>
        <item x="260"/>
        <item x="140"/>
        <item x="86"/>
        <item x="164"/>
        <item x="393"/>
        <item x="534"/>
        <item x="540"/>
        <item x="254"/>
        <item x="256"/>
        <item x="532"/>
        <item x="78"/>
        <item x="11"/>
        <item x="549"/>
        <item x="173"/>
        <item x="26"/>
        <item x="270"/>
        <item x="475"/>
        <item x="213"/>
        <item x="488"/>
        <item x="448"/>
        <item x="96"/>
        <item x="134"/>
        <item x="452"/>
        <item x="463"/>
        <item x="512"/>
        <item x="545"/>
        <item x="148"/>
        <item x="402"/>
        <item x="515"/>
        <item x="429"/>
        <item x="365"/>
        <item x="385"/>
        <item x="457"/>
        <item x="262"/>
        <item x="542"/>
        <item x="516"/>
        <item x="456"/>
        <item x="54"/>
        <item x="371"/>
        <item x="470"/>
        <item x="143"/>
        <item x="412"/>
        <item x="491"/>
        <item x="431"/>
        <item x="473"/>
        <item x="466"/>
        <item x="382"/>
        <item x="366"/>
        <item x="372"/>
        <item x="56"/>
        <item x="496"/>
        <item x="379"/>
        <item x="508"/>
        <item x="378"/>
        <item x="115"/>
        <item x="369"/>
        <item x="268"/>
        <item x="102"/>
        <item x="123"/>
        <item x="22"/>
        <item x="167"/>
        <item x="338"/>
        <item x="90"/>
        <item x="267"/>
        <item x="469"/>
        <item x="537"/>
        <item x="367"/>
        <item x="380"/>
        <item x="84"/>
        <item x="192"/>
        <item x="74"/>
        <item x="314"/>
        <item x="487"/>
        <item x="92"/>
        <item x="502"/>
        <item x="376"/>
        <item x="83"/>
        <item x="499"/>
        <item x="389"/>
        <item x="474"/>
        <item t="default"/>
      </items>
    </pivotField>
    <pivotField axis="axisRow" showAll="0" sortType="descending">
      <items count="393">
        <item x="45"/>
        <item x="387"/>
        <item x="113"/>
        <item x="339"/>
        <item x="128"/>
        <item x="95"/>
        <item x="79"/>
        <item x="105"/>
        <item x="372"/>
        <item x="154"/>
        <item x="129"/>
        <item x="213"/>
        <item x="71"/>
        <item x="184"/>
        <item x="97"/>
        <item x="116"/>
        <item x="99"/>
        <item x="87"/>
        <item x="302"/>
        <item x="192"/>
        <item x="6"/>
        <item x="359"/>
        <item x="314"/>
        <item x="362"/>
        <item x="252"/>
        <item x="33"/>
        <item x="64"/>
        <item x="83"/>
        <item x="318"/>
        <item x="187"/>
        <item x="209"/>
        <item x="37"/>
        <item x="118"/>
        <item x="328"/>
        <item x="332"/>
        <item x="262"/>
        <item x="151"/>
        <item x="122"/>
        <item x="321"/>
        <item x="14"/>
        <item x="295"/>
        <item x="324"/>
        <item x="190"/>
        <item x="15"/>
        <item x="55"/>
        <item x="156"/>
        <item x="344"/>
        <item x="368"/>
        <item x="61"/>
        <item x="317"/>
        <item x="137"/>
        <item x="271"/>
        <item x="125"/>
        <item x="251"/>
        <item x="123"/>
        <item x="160"/>
        <item x="62"/>
        <item x="186"/>
        <item x="353"/>
        <item x="100"/>
        <item x="260"/>
        <item x="237"/>
        <item x="224"/>
        <item x="351"/>
        <item x="161"/>
        <item x="126"/>
        <item x="163"/>
        <item x="1"/>
        <item x="75"/>
        <item x="85"/>
        <item x="191"/>
        <item x="145"/>
        <item x="133"/>
        <item x="104"/>
        <item x="130"/>
        <item x="334"/>
        <item x="93"/>
        <item x="111"/>
        <item x="338"/>
        <item x="333"/>
        <item x="143"/>
        <item x="142"/>
        <item x="127"/>
        <item x="121"/>
        <item x="316"/>
        <item x="350"/>
        <item x="356"/>
        <item x="322"/>
        <item x="117"/>
        <item x="343"/>
        <item x="233"/>
        <item x="18"/>
        <item x="214"/>
        <item x="157"/>
        <item x="174"/>
        <item x="19"/>
        <item x="327"/>
        <item x="380"/>
        <item x="59"/>
        <item x="80"/>
        <item x="88"/>
        <item x="3"/>
        <item x="30"/>
        <item x="330"/>
        <item x="337"/>
        <item x="253"/>
        <item x="9"/>
        <item x="0"/>
        <item x="200"/>
        <item x="210"/>
        <item x="40"/>
        <item x="22"/>
        <item x="346"/>
        <item x="56"/>
        <item x="326"/>
        <item x="349"/>
        <item x="348"/>
        <item x="229"/>
        <item x="325"/>
        <item x="342"/>
        <item x="47"/>
        <item x="360"/>
        <item x="144"/>
        <item x="65"/>
        <item x="195"/>
        <item x="135"/>
        <item x="367"/>
        <item x="290"/>
        <item x="188"/>
        <item x="169"/>
        <item x="385"/>
        <item x="16"/>
        <item x="115"/>
        <item x="268"/>
        <item x="176"/>
        <item x="94"/>
        <item x="164"/>
        <item x="235"/>
        <item x="52"/>
        <item x="24"/>
        <item x="315"/>
        <item x="74"/>
        <item x="377"/>
        <item x="246"/>
        <item x="320"/>
        <item x="44"/>
        <item x="211"/>
        <item x="20"/>
        <item x="226"/>
        <item x="189"/>
        <item x="146"/>
        <item x="69"/>
        <item x="218"/>
        <item x="220"/>
        <item x="78"/>
        <item x="194"/>
        <item x="378"/>
        <item x="150"/>
        <item x="361"/>
        <item x="228"/>
        <item x="241"/>
        <item x="215"/>
        <item x="41"/>
        <item x="249"/>
        <item x="4"/>
        <item x="120"/>
        <item x="167"/>
        <item x="132"/>
        <item x="21"/>
        <item x="181"/>
        <item x="2"/>
        <item x="244"/>
        <item x="11"/>
        <item x="255"/>
        <item x="352"/>
        <item x="168"/>
        <item x="245"/>
        <item x="173"/>
        <item x="196"/>
        <item x="357"/>
        <item x="340"/>
        <item x="46"/>
        <item x="264"/>
        <item x="386"/>
        <item x="365"/>
        <item x="131"/>
        <item x="158"/>
        <item x="319"/>
        <item x="91"/>
        <item x="13"/>
        <item x="212"/>
        <item x="68"/>
        <item x="202"/>
        <item x="12"/>
        <item x="36"/>
        <item x="89"/>
        <item x="363"/>
        <item x="177"/>
        <item x="35"/>
        <item x="306"/>
        <item x="370"/>
        <item x="242"/>
        <item x="148"/>
        <item x="256"/>
        <item x="331"/>
        <item x="49"/>
        <item x="182"/>
        <item x="282"/>
        <item x="81"/>
        <item x="193"/>
        <item x="279"/>
        <item x="269"/>
        <item x="239"/>
        <item x="141"/>
        <item x="92"/>
        <item x="247"/>
        <item x="34"/>
        <item x="119"/>
        <item x="8"/>
        <item x="201"/>
        <item x="101"/>
        <item x="336"/>
        <item x="323"/>
        <item x="366"/>
        <item x="153"/>
        <item x="134"/>
        <item x="185"/>
        <item x="345"/>
        <item x="159"/>
        <item x="26"/>
        <item x="310"/>
        <item x="297"/>
        <item x="301"/>
        <item x="7"/>
        <item x="31"/>
        <item x="283"/>
        <item x="276"/>
        <item x="166"/>
        <item x="29"/>
        <item x="272"/>
        <item x="369"/>
        <item x="298"/>
        <item x="311"/>
        <item x="312"/>
        <item x="308"/>
        <item x="274"/>
        <item x="294"/>
        <item x="296"/>
        <item x="293"/>
        <item x="388"/>
        <item x="291"/>
        <item x="303"/>
        <item x="278"/>
        <item x="287"/>
        <item x="234"/>
        <item x="292"/>
        <item m="1" x="391"/>
        <item x="284"/>
        <item x="381"/>
        <item x="155"/>
        <item x="5"/>
        <item x="379"/>
        <item x="232"/>
        <item x="162"/>
        <item x="152"/>
        <item x="198"/>
        <item x="175"/>
        <item x="374"/>
        <item x="347"/>
        <item x="107"/>
        <item x="390"/>
        <item x="248"/>
        <item x="257"/>
        <item x="300"/>
        <item x="43"/>
        <item x="288"/>
        <item x="280"/>
        <item x="289"/>
        <item x="281"/>
        <item x="305"/>
        <item x="28"/>
        <item x="376"/>
        <item x="199"/>
        <item x="206"/>
        <item x="25"/>
        <item x="309"/>
        <item x="42"/>
        <item x="17"/>
        <item x="304"/>
        <item x="371"/>
        <item x="217"/>
        <item x="53"/>
        <item x="48"/>
        <item x="171"/>
        <item x="114"/>
        <item x="58"/>
        <item x="216"/>
        <item x="254"/>
        <item x="275"/>
        <item x="222"/>
        <item x="66"/>
        <item x="38"/>
        <item x="109"/>
        <item x="63"/>
        <item x="102"/>
        <item x="354"/>
        <item x="136"/>
        <item x="299"/>
        <item x="259"/>
        <item x="32"/>
        <item x="375"/>
        <item x="172"/>
        <item x="39"/>
        <item x="183"/>
        <item x="285"/>
        <item x="67"/>
        <item x="307"/>
        <item x="98"/>
        <item x="108"/>
        <item x="240"/>
        <item x="267"/>
        <item x="27"/>
        <item x="219"/>
        <item x="76"/>
        <item x="258"/>
        <item x="221"/>
        <item x="277"/>
        <item x="180"/>
        <item x="23"/>
        <item x="265"/>
        <item x="389"/>
        <item x="263"/>
        <item x="286"/>
        <item x="313"/>
        <item x="243"/>
        <item x="250"/>
        <item x="364"/>
        <item x="73"/>
        <item x="110"/>
        <item x="57"/>
        <item x="70"/>
        <item x="238"/>
        <item x="384"/>
        <item x="77"/>
        <item x="147"/>
        <item x="373"/>
        <item x="207"/>
        <item x="227"/>
        <item x="72"/>
        <item x="103"/>
        <item x="90"/>
        <item x="165"/>
        <item x="96"/>
        <item x="10"/>
        <item x="178"/>
        <item x="383"/>
        <item x="225"/>
        <item x="355"/>
        <item x="50"/>
        <item x="124"/>
        <item x="231"/>
        <item x="204"/>
        <item x="203"/>
        <item x="86"/>
        <item x="138"/>
        <item x="270"/>
        <item x="205"/>
        <item x="51"/>
        <item x="273"/>
        <item x="54"/>
        <item x="106"/>
        <item x="139"/>
        <item x="84"/>
        <item x="236"/>
        <item x="329"/>
        <item x="149"/>
        <item x="261"/>
        <item x="112"/>
        <item x="208"/>
        <item x="170"/>
        <item x="335"/>
        <item x="358"/>
        <item x="266"/>
        <item x="82"/>
        <item x="382"/>
        <item x="230"/>
        <item x="197"/>
        <item x="223"/>
        <item x="140"/>
        <item x="179"/>
        <item x="60"/>
        <item x="341"/>
        <item t="default"/>
      </items>
      <autoSortScope>
        <pivotArea dataOnly="0" outline="0" fieldPosition="0">
          <references count="1">
            <reference field="4294967294" count="1" selected="0">
              <x v="0"/>
            </reference>
          </references>
        </pivotArea>
      </autoSortScope>
    </pivotField>
    <pivotField showAll="0">
      <items count="4">
        <item h="1" x="2"/>
        <item h="1" x="1"/>
        <item x="0"/>
        <item t="default"/>
      </items>
    </pivotField>
    <pivotField showAll="0"/>
    <pivotField numFmtId="164" showAll="0"/>
    <pivotField showAll="0"/>
    <pivotField dataField="1" showAll="0"/>
    <pivotField showAll="0"/>
    <pivotField showAll="0"/>
    <pivotField showAll="0"/>
    <pivotField showAll="0"/>
  </pivotFields>
  <rowFields count="2">
    <field x="1"/>
    <field x="0"/>
  </rowFields>
  <rowItems count="487">
    <i>
      <x v="107"/>
    </i>
    <i r="1">
      <x v="303"/>
    </i>
    <i r="1">
      <x v="304"/>
    </i>
    <i r="1">
      <x v="306"/>
    </i>
    <i r="1">
      <x v="390"/>
    </i>
    <i r="1">
      <x v="485"/>
    </i>
    <i r="1">
      <x v="511"/>
    </i>
    <i r="1">
      <x v="536"/>
    </i>
    <i>
      <x v="120"/>
    </i>
    <i r="1">
      <x v="46"/>
    </i>
    <i r="1">
      <x v="47"/>
    </i>
    <i r="1">
      <x v="376"/>
    </i>
    <i r="1">
      <x v="392"/>
    </i>
    <i r="1">
      <x v="523"/>
    </i>
    <i>
      <x v="292"/>
    </i>
    <i r="1">
      <x v="273"/>
    </i>
    <i r="1">
      <x v="312"/>
    </i>
    <i r="1">
      <x v="379"/>
    </i>
    <i r="1">
      <x v="476"/>
    </i>
    <i>
      <x v="260"/>
    </i>
    <i r="1">
      <x v="319"/>
    </i>
    <i r="1">
      <x v="477"/>
    </i>
    <i>
      <x v="162"/>
    </i>
    <i r="1">
      <x v="119"/>
    </i>
    <i r="1">
      <x v="278"/>
    </i>
    <i r="1">
      <x v="335"/>
    </i>
    <i>
      <x v="124"/>
    </i>
    <i r="1">
      <x v="23"/>
    </i>
    <i r="1">
      <x v="66"/>
    </i>
    <i r="1">
      <x v="377"/>
    </i>
    <i>
      <x v="94"/>
    </i>
    <i r="1">
      <x v="180"/>
    </i>
    <i r="1">
      <x v="388"/>
    </i>
    <i r="1">
      <x v="507"/>
    </i>
    <i>
      <x v="358"/>
    </i>
    <i r="1">
      <x v="147"/>
    </i>
    <i r="1">
      <x v="447"/>
    </i>
    <i>
      <x v="91"/>
    </i>
    <i r="1">
      <x v="532"/>
    </i>
    <i r="1">
      <x v="533"/>
    </i>
    <i r="1">
      <x v="547"/>
    </i>
    <i>
      <x v="67"/>
    </i>
    <i r="1">
      <x v="307"/>
    </i>
    <i r="1">
      <x v="308"/>
    </i>
    <i r="1">
      <x v="465"/>
    </i>
    <i>
      <x v="185"/>
    </i>
    <i r="1">
      <x v="26"/>
    </i>
    <i r="1">
      <x v="29"/>
    </i>
    <i r="1">
      <x v="30"/>
    </i>
    <i>
      <x v="228"/>
    </i>
    <i r="1">
      <x v="96"/>
    </i>
    <i r="1">
      <x v="212"/>
    </i>
    <i>
      <x v="294"/>
    </i>
    <i r="1">
      <x v="330"/>
    </i>
    <i r="1">
      <x v="331"/>
    </i>
    <i>
      <x v="264"/>
    </i>
    <i r="1">
      <x v="109"/>
    </i>
    <i r="1">
      <x v="110"/>
    </i>
    <i>
      <x v="57"/>
    </i>
    <i r="1">
      <x v="145"/>
    </i>
    <i r="1">
      <x v="146"/>
    </i>
    <i>
      <x v="327"/>
    </i>
    <i r="1">
      <x v="31"/>
    </i>
    <i r="1">
      <x v="32"/>
    </i>
    <i>
      <x v="65"/>
    </i>
    <i r="1">
      <x v="4"/>
    </i>
    <i r="1">
      <x v="5"/>
    </i>
    <i>
      <x v="237"/>
    </i>
    <i r="1">
      <x v="127"/>
    </i>
    <i>
      <x v="2"/>
    </i>
    <i r="1">
      <x v="17"/>
    </i>
    <i>
      <x v="284"/>
    </i>
    <i r="1">
      <x v="77"/>
    </i>
    <i>
      <x v="70"/>
    </i>
    <i r="1">
      <x v="453"/>
    </i>
    <i r="1">
      <x v="454"/>
    </i>
    <i>
      <x v="313"/>
    </i>
    <i r="1">
      <x v="49"/>
    </i>
    <i>
      <x v="76"/>
    </i>
    <i r="1">
      <x v="356"/>
    </i>
    <i>
      <x v="353"/>
    </i>
    <i r="1">
      <x v="288"/>
    </i>
    <i r="1">
      <x v="334"/>
    </i>
    <i>
      <x v="88"/>
    </i>
    <i r="1">
      <x v="123"/>
    </i>
    <i r="1">
      <x v="181"/>
    </i>
    <i>
      <x v="233"/>
    </i>
    <i r="1">
      <x v="186"/>
    </i>
    <i>
      <x v="10"/>
    </i>
    <i r="1">
      <x/>
    </i>
    <i>
      <x v="42"/>
    </i>
    <i r="1">
      <x v="51"/>
    </i>
    <i>
      <x v="15"/>
    </i>
    <i r="1">
      <x v="475"/>
    </i>
    <i>
      <x v="280"/>
    </i>
    <i r="1">
      <x v="324"/>
    </i>
    <i>
      <x v="95"/>
    </i>
    <i r="1">
      <x v="295"/>
    </i>
    <i r="1">
      <x v="451"/>
    </i>
    <i>
      <x v="291"/>
    </i>
    <i r="1">
      <x v="349"/>
    </i>
    <i r="1">
      <x v="380"/>
    </i>
    <i>
      <x v="100"/>
    </i>
    <i r="1">
      <x v="93"/>
    </i>
    <i r="1">
      <x v="161"/>
    </i>
    <i>
      <x v="304"/>
    </i>
    <i r="1">
      <x v="469"/>
    </i>
    <i r="1">
      <x v="470"/>
    </i>
    <i>
      <x v="102"/>
    </i>
    <i r="1">
      <x v="435"/>
    </i>
    <i>
      <x v="318"/>
    </i>
    <i r="1">
      <x v="269"/>
    </i>
    <i>
      <x v="16"/>
    </i>
    <i r="1">
      <x v="3"/>
    </i>
    <i>
      <x v="338"/>
    </i>
    <i r="1">
      <x v="284"/>
    </i>
    <i r="1">
      <x v="285"/>
    </i>
    <i>
      <x v="111"/>
    </i>
    <i r="1">
      <x v="432"/>
    </i>
    <i r="1">
      <x v="488"/>
    </i>
    <i>
      <x v="52"/>
    </i>
    <i r="1">
      <x v="224"/>
    </i>
    <i>
      <x v="20"/>
    </i>
    <i r="1">
      <x v="229"/>
    </i>
    <i>
      <x v="229"/>
    </i>
    <i r="1">
      <x v="191"/>
    </i>
    <i>
      <x v="36"/>
    </i>
    <i r="1">
      <x v="256"/>
    </i>
    <i>
      <x v="234"/>
    </i>
    <i r="1">
      <x v="192"/>
    </i>
    <i>
      <x v="138"/>
    </i>
    <i r="1">
      <x v="363"/>
    </i>
    <i r="1">
      <x v="364"/>
    </i>
    <i>
      <x v="238"/>
    </i>
    <i r="1">
      <x v="248"/>
    </i>
    <i>
      <x v="139"/>
    </i>
    <i r="1">
      <x v="350"/>
    </i>
    <i r="1">
      <x v="441"/>
    </i>
    <i>
      <x v="263"/>
    </i>
    <i r="1">
      <x v="280"/>
    </i>
    <i r="1">
      <x v="386"/>
    </i>
    <i>
      <x v="155"/>
    </i>
    <i r="1">
      <x v="455"/>
    </i>
    <i r="1">
      <x v="473"/>
    </i>
    <i>
      <x v="274"/>
    </i>
    <i r="1">
      <x v="83"/>
    </i>
    <i>
      <x v="37"/>
    </i>
    <i r="1">
      <x v="378"/>
    </i>
    <i>
      <x v="282"/>
    </i>
    <i r="1">
      <x v="100"/>
    </i>
    <i>
      <x v="165"/>
    </i>
    <i r="1">
      <x v="153"/>
    </i>
    <i r="1">
      <x v="154"/>
    </i>
    <i>
      <x v="286"/>
    </i>
    <i r="1">
      <x v="35"/>
    </i>
    <i>
      <x v="167"/>
    </i>
    <i r="1">
      <x v="258"/>
    </i>
    <i r="1">
      <x v="321"/>
    </i>
    <i>
      <x v="45"/>
    </i>
    <i r="1">
      <x v="235"/>
    </i>
    <i>
      <x v="168"/>
    </i>
    <i r="1">
      <x v="402"/>
    </i>
    <i r="1">
      <x v="403"/>
    </i>
    <i>
      <x v="302"/>
    </i>
    <i r="1">
      <x v="332"/>
    </i>
    <i r="1">
      <x v="394"/>
    </i>
    <i>
      <x v="177"/>
    </i>
    <i r="1">
      <x v="315"/>
    </i>
    <i>
      <x v="309"/>
    </i>
    <i r="1">
      <x v="340"/>
    </i>
    <i>
      <x v="364"/>
    </i>
    <i r="1">
      <x v="222"/>
    </i>
    <i r="1">
      <x v="442"/>
    </i>
    <i>
      <x v="317"/>
    </i>
    <i r="1">
      <x v="257"/>
    </i>
    <i>
      <x v="366"/>
    </i>
    <i r="1">
      <x v="247"/>
    </i>
    <i>
      <x v="321"/>
    </i>
    <i r="1">
      <x v="184"/>
    </i>
    <i>
      <x v="386"/>
    </i>
    <i r="1">
      <x v="92"/>
    </i>
    <i>
      <x v="328"/>
    </i>
    <i r="1">
      <x v="175"/>
    </i>
    <i>
      <x v="197"/>
    </i>
    <i r="1">
      <x v="260"/>
    </i>
    <i r="1">
      <x v="261"/>
    </i>
    <i>
      <x v="352"/>
    </i>
    <i r="1">
      <x v="203"/>
    </i>
    <i r="1">
      <x v="204"/>
    </i>
    <i>
      <x v="205"/>
    </i>
    <i r="1">
      <x v="422"/>
    </i>
    <i r="1">
      <x v="423"/>
    </i>
    <i>
      <x v="51"/>
    </i>
    <i r="1">
      <x v="369"/>
    </i>
    <i>
      <x v="220"/>
    </i>
    <i r="1">
      <x v="327"/>
    </i>
    <i r="1">
      <x v="328"/>
    </i>
    <i>
      <x v="224"/>
    </i>
    <i r="1">
      <x v="124"/>
    </i>
    <i r="1">
      <x v="125"/>
    </i>
    <i>
      <x v="370"/>
    </i>
    <i r="1">
      <x v="105"/>
    </i>
    <i>
      <x v="193"/>
    </i>
    <i r="1">
      <x v="361"/>
    </i>
    <i r="1">
      <x v="362"/>
    </i>
    <i>
      <x v="195"/>
    </i>
    <i r="1">
      <x v="265"/>
    </i>
    <i r="1">
      <x v="266"/>
    </i>
    <i>
      <x v="175"/>
    </i>
    <i r="1">
      <x v="8"/>
    </i>
    <i r="1">
      <x v="9"/>
    </i>
    <i>
      <x v="371"/>
    </i>
    <i r="1">
      <x v="534"/>
    </i>
    <i>
      <x v="99"/>
    </i>
    <i r="1">
      <x v="494"/>
    </i>
    <i>
      <x v="83"/>
    </i>
    <i r="1">
      <x v="43"/>
    </i>
    <i>
      <x v="125"/>
    </i>
    <i r="1">
      <x v="211"/>
    </i>
    <i>
      <x v="349"/>
    </i>
    <i r="1">
      <x v="240"/>
    </i>
    <i>
      <x v="128"/>
    </i>
    <i r="1">
      <x v="165"/>
    </i>
    <i>
      <x v="265"/>
    </i>
    <i r="1">
      <x v="63"/>
    </i>
    <i>
      <x v="129"/>
    </i>
    <i r="1">
      <x v="138"/>
    </i>
    <i>
      <x v="301"/>
    </i>
    <i r="1">
      <x v="171"/>
    </i>
    <i>
      <x v="131"/>
    </i>
    <i r="1">
      <x v="387"/>
    </i>
    <i>
      <x v="337"/>
    </i>
    <i r="1">
      <x v="232"/>
    </i>
    <i>
      <x v="132"/>
    </i>
    <i r="1">
      <x v="129"/>
    </i>
    <i>
      <x v="361"/>
    </i>
    <i r="1">
      <x v="482"/>
    </i>
    <i>
      <x v="134"/>
    </i>
    <i r="1">
      <x v="491"/>
    </i>
    <i>
      <x v="388"/>
    </i>
    <i r="1">
      <x v="342"/>
    </i>
    <i>
      <x v="135"/>
    </i>
    <i r="1">
      <x v="158"/>
    </i>
    <i>
      <x v="80"/>
    </i>
    <i r="1">
      <x v="216"/>
    </i>
    <i>
      <x v="136"/>
    </i>
    <i r="1">
      <x v="263"/>
    </i>
    <i>
      <x v="293"/>
    </i>
    <i r="1">
      <x v="215"/>
    </i>
    <i>
      <x v="43"/>
    </i>
    <i r="1">
      <x v="121"/>
    </i>
    <i>
      <x v="306"/>
    </i>
    <i r="1">
      <x v="227"/>
    </i>
    <i>
      <x v="44"/>
    </i>
    <i r="1">
      <x v="468"/>
    </i>
    <i>
      <x v="32"/>
    </i>
    <i r="1">
      <x v="351"/>
    </i>
    <i>
      <x v="141"/>
    </i>
    <i r="1">
      <x v="122"/>
    </i>
    <i>
      <x v="343"/>
    </i>
    <i r="1">
      <x v="461"/>
    </i>
    <i>
      <x v="145"/>
    </i>
    <i r="1">
      <x v="311"/>
    </i>
    <i>
      <x v="110"/>
    </i>
    <i r="1">
      <x v="42"/>
    </i>
    <i>
      <x v="146"/>
    </i>
    <i r="1">
      <x v="530"/>
    </i>
    <i>
      <x v="39"/>
    </i>
    <i r="1">
      <x v="206"/>
    </i>
    <i>
      <x v="147"/>
    </i>
    <i r="1">
      <x v="397"/>
    </i>
    <i>
      <x v="378"/>
    </i>
    <i r="1">
      <x v="61"/>
    </i>
    <i>
      <x v="149"/>
    </i>
    <i r="1">
      <x v="12"/>
    </i>
    <i>
      <x v="74"/>
    </i>
    <i r="1">
      <x v="152"/>
    </i>
    <i>
      <x v="150"/>
    </i>
    <i r="1">
      <x v="314"/>
    </i>
    <i>
      <x v="269"/>
    </i>
    <i r="1">
      <x v="270"/>
    </i>
    <i>
      <x v="151"/>
    </i>
    <i r="1">
      <x v="333"/>
    </i>
    <i>
      <x v="283"/>
    </i>
    <i r="1">
      <x v="102"/>
    </i>
    <i>
      <x v="154"/>
    </i>
    <i r="1">
      <x v="183"/>
    </i>
    <i>
      <x v="26"/>
    </i>
    <i r="1">
      <x v="277"/>
    </i>
    <i>
      <x v="13"/>
    </i>
    <i r="1">
      <x v="13"/>
    </i>
    <i>
      <x v="295"/>
    </i>
    <i r="1">
      <x v="434"/>
    </i>
    <i>
      <x v="157"/>
    </i>
    <i r="1">
      <x v="76"/>
    </i>
    <i>
      <x v="303"/>
    </i>
    <i r="1">
      <x v="300"/>
    </i>
    <i>
      <x v="48"/>
    </i>
    <i r="1">
      <x v="339"/>
    </i>
    <i>
      <x v="311"/>
    </i>
    <i r="1">
      <x v="24"/>
    </i>
    <i>
      <x v="164"/>
    </i>
    <i r="1">
      <x v="217"/>
    </i>
    <i>
      <x v="31"/>
    </i>
    <i r="1">
      <x v="230"/>
    </i>
    <i>
      <x v="50"/>
    </i>
    <i r="1">
      <x v="218"/>
    </i>
    <i>
      <x v="106"/>
    </i>
    <i r="1">
      <x v="234"/>
    </i>
    <i>
      <x v="166"/>
    </i>
    <i r="1">
      <x v="56"/>
    </i>
    <i>
      <x v="339"/>
    </i>
    <i r="1">
      <x v="208"/>
    </i>
    <i>
      <x v="14"/>
    </i>
    <i r="1">
      <x v="528"/>
    </i>
    <i>
      <x v="346"/>
    </i>
    <i r="1">
      <x v="474"/>
    </i>
    <i>
      <x v="5"/>
    </i>
    <i r="1">
      <x v="39"/>
    </i>
    <i>
      <x v="351"/>
    </i>
    <i r="1">
      <x v="41"/>
    </i>
    <i>
      <x v="169"/>
    </i>
    <i r="1">
      <x v="69"/>
    </i>
    <i>
      <x v="4"/>
    </i>
    <i r="1">
      <x v="19"/>
    </i>
    <i>
      <x v="170"/>
    </i>
    <i r="1">
      <x v="120"/>
    </i>
    <i>
      <x v="363"/>
    </i>
    <i r="1">
      <x v="289"/>
    </i>
    <i>
      <x v="172"/>
    </i>
    <i r="1">
      <x v="139"/>
    </i>
    <i>
      <x v="369"/>
    </i>
    <i r="1">
      <x v="366"/>
    </i>
    <i>
      <x/>
    </i>
    <i r="1">
      <x v="395"/>
    </i>
    <i>
      <x v="375"/>
    </i>
    <i r="1">
      <x v="108"/>
    </i>
    <i>
      <x v="54"/>
    </i>
    <i r="1">
      <x v="341"/>
    </i>
    <i>
      <x v="383"/>
    </i>
    <i r="1">
      <x v="262"/>
    </i>
    <i>
      <x v="178"/>
    </i>
    <i r="1">
      <x v="20"/>
    </i>
    <i>
      <x v="390"/>
    </i>
    <i r="1">
      <x v="336"/>
    </i>
    <i>
      <x v="181"/>
    </i>
    <i r="1">
      <x v="219"/>
    </i>
    <i>
      <x v="25"/>
    </i>
    <i r="1">
      <x v="318"/>
    </i>
    <i>
      <x v="55"/>
    </i>
    <i r="1">
      <x v="543"/>
    </i>
    <i>
      <x v="266"/>
    </i>
    <i r="1">
      <x v="237"/>
    </i>
    <i>
      <x v="186"/>
    </i>
    <i r="1">
      <x v="433"/>
    </i>
    <i>
      <x v="77"/>
    </i>
    <i r="1">
      <x v="495"/>
    </i>
    <i>
      <x v="188"/>
    </i>
    <i r="1">
      <x v="449"/>
    </i>
    <i>
      <x v="81"/>
    </i>
    <i r="1">
      <x v="173"/>
    </i>
    <i>
      <x v="189"/>
    </i>
    <i r="1">
      <x v="286"/>
    </i>
    <i>
      <x v="82"/>
    </i>
    <i r="1">
      <x v="22"/>
    </i>
    <i>
      <x v="190"/>
    </i>
    <i r="1">
      <x v="489"/>
    </i>
    <i>
      <x v="287"/>
    </i>
    <i r="1">
      <x v="98"/>
    </i>
    <i>
      <x v="191"/>
    </i>
    <i r="1">
      <x v="239"/>
    </i>
    <i>
      <x v="27"/>
    </i>
    <i r="1">
      <x v="214"/>
    </i>
    <i>
      <x v="192"/>
    </i>
    <i r="1">
      <x v="481"/>
    </i>
    <i>
      <x v="93"/>
    </i>
    <i r="1">
      <x v="86"/>
    </i>
    <i>
      <x v="56"/>
    </i>
    <i r="1">
      <x v="544"/>
    </i>
    <i>
      <x v="300"/>
    </i>
    <i r="1">
      <x v="484"/>
    </i>
    <i>
      <x v="194"/>
    </i>
    <i r="1">
      <x v="367"/>
    </i>
    <i>
      <x v="29"/>
    </i>
    <i r="1">
      <x v="155"/>
    </i>
    <i>
      <x v="6"/>
    </i>
    <i r="1">
      <x v="209"/>
    </i>
    <i>
      <x v="30"/>
    </i>
    <i r="1">
      <x v="317"/>
    </i>
    <i>
      <x v="59"/>
    </i>
    <i r="1">
      <x v="111"/>
    </i>
    <i>
      <x v="98"/>
    </i>
    <i r="1">
      <x v="346"/>
    </i>
    <i>
      <x v="198"/>
    </i>
    <i r="1">
      <x v="95"/>
    </i>
    <i>
      <x v="312"/>
    </i>
    <i r="1">
      <x v="40"/>
    </i>
    <i>
      <x v="202"/>
    </i>
    <i r="1">
      <x v="133"/>
    </i>
    <i>
      <x v="315"/>
    </i>
    <i r="1">
      <x v="25"/>
    </i>
    <i>
      <x v="64"/>
    </i>
    <i r="1">
      <x v="202"/>
    </i>
    <i>
      <x v="101"/>
    </i>
    <i r="1">
      <x v="450"/>
    </i>
    <i>
      <x v="206"/>
    </i>
    <i r="1">
      <x v="117"/>
    </i>
    <i>
      <x v="323"/>
    </i>
    <i r="1">
      <x v="448"/>
    </i>
    <i>
      <x v="208"/>
    </i>
    <i r="1">
      <x v="292"/>
    </i>
    <i>
      <x v="9"/>
    </i>
    <i r="1">
      <x v="16"/>
    </i>
    <i>
      <x v="209"/>
    </i>
    <i r="1">
      <x v="131"/>
    </i>
    <i>
      <x v="108"/>
    </i>
    <i r="1">
      <x v="72"/>
    </i>
    <i>
      <x v="213"/>
    </i>
    <i r="1">
      <x v="238"/>
    </i>
    <i>
      <x v="340"/>
    </i>
    <i r="1">
      <x v="436"/>
    </i>
    <i>
      <x v="214"/>
    </i>
    <i r="1">
      <x v="149"/>
    </i>
    <i>
      <x v="344"/>
    </i>
    <i r="1">
      <x v="459"/>
    </i>
    <i>
      <x v="216"/>
    </i>
    <i r="1">
      <x v="276"/>
    </i>
    <i>
      <x v="348"/>
    </i>
    <i r="1">
      <x v="542"/>
    </i>
    <i>
      <x v="217"/>
    </i>
    <i r="1">
      <x v="514"/>
    </i>
    <i>
      <x v="350"/>
    </i>
    <i r="1">
      <x v="80"/>
    </i>
    <i>
      <x v="218"/>
    </i>
    <i r="1">
      <x v="88"/>
    </i>
    <i>
      <x v="109"/>
    </i>
    <i r="1">
      <x v="537"/>
    </i>
    <i>
      <x v="219"/>
    </i>
    <i r="1">
      <x v="182"/>
    </i>
    <i>
      <x v="354"/>
    </i>
    <i r="1">
      <x v="150"/>
    </i>
    <i>
      <x v="17"/>
    </i>
    <i r="1">
      <x v="358"/>
    </i>
    <i>
      <x v="359"/>
    </i>
    <i r="1">
      <x v="500"/>
    </i>
    <i>
      <x v="66"/>
    </i>
    <i r="1">
      <x v="89"/>
    </i>
    <i>
      <x v="362"/>
    </i>
    <i r="1">
      <x v="271"/>
    </i>
    <i>
      <x v="225"/>
    </i>
    <i r="1">
      <x v="33"/>
    </i>
    <i>
      <x v="113"/>
    </i>
    <i r="1">
      <x v="309"/>
    </i>
    <i>
      <x v="226"/>
    </i>
    <i r="1">
      <x v="53"/>
    </i>
    <i>
      <x v="367"/>
    </i>
    <i r="1">
      <x v="353"/>
    </i>
    <i>
      <x v="19"/>
    </i>
    <i r="1">
      <x v="143"/>
    </i>
    <i>
      <x v="122"/>
    </i>
    <i r="1">
      <x v="126"/>
    </i>
    <i>
      <x v="68"/>
    </i>
    <i r="1">
      <x v="233"/>
    </i>
    <i>
      <x v="372"/>
    </i>
    <i r="1">
      <x v="531"/>
    </i>
    <i>
      <x v="69"/>
    </i>
    <i r="1">
      <x v="370"/>
    </i>
    <i>
      <x v="377"/>
    </i>
    <i r="1">
      <x v="301"/>
    </i>
    <i>
      <x v="7"/>
    </i>
    <i r="1">
      <x v="2"/>
    </i>
    <i>
      <x v="379"/>
    </i>
    <i r="1">
      <x v="59"/>
    </i>
    <i>
      <x v="71"/>
    </i>
    <i r="1">
      <x v="487"/>
    </i>
    <i>
      <x v="123"/>
    </i>
    <i r="1">
      <x v="250"/>
    </i>
    <i>
      <x v="72"/>
    </i>
    <i r="1">
      <x v="6"/>
    </i>
    <i>
      <x v="389"/>
    </i>
    <i r="1">
      <x v="242"/>
    </i>
    <i>
      <x v="259"/>
    </i>
    <i r="1">
      <x v="94"/>
    </i>
    <i>
      <x v="12"/>
    </i>
    <i r="1">
      <x v="550"/>
    </i>
    <i>
      <x v="73"/>
    </i>
    <i r="1">
      <x v="329"/>
    </i>
  </rowItems>
  <colItems count="1">
    <i/>
  </colItems>
  <dataFields count="1">
    <dataField name="15min_view_ct" fld="6" baseField="0" baseItem="0"/>
  </dataFields>
  <formats count="8">
    <format dxfId="8">
      <pivotArea field="2" type="button" dataOnly="0" labelOnly="1" outline="0"/>
    </format>
    <format dxfId="9">
      <pivotArea dataOnly="0" labelOnly="1" outline="0" fieldPosition="0">
        <references count="1">
          <reference field="4294967294" count="1">
            <x v="0"/>
          </reference>
        </references>
      </pivotArea>
    </format>
    <format dxfId="10">
      <pivotArea field="2" type="button" dataOnly="0" labelOnly="1" outline="0"/>
    </format>
    <format dxfId="11">
      <pivotArea dataOnly="0" labelOnly="1" outline="0" fieldPosition="0">
        <references count="1">
          <reference field="4294967294" count="1">
            <x v="0"/>
          </reference>
        </references>
      </pivotArea>
    </format>
    <format dxfId="12">
      <pivotArea field="2" type="button" dataOnly="0" labelOnly="1" outline="0"/>
    </format>
    <format dxfId="13">
      <pivotArea dataOnly="0" labelOnly="1" outline="0" fieldPosition="0">
        <references count="1">
          <reference field="4294967294" count="1">
            <x v="0"/>
          </reference>
        </references>
      </pivotArea>
    </format>
    <format dxfId="14">
      <pivotArea outline="0" collapsedLevelsAreSubtotals="1" fieldPosition="0">
        <references count="1">
          <reference field="4294967294" count="1" selected="0">
            <x v="0"/>
          </reference>
        </references>
      </pivotArea>
    </format>
    <format dxfId="15">
      <pivotArea dataOnly="0" labelOnly="1" outline="0" fieldPosition="0">
        <references count="1">
          <reference field="4294967294" count="1">
            <x v="0"/>
          </reference>
        </references>
      </pivotArea>
    </format>
  </formats>
  <chartFormats count="1">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840A85C-D69E-B749-B9D1-80DF56F6D2C7}"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Rate_Group">
  <location ref="D8:G14" firstHeaderRow="0" firstDataRow="1" firstDataCol="1"/>
  <pivotFields count="11">
    <pivotField showAll="0"/>
    <pivotField axis="axisRow" showAll="0" measureFilter="1" sortType="descending">
      <items count="393">
        <item x="45"/>
        <item x="387"/>
        <item x="113"/>
        <item x="339"/>
        <item x="128"/>
        <item x="95"/>
        <item x="79"/>
        <item x="105"/>
        <item x="372"/>
        <item x="154"/>
        <item x="129"/>
        <item x="213"/>
        <item x="71"/>
        <item x="184"/>
        <item x="97"/>
        <item x="116"/>
        <item x="99"/>
        <item x="87"/>
        <item x="302"/>
        <item x="192"/>
        <item x="6"/>
        <item x="359"/>
        <item x="314"/>
        <item x="362"/>
        <item x="252"/>
        <item x="33"/>
        <item x="64"/>
        <item x="83"/>
        <item x="318"/>
        <item x="187"/>
        <item x="209"/>
        <item x="37"/>
        <item x="118"/>
        <item x="328"/>
        <item x="332"/>
        <item x="262"/>
        <item x="151"/>
        <item x="122"/>
        <item x="321"/>
        <item x="14"/>
        <item x="295"/>
        <item x="324"/>
        <item x="190"/>
        <item x="15"/>
        <item x="55"/>
        <item x="156"/>
        <item x="344"/>
        <item x="368"/>
        <item x="61"/>
        <item x="317"/>
        <item x="137"/>
        <item x="271"/>
        <item x="125"/>
        <item x="251"/>
        <item x="123"/>
        <item x="160"/>
        <item x="62"/>
        <item x="186"/>
        <item x="353"/>
        <item x="100"/>
        <item x="260"/>
        <item x="237"/>
        <item x="224"/>
        <item x="351"/>
        <item x="161"/>
        <item x="126"/>
        <item x="163"/>
        <item x="1"/>
        <item x="75"/>
        <item x="85"/>
        <item x="191"/>
        <item x="145"/>
        <item x="133"/>
        <item x="104"/>
        <item x="130"/>
        <item x="334"/>
        <item x="93"/>
        <item x="111"/>
        <item x="338"/>
        <item x="333"/>
        <item x="143"/>
        <item x="142"/>
        <item x="127"/>
        <item x="121"/>
        <item x="316"/>
        <item x="350"/>
        <item x="356"/>
        <item x="322"/>
        <item x="117"/>
        <item x="343"/>
        <item x="233"/>
        <item x="18"/>
        <item x="214"/>
        <item x="157"/>
        <item x="174"/>
        <item x="19"/>
        <item x="327"/>
        <item x="380"/>
        <item x="59"/>
        <item x="80"/>
        <item x="88"/>
        <item x="3"/>
        <item x="30"/>
        <item x="330"/>
        <item x="337"/>
        <item x="253"/>
        <item x="9"/>
        <item x="0"/>
        <item x="200"/>
        <item x="210"/>
        <item x="40"/>
        <item x="22"/>
        <item x="346"/>
        <item x="56"/>
        <item x="326"/>
        <item x="349"/>
        <item x="348"/>
        <item x="229"/>
        <item x="325"/>
        <item x="342"/>
        <item x="47"/>
        <item x="360"/>
        <item x="144"/>
        <item x="65"/>
        <item x="195"/>
        <item x="135"/>
        <item x="367"/>
        <item x="290"/>
        <item x="188"/>
        <item x="169"/>
        <item x="385"/>
        <item x="16"/>
        <item x="115"/>
        <item x="268"/>
        <item x="176"/>
        <item x="94"/>
        <item x="164"/>
        <item x="235"/>
        <item x="52"/>
        <item x="24"/>
        <item x="315"/>
        <item x="74"/>
        <item x="377"/>
        <item x="246"/>
        <item x="320"/>
        <item x="44"/>
        <item x="211"/>
        <item x="20"/>
        <item x="226"/>
        <item x="189"/>
        <item x="146"/>
        <item x="69"/>
        <item x="218"/>
        <item x="220"/>
        <item x="78"/>
        <item x="194"/>
        <item x="378"/>
        <item x="150"/>
        <item x="361"/>
        <item x="228"/>
        <item x="241"/>
        <item x="215"/>
        <item x="41"/>
        <item x="249"/>
        <item x="4"/>
        <item x="120"/>
        <item x="167"/>
        <item x="132"/>
        <item x="21"/>
        <item x="181"/>
        <item x="2"/>
        <item x="244"/>
        <item x="11"/>
        <item x="255"/>
        <item x="352"/>
        <item x="168"/>
        <item x="245"/>
        <item x="173"/>
        <item x="196"/>
        <item x="357"/>
        <item x="340"/>
        <item x="46"/>
        <item x="264"/>
        <item x="386"/>
        <item x="365"/>
        <item x="131"/>
        <item x="158"/>
        <item x="319"/>
        <item x="91"/>
        <item x="13"/>
        <item x="212"/>
        <item x="68"/>
        <item x="202"/>
        <item x="12"/>
        <item x="36"/>
        <item x="89"/>
        <item x="363"/>
        <item x="177"/>
        <item x="35"/>
        <item x="306"/>
        <item x="370"/>
        <item x="242"/>
        <item x="148"/>
        <item x="256"/>
        <item x="331"/>
        <item x="49"/>
        <item x="182"/>
        <item x="282"/>
        <item x="81"/>
        <item x="193"/>
        <item x="279"/>
        <item x="269"/>
        <item x="239"/>
        <item x="141"/>
        <item x="92"/>
        <item x="247"/>
        <item x="34"/>
        <item x="119"/>
        <item x="8"/>
        <item x="201"/>
        <item x="101"/>
        <item x="336"/>
        <item x="323"/>
        <item x="366"/>
        <item x="153"/>
        <item x="134"/>
        <item x="185"/>
        <item x="345"/>
        <item x="159"/>
        <item x="26"/>
        <item x="310"/>
        <item x="297"/>
        <item x="301"/>
        <item x="7"/>
        <item x="31"/>
        <item x="283"/>
        <item x="276"/>
        <item x="166"/>
        <item x="29"/>
        <item x="272"/>
        <item x="369"/>
        <item x="298"/>
        <item x="311"/>
        <item x="312"/>
        <item x="308"/>
        <item x="274"/>
        <item x="294"/>
        <item x="296"/>
        <item x="293"/>
        <item x="388"/>
        <item x="291"/>
        <item x="303"/>
        <item x="278"/>
        <item x="287"/>
        <item x="234"/>
        <item x="292"/>
        <item m="1" x="391"/>
        <item x="284"/>
        <item x="381"/>
        <item x="155"/>
        <item x="5"/>
        <item x="379"/>
        <item x="232"/>
        <item x="162"/>
        <item x="152"/>
        <item x="198"/>
        <item x="175"/>
        <item x="374"/>
        <item x="347"/>
        <item x="107"/>
        <item x="390"/>
        <item x="248"/>
        <item x="257"/>
        <item x="300"/>
        <item x="43"/>
        <item x="288"/>
        <item x="280"/>
        <item x="289"/>
        <item x="281"/>
        <item x="305"/>
        <item x="28"/>
        <item x="376"/>
        <item x="199"/>
        <item x="206"/>
        <item x="25"/>
        <item x="309"/>
        <item x="42"/>
        <item x="17"/>
        <item x="304"/>
        <item x="371"/>
        <item x="217"/>
        <item x="53"/>
        <item x="48"/>
        <item x="171"/>
        <item x="114"/>
        <item x="58"/>
        <item x="216"/>
        <item x="254"/>
        <item x="275"/>
        <item x="222"/>
        <item x="66"/>
        <item x="38"/>
        <item x="109"/>
        <item x="63"/>
        <item x="102"/>
        <item x="354"/>
        <item x="136"/>
        <item x="299"/>
        <item x="259"/>
        <item x="32"/>
        <item x="375"/>
        <item x="172"/>
        <item x="39"/>
        <item x="183"/>
        <item x="285"/>
        <item x="67"/>
        <item x="307"/>
        <item x="98"/>
        <item x="108"/>
        <item x="240"/>
        <item x="267"/>
        <item x="27"/>
        <item x="219"/>
        <item x="76"/>
        <item x="258"/>
        <item x="221"/>
        <item x="277"/>
        <item x="180"/>
        <item x="23"/>
        <item x="265"/>
        <item x="389"/>
        <item x="263"/>
        <item x="286"/>
        <item x="313"/>
        <item x="243"/>
        <item x="250"/>
        <item x="364"/>
        <item x="73"/>
        <item x="110"/>
        <item x="57"/>
        <item x="70"/>
        <item x="238"/>
        <item x="384"/>
        <item x="77"/>
        <item x="147"/>
        <item x="373"/>
        <item x="207"/>
        <item x="227"/>
        <item x="72"/>
        <item x="103"/>
        <item x="90"/>
        <item x="165"/>
        <item x="96"/>
        <item x="10"/>
        <item x="178"/>
        <item x="383"/>
        <item x="225"/>
        <item x="355"/>
        <item x="50"/>
        <item x="124"/>
        <item x="231"/>
        <item x="204"/>
        <item x="203"/>
        <item x="86"/>
        <item x="138"/>
        <item x="270"/>
        <item x="205"/>
        <item x="51"/>
        <item x="273"/>
        <item x="54"/>
        <item x="106"/>
        <item x="139"/>
        <item x="84"/>
        <item x="236"/>
        <item x="329"/>
        <item x="149"/>
        <item x="261"/>
        <item x="112"/>
        <item x="208"/>
        <item x="170"/>
        <item x="335"/>
        <item x="358"/>
        <item x="266"/>
        <item x="82"/>
        <item x="382"/>
        <item x="230"/>
        <item x="197"/>
        <item x="223"/>
        <item x="140"/>
        <item x="179"/>
        <item x="60"/>
        <item x="341"/>
        <item t="default"/>
      </items>
      <autoSortScope>
        <pivotArea dataOnly="0" outline="0" fieldPosition="0">
          <references count="1">
            <reference field="4294967294" count="1" selected="0">
              <x v="1"/>
            </reference>
          </references>
        </pivotArea>
      </autoSortScope>
    </pivotField>
    <pivotField axis="axisRow" showAll="0">
      <items count="4">
        <item h="1" x="2"/>
        <item h="1" x="1"/>
        <item x="0"/>
        <item t="default"/>
      </items>
    </pivotField>
    <pivotField showAll="0" measureFilter="1" sortType="descending">
      <autoSortScope>
        <pivotArea dataOnly="0" outline="0" fieldPosition="0">
          <references count="1">
            <reference field="4294967294" count="1" selected="0">
              <x v="1"/>
            </reference>
          </references>
        </pivotArea>
      </autoSortScope>
    </pivotField>
    <pivotField numFmtId="164" showAll="0"/>
    <pivotField showAll="0"/>
    <pivotField dataField="1" showAll="0"/>
    <pivotField showAll="0"/>
    <pivotField dataField="1" showAll="0"/>
    <pivotField showAll="0"/>
    <pivotField showAll="0"/>
  </pivotFields>
  <rowFields count="2">
    <field x="2"/>
    <field x="1"/>
  </rowFields>
  <rowItems count="6">
    <i>
      <x v="2"/>
    </i>
    <i r="1">
      <x v="7"/>
    </i>
    <i r="1">
      <x v="65"/>
    </i>
    <i r="1">
      <x v="197"/>
    </i>
    <i r="1">
      <x v="351"/>
    </i>
    <i r="1">
      <x v="294"/>
    </i>
  </rowItems>
  <colFields count="1">
    <field x="-2"/>
  </colFields>
  <colItems count="3">
    <i>
      <x/>
    </i>
    <i i="1">
      <x v="1"/>
    </i>
    <i i="2">
      <x v="2"/>
    </i>
  </colItems>
  <dataFields count="3">
    <dataField name=" dsfsadfdsfdsfdsfdsff" fld="8" baseField="0" baseItem="0"/>
    <dataField name="Review_ct" fld="8" baseField="0" baseItem="0"/>
    <dataField name="15min_view_ct" fld="6" baseField="0" baseItem="0"/>
  </dataFields>
  <formats count="21">
    <format dxfId="52">
      <pivotArea dataOnly="0" labelOnly="1" fieldPosition="0">
        <references count="2">
          <reference field="1" count="1">
            <x v="7"/>
          </reference>
          <reference field="2" count="0" selected="0"/>
        </references>
      </pivotArea>
    </format>
    <format dxfId="51">
      <pivotArea dataOnly="0" labelOnly="1" fieldPosition="0">
        <references count="2">
          <reference field="1" count="1">
            <x v="7"/>
          </reference>
          <reference field="2" count="0" selected="0"/>
        </references>
      </pivotArea>
    </format>
    <format dxfId="50">
      <pivotArea collapsedLevelsAreSubtotals="1" fieldPosition="0">
        <references count="3">
          <reference field="4294967294" count="1" selected="0">
            <x v="1"/>
          </reference>
          <reference field="1" count="1">
            <x v="7"/>
          </reference>
          <reference field="2" count="0" selected="0"/>
        </references>
      </pivotArea>
    </format>
    <format dxfId="49">
      <pivotArea collapsedLevelsAreSubtotals="1" fieldPosition="0">
        <references count="3">
          <reference field="4294967294" count="1" selected="0">
            <x v="1"/>
          </reference>
          <reference field="1" count="1">
            <x v="7"/>
          </reference>
          <reference field="2" count="0" selected="0"/>
        </references>
      </pivotArea>
    </format>
    <format dxfId="48">
      <pivotArea dataOnly="0" labelOnly="1" fieldPosition="0">
        <references count="1">
          <reference field="2" count="0"/>
        </references>
      </pivotArea>
    </format>
    <format dxfId="47">
      <pivotArea collapsedLevelsAreSubtotals="1" fieldPosition="0">
        <references count="1">
          <reference field="2" count="0"/>
        </references>
      </pivotArea>
    </format>
    <format dxfId="46">
      <pivotArea collapsedLevelsAreSubtotals="1" fieldPosition="0">
        <references count="3">
          <reference field="4294967294" count="1" selected="0">
            <x v="1"/>
          </reference>
          <reference field="1" count="4">
            <x v="65"/>
            <x v="197"/>
            <x v="294"/>
            <x v="351"/>
          </reference>
          <reference field="2" count="0" selected="0"/>
        </references>
      </pivotArea>
    </format>
    <format dxfId="45">
      <pivotArea dataOnly="0" labelOnly="1" fieldPosition="0">
        <references count="2">
          <reference field="1" count="4">
            <x v="65"/>
            <x v="197"/>
            <x v="294"/>
            <x v="351"/>
          </reference>
          <reference field="2" count="0" selected="0"/>
        </references>
      </pivotArea>
    </format>
    <format dxfId="44">
      <pivotArea field="2" type="button" dataOnly="0" labelOnly="1" outline="0" axis="axisRow" fieldPosition="0"/>
    </format>
    <format dxfId="43">
      <pivotArea dataOnly="0" labelOnly="1" outline="0" fieldPosition="0">
        <references count="1">
          <reference field="4294967294" count="2">
            <x v="1"/>
            <x v="2"/>
          </reference>
        </references>
      </pivotArea>
    </format>
    <format dxfId="42">
      <pivotArea field="2" type="button" dataOnly="0" labelOnly="1" outline="0" axis="axisRow" fieldPosition="0"/>
    </format>
    <format dxfId="41">
      <pivotArea dataOnly="0" labelOnly="1" outline="0" fieldPosition="0">
        <references count="1">
          <reference field="4294967294" count="2">
            <x v="1"/>
            <x v="2"/>
          </reference>
        </references>
      </pivotArea>
    </format>
    <format dxfId="40">
      <pivotArea field="2" type="button" dataOnly="0" labelOnly="1" outline="0" axis="axisRow" fieldPosition="0"/>
    </format>
    <format dxfId="39">
      <pivotArea dataOnly="0" labelOnly="1" outline="0" fieldPosition="0">
        <references count="1">
          <reference field="4294967294" count="2">
            <x v="1"/>
            <x v="2"/>
          </reference>
        </references>
      </pivotArea>
    </format>
    <format dxfId="38">
      <pivotArea collapsedLevelsAreSubtotals="1" fieldPosition="0">
        <references count="3">
          <reference field="4294967294" count="1" selected="0">
            <x v="2"/>
          </reference>
          <reference field="1" count="5">
            <x v="7"/>
            <x v="65"/>
            <x v="197"/>
            <x v="294"/>
            <x v="351"/>
          </reference>
          <reference field="2" count="0" selected="0"/>
        </references>
      </pivotArea>
    </format>
    <format dxfId="37">
      <pivotArea collapsedLevelsAreSubtotals="1" fieldPosition="0">
        <references count="3">
          <reference field="4294967294" count="1" selected="0">
            <x v="2"/>
          </reference>
          <reference field="1" count="5">
            <x v="7"/>
            <x v="65"/>
            <x v="197"/>
            <x v="294"/>
            <x v="351"/>
          </reference>
          <reference field="2" count="0" selected="0"/>
        </references>
      </pivotArea>
    </format>
    <format dxfId="36">
      <pivotArea outline="0" collapsedLevelsAreSubtotals="1" fieldPosition="0">
        <references count="1">
          <reference field="4294967294" count="1" selected="0">
            <x v="2"/>
          </reference>
        </references>
      </pivotArea>
    </format>
    <format dxfId="35">
      <pivotArea dataOnly="0" labelOnly="1" fieldPosition="0">
        <references count="1">
          <reference field="2" count="0"/>
        </references>
      </pivotArea>
    </format>
    <format dxfId="34">
      <pivotArea dataOnly="0" labelOnly="1" outline="0" fieldPosition="0">
        <references count="1">
          <reference field="4294967294" count="1">
            <x v="2"/>
          </reference>
        </references>
      </pivotArea>
    </format>
    <format dxfId="33">
      <pivotArea dataOnly="0" labelOnly="1" outline="0" fieldPosition="0">
        <references count="1">
          <reference field="4294967294" count="1">
            <x v="1"/>
          </reference>
        </references>
      </pivotArea>
    </format>
    <format dxfId="32">
      <pivotArea dataOnly="0" labelOnly="1" outline="0" fieldPosition="0">
        <references count="1">
          <reference field="4294967294" count="1">
            <x v="0"/>
          </reference>
        </references>
      </pivotArea>
    </format>
  </formats>
  <conditionalFormats count="1">
    <conditionalFormat priority="2">
      <pivotAreas count="1">
        <pivotArea type="data" collapsedLevelsAreSubtotals="1" fieldPosition="0">
          <references count="3">
            <reference field="4294967294" count="1" selected="0">
              <x v="0"/>
            </reference>
            <reference field="1" count="5">
              <x v="7"/>
              <x v="65"/>
              <x v="197"/>
              <x v="294"/>
              <x v="351"/>
            </reference>
            <reference field="2" count="1" selected="0">
              <x v="2"/>
            </reference>
          </references>
        </pivotArea>
      </pivotAreas>
    </conditionalFormat>
  </conditionalFormats>
  <chartFormats count="3">
    <chartFormat chart="4" format="0" series="1">
      <pivotArea type="data" outline="0" fieldPosition="0">
        <references count="1">
          <reference field="4294967294" count="1" selected="0">
            <x v="1"/>
          </reference>
        </references>
      </pivotArea>
    </chartFormat>
    <chartFormat chart="4" format="1" series="1">
      <pivotArea type="data" outline="0" fieldPosition="0">
        <references count="1">
          <reference field="4294967294" count="1" selected="0">
            <x v="2"/>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1" showColStripes="0" showLastColumn="1"/>
  <filters count="2">
    <filter fld="1" type="count" evalOrder="-1" id="25" iMeasureFld="1">
      <autoFilter ref="A1">
        <filterColumn colId="0">
          <top10 val="5" filterVal="5"/>
        </filterColumn>
      </autoFilter>
    </filter>
    <filter fld="3" type="count" evalOrder="-1" id="24" iMeasureFld="1">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e_Group" xr10:uid="{9B9CF5CC-EB12-9543-BD71-3722FB7CA1D1}" sourceName="Rate_Group">
  <pivotTables>
    <pivotTable tabId="20" name="PivotTable5"/>
    <pivotTable tabId="32" name="PivotTable22"/>
    <pivotTable tabId="31" name="PivotTable1"/>
    <pivotTable tabId="20" name="PivotTable1"/>
  </pivotTables>
  <data>
    <tabular pivotCacheId="540609884" sortOrder="descending">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e_Group 2" xr10:uid="{D0E5DF56-F5A7-4C40-A585-14BC90F6E8D4}" cache="Slicer_Rate_Group" caption="Rate_Group" columnCount="3" showCaption="0"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e_Group 1" xr10:uid="{74A18377-8128-0A4E-A383-6E47A55ED367}" cache="Slicer_Rate_Group" columnCount="3" style="SlicerStyleLight3" rowHeight="64008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e_Group" xr10:uid="{B3906062-A0C1-E542-BE69-95E016190211}" cache="Slicer_Rate_Group" caption="Rate_Group" columnCount="3" rowHeight="274320"/>
  <slicer name="Rate_Group 3" xr10:uid="{C2F3B3B4-5990-814A-83EB-119C286BFEB6}" cache="Slicer_Rate_Group" caption="Rate_Group" columnCount="3" showCaption="0" style="SlicerStyleLight3" rowHeight="251882"/>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E943B5-1AEC-D046-BEE3-B3DBEE1D5B4C}" name="a.nike.original.man" displayName="a.nike.original.man" ref="A1:M644" totalsRowShown="0" headerRowDxfId="458" dataDxfId="456" headerRowBorderDxfId="457" tableBorderDxfId="455" totalsRowBorderDxfId="454">
  <autoFilter ref="A1:M644" xr:uid="{D6E943B5-1AEC-D046-BEE3-B3DBEE1D5B4C}"/>
  <sortState xmlns:xlrd2="http://schemas.microsoft.com/office/spreadsheetml/2017/richdata2" ref="A2:M644">
    <sortCondition ref="L1:L644"/>
  </sortState>
  <tableColumns count="13">
    <tableColumn id="1" xr3:uid="{8F662EA6-6735-B24E-A35B-EED9F9A99906}" name="Product Name" dataDxfId="453"/>
    <tableColumn id="2" xr3:uid="{790BAFBD-9362-1040-9AE3-7AADA588D241}" name="Product_ID" dataDxfId="2"/>
    <tableColumn id="3" xr3:uid="{13B1A57C-D595-3F4E-BC02-4F2171B161A1}" name="Listed_price" dataDxfId="0"/>
    <tableColumn id="4" xr3:uid="{187B168D-592B-1D40-A4C2-26AFDFA4BD3F}" name="Sale Price" dataDxfId="1"/>
    <tableColumn id="5" xr3:uid="{8AF21E36-405E-E543-A4BA-73E434930E00}" name="Discount %" dataDxfId="4"/>
    <tableColumn id="6" xr3:uid="{19749B5F-BF99-8D45-AD59-31C5A41EA576}" name="Brand" dataDxfId="452"/>
    <tableColumn id="7" xr3:uid="{8F8ECC1E-92A3-BB4C-B403-B574D1ADB980}" name="Description" dataDxfId="451"/>
    <tableColumn id="8" xr3:uid="{9AD5944F-91AE-D241-9517-BE7CD49B54C8}" name="Rating" dataDxfId="450"/>
    <tableColumn id="14" xr3:uid="{A96F4444-B570-B247-8DE6-2BD3470B241C}" name="Rating_Group" dataDxfId="449">
      <calculatedColumnFormula array="1">_xlfn.IFS(a.nike.original.man[[#This Row],[Rating]]&lt;=2.9, "0 - 2.9",a.nike.original.man[[#This Row],[Rating]]&lt;=3.9,"3 - 3.9", a.nike.original.man[[#This Row],[Rating]]&lt;=5,"4 - 5")</calculatedColumnFormula>
    </tableColumn>
    <tableColumn id="9" xr3:uid="{35494771-79B5-D449-81CA-7BB0E646F247}" name="Reviews" dataDxfId="448"/>
    <tableColumn id="15" xr3:uid="{0C024F6C-78B6-EA44-9771-01F54A04CDFE}" name="Review_Group" dataDxfId="447">
      <calculatedColumnFormula array="1">_xlfn.IFS(a.nike.original.man[[#This Row],[Reviews]]&lt;=7, "Below Average", a.nike.original.man[[#This Row],[Reviews]]&gt;=8, "Average +")</calculatedColumnFormula>
    </tableColumn>
    <tableColumn id="11" xr3:uid="{8E49A772-35F1-EC49-AC10-1A5BB6E44014}" name="Time" dataDxfId="446"/>
    <tableColumn id="17" xr3:uid="{4122FAFE-AADC-DE4D-BE9E-9D2F1AA56A43}" name="Date" dataDxfId="44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A35129-CFE6-A548-A182-7DAC92E38842}" name="b.nike.views" displayName="b.nike.views" ref="A1:L554" totalsRowShown="0">
  <autoFilter ref="A1:L554" xr:uid="{B9A35129-CFE6-A548-A182-7DAC92E38842}"/>
  <sortState xmlns:xlrd2="http://schemas.microsoft.com/office/spreadsheetml/2017/richdata2" ref="A2:L554">
    <sortCondition descending="1" ref="D1:D554"/>
  </sortState>
  <tableColumns count="12">
    <tableColumn id="1" xr3:uid="{DE4384C7-1AEC-3147-AFAB-6172A5704E65}" name="product_ID"/>
    <tableColumn id="2" xr3:uid="{A2555E84-5FFE-DC45-AADC-03CD40942EBB}" name="Product">
      <calculatedColumnFormula>_xlfn.XLOOKUP(b.nike.views[[#This Row],[product_ID]], a.nike.original.man[Product_ID], a.nike.original.man[Product Name], "Not Found")</calculatedColumnFormula>
    </tableColumn>
    <tableColumn id="8" xr3:uid="{471636A8-D03F-F244-A5EB-A5A13AD9007C}" name="Rate_Group" dataDxfId="444">
      <calculatedColumnFormula>_xlfn.XLOOKUP(b.nike.views[[#This Row],[product_ID]], a.nike.original.man[Product_ID], a.nike.original.man[Rating_Group], "Not Found")</calculatedColumnFormula>
    </tableColumn>
    <tableColumn id="7" xr3:uid="{74D5C104-471A-AE4F-9A37-6F700F5E6714}" name="Rating" dataDxfId="443">
      <calculatedColumnFormula>_xlfn.XLOOKUP(b.nike.views[[#This Row],[product_ID]], a.nike.original.man[Product_ID], a.nike.original.man[Rating], "Not Found")</calculatedColumnFormula>
    </tableColumn>
    <tableColumn id="6" xr3:uid="{B17A6D73-B695-6B48-97A5-3FFA20CD3FF6}" name="Sales_Price" dataDxfId="442" dataCellStyle="Currency">
      <calculatedColumnFormula>ROUND(_xlfn.XLOOKUP(b.nike.views[[#This Row],[product_ID]], a.nike.original.man[Product_ID], a.nike.original.man[Sale Price], "Not Found"), 0)</calculatedColumnFormula>
    </tableColumn>
    <tableColumn id="5" xr3:uid="{F10BE8D8-CE44-D14D-B439-1A96C68F9CE8}" name="Sales_Group" dataDxfId="441">
      <calculatedColumnFormula array="1">_xlfn.IFS(b.nike.views[[#This Row],[Sales_Price]]&lt;=9, "under $10",b.nike.views[[#This Row],[Sales_Price]]&lt;=20, "$20 and under",b.nike.views[[#This Row],[Sales_Price]]&lt;=50, "$50 and under", b.nike.views[[#This Row],[Sales_Price]]&lt;=99, "under $100", b.nike.views[[#This Row],[Sales_Price]]&gt;=100, "$100 +")</calculatedColumnFormula>
    </tableColumn>
    <tableColumn id="3" xr3:uid="{43E920DC-CFA3-CB45-B208-178712B2A080}" name="View_Count" dataDxfId="440">
      <calculatedColumnFormula>COUNTIF(a.nike.original.man[Product_ID], A2)</calculatedColumnFormula>
    </tableColumn>
    <tableColumn id="10" xr3:uid="{F5762450-F7A3-3F4B-90C0-3B51AC5555FC}" name="Review_Group" dataDxfId="439">
      <calculatedColumnFormula array="1">_xlfn.IFS(b.nike.views[[#This Row],[Review_Count]]&lt;=7, "Below Average",b.nike.views[[#This Row],[Review_Count]]&gt;=8, "Average +")</calculatedColumnFormula>
    </tableColumn>
    <tableColumn id="9" xr3:uid="{186DC346-A6D9-CE4C-A710-05F0515F46BC}" name="Review_Count" dataDxfId="438">
      <calculatedColumnFormula>SUMIF(a.nike.original.man[Product_ID],b.nike.views[[#This Row],[product_ID]], a.nike.original.man[Reviews])</calculatedColumnFormula>
    </tableColumn>
    <tableColumn id="11" xr3:uid="{A2E55547-F2A2-A64F-AB6C-F7B2FE3AE290}" name="discount" dataCellStyle="Percent">
      <calculatedColumnFormula>_xlfn.XLOOKUP(b.nike.views[[#This Row],[product_ID]],a.nike.original.man[Product_ID], a.nike.original.man[Discount %], "Not Found")</calculatedColumnFormula>
    </tableColumn>
    <tableColumn id="12" xr3:uid="{FB3B63A1-73A9-6947-AFDD-A3042DE886B6}" name="Time" dataDxfId="437" dataCellStyle="Percent"/>
    <tableColumn id="4" xr3:uid="{C821E20A-CCB9-4C43-9C25-F2484FE57800}" name="Date"/>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3404C33-5E94-9B47-8927-8E106C8EE5A1}" name="c.nike.unbias" displayName="c.nike.unbias" ref="A1:J143" totalsRowShown="0">
  <autoFilter ref="A1:J143" xr:uid="{C3404C33-5E94-9B47-8927-8E106C8EE5A1}"/>
  <sortState xmlns:xlrd2="http://schemas.microsoft.com/office/spreadsheetml/2017/richdata2" ref="A2:J143">
    <sortCondition ref="F1:F143"/>
  </sortState>
  <tableColumns count="10">
    <tableColumn id="1" xr3:uid="{86B04BC4-E504-FE4B-84B0-3916271303E9}" name="product_ID"/>
    <tableColumn id="2" xr3:uid="{AEF08F90-4BAA-1B4E-9E77-719440792F5E}" name="Product"/>
    <tableColumn id="3" xr3:uid="{F4349187-46E2-8C49-9985-ED1116D61382}" name="Rate_Group"/>
    <tableColumn id="4" xr3:uid="{0591BB48-B42A-FF4F-ABA5-1DA7E971F26F}" name="Rating"/>
    <tableColumn id="5" xr3:uid="{A414C0E4-725D-1A43-8121-B42E30429A8E}" name="Sales_Price" dataDxfId="7" dataCellStyle="Currency"/>
    <tableColumn id="6" xr3:uid="{FC52AB53-FE03-224D-966A-A5384D7B6672}" name="Sales_Group"/>
    <tableColumn id="7" xr3:uid="{037C28E6-B066-4143-98BA-CE3CC3FC8352}" name="View_Count"/>
    <tableColumn id="8" xr3:uid="{6D56D3FF-29AF-AF4D-BCA7-05360FA5DDFB}" name="Review_Group"/>
    <tableColumn id="9" xr3:uid="{789344D4-5BCC-D545-A9FC-D06C0CE21C55}" name="Review_Count"/>
    <tableColumn id="10" xr3:uid="{680ED266-25A8-A74A-B451-E953F7B6BC30}" name="Date"/>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09DEE14-8A2C-DA43-BC39-4F0B8B0A8286}" name="d.nike.bias" displayName="d.nike.bias" ref="A1:J412" totalsRowShown="0">
  <autoFilter ref="A1:J412" xr:uid="{609DEE14-8A2C-DA43-BC39-4F0B8B0A8286}"/>
  <sortState xmlns:xlrd2="http://schemas.microsoft.com/office/spreadsheetml/2017/richdata2" ref="A2:J412">
    <sortCondition ref="F1:F412"/>
  </sortState>
  <tableColumns count="10">
    <tableColumn id="1" xr3:uid="{6CBEFF19-EA41-2648-B3C6-A029ACCD6C84}" name="product_ID"/>
    <tableColumn id="2" xr3:uid="{3F6C5CFA-2AE6-B942-AC94-716943D0CAA4}" name="Product"/>
    <tableColumn id="3" xr3:uid="{D17096E0-178E-8046-AA36-59E512DBBF51}" name="Rate_Group"/>
    <tableColumn id="4" xr3:uid="{9EAF2458-80BF-AC49-A849-9D588D3DBE71}" name="Rating"/>
    <tableColumn id="5" xr3:uid="{CC2DE36E-509D-A542-B9FD-26336017FBD2}" name="Sales_Price" dataDxfId="6"/>
    <tableColumn id="6" xr3:uid="{D38ECB85-A58C-4E45-B8BC-264A18441948}" name="Sales_Group"/>
    <tableColumn id="7" xr3:uid="{950900E9-A48E-A244-9C50-E51493039FDB}" name="View_Count"/>
    <tableColumn id="8" xr3:uid="{104EE039-6703-8F4D-8DD4-82CFEBB752AC}" name="Review_Group"/>
    <tableColumn id="9" xr3:uid="{F294AAD7-22DB-3249-8D46-2AE678A1AF23}" name="Review_Count"/>
    <tableColumn id="10" xr3:uid="{0FA15AF1-E32F-244D-912F-C4C02FD13C99}" name="Date"/>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0580FE-8B7C-A545-B975-4484F965AA55}" name="e.nike.discount" displayName="e.nike.discount" ref="A1:K193" totalsRowShown="0">
  <autoFilter ref="A1:K193" xr:uid="{FD0580FE-8B7C-A545-B975-4484F965AA55}"/>
  <sortState xmlns:xlrd2="http://schemas.microsoft.com/office/spreadsheetml/2017/richdata2" ref="A2:K193">
    <sortCondition descending="1" ref="H1:H193"/>
  </sortState>
  <tableColumns count="11">
    <tableColumn id="1" xr3:uid="{7B72D511-1154-AA47-8A36-790392B8F5E1}" name="product_ID"/>
    <tableColumn id="2" xr3:uid="{993EAE93-BDF6-7942-ABA7-D62B629DEDA1}" name="Product"/>
    <tableColumn id="3" xr3:uid="{74DD7063-5148-9F43-8BE4-EEAB590B4FA1}" name="Rate_Group"/>
    <tableColumn id="4" xr3:uid="{215ED6CB-AAEF-8E48-B296-188D00F7DA1F}" name="Rating"/>
    <tableColumn id="5" xr3:uid="{B82A9C26-DC52-AE44-96AD-703BEA8D7F7F}" name="Sales_Price" dataDxfId="5"/>
    <tableColumn id="6" xr3:uid="{454C2CBE-B91E-754C-9021-0008D623364D}" name="Sales_Group"/>
    <tableColumn id="7" xr3:uid="{9B5D7656-CA27-6649-BB16-78D9FDAD4AB7}" name="View_Count"/>
    <tableColumn id="8" xr3:uid="{1A820E5D-92EF-7548-A3E8-7196C8DE431F}" name="Review_Group"/>
    <tableColumn id="9" xr3:uid="{AD60D86E-D7C5-C44A-9408-67ADC2EC2B59}" name="Review_Count"/>
    <tableColumn id="10" xr3:uid="{62BB282F-B3C6-124C-A733-AFE5E359A314}" name="discount"/>
    <tableColumn id="11" xr3:uid="{8B398541-A28C-224D-837B-29EC41282E06}" name="Dat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6.xml"/><Relationship Id="rId7"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microsoft.com/office/2007/relationships/slicer" Target="../slicers/slicer2.xml"/><Relationship Id="rId4"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6.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microsoft.com/office/2007/relationships/slicer" Target="../slicers/slicer3.xml"/></Relationships>
</file>

<file path=xl/worksheets/_rels/sheet12.xml.rels><?xml version="1.0" encoding="UTF-8" standalone="yes"?>
<Relationships xmlns="http://schemas.openxmlformats.org/package/2006/relationships"><Relationship Id="rId3" Type="http://schemas.openxmlformats.org/officeDocument/2006/relationships/hyperlink" Target="http://www.github.com/" TargetMode="External"/><Relationship Id="rId2" Type="http://schemas.openxmlformats.org/officeDocument/2006/relationships/hyperlink" Target="https://www.kaggle.com/datasets/kaushiksuresh147/adidas-vs-nike" TargetMode="External"/><Relationship Id="rId1" Type="http://schemas.openxmlformats.org/officeDocument/2006/relationships/hyperlink" Target="mailto:jordanlloyd2009@gmail.com"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A304D-6586-E74C-B664-83281EB3D495}">
  <dimension ref="A1:S644"/>
  <sheetViews>
    <sheetView zoomScale="116" workbookViewId="0">
      <selection activeCell="O10" sqref="O10"/>
    </sheetView>
  </sheetViews>
  <sheetFormatPr baseColWidth="10" defaultRowHeight="16" x14ac:dyDescent="0.2"/>
  <cols>
    <col min="1" max="1" width="26.83203125" customWidth="1"/>
    <col min="2" max="2" width="12.1640625" customWidth="1"/>
    <col min="3" max="3" width="13.83203125" customWidth="1"/>
    <col min="4" max="4" width="11.6640625" customWidth="1"/>
    <col min="5" max="5" width="13" bestFit="1" customWidth="1"/>
    <col min="7" max="7" width="13.1640625" customWidth="1"/>
    <col min="8" max="8" width="9" bestFit="1" customWidth="1"/>
    <col min="9" max="9" width="14.83203125" bestFit="1" customWidth="1"/>
    <col min="11" max="12" width="18.33203125" customWidth="1"/>
    <col min="13" max="13" width="10.5" bestFit="1" customWidth="1"/>
    <col min="17" max="17" width="16.1640625" customWidth="1"/>
  </cols>
  <sheetData>
    <row r="1" spans="1:19" x14ac:dyDescent="0.2">
      <c r="A1" s="3" t="s">
        <v>0</v>
      </c>
      <c r="B1" s="3" t="s">
        <v>1501</v>
      </c>
      <c r="C1" s="3" t="s">
        <v>1737</v>
      </c>
      <c r="D1" s="3" t="s">
        <v>1</v>
      </c>
      <c r="E1" s="3" t="s">
        <v>1490</v>
      </c>
      <c r="F1" s="3" t="s">
        <v>3</v>
      </c>
      <c r="G1" s="3" t="s">
        <v>4</v>
      </c>
      <c r="H1" s="3" t="s">
        <v>5</v>
      </c>
      <c r="I1" s="3" t="s">
        <v>1467</v>
      </c>
      <c r="J1" s="3" t="s">
        <v>6</v>
      </c>
      <c r="K1" s="3" t="s">
        <v>1468</v>
      </c>
      <c r="L1" s="3" t="s">
        <v>1754</v>
      </c>
      <c r="M1" s="3" t="s">
        <v>1469</v>
      </c>
    </row>
    <row r="2" spans="1:19" x14ac:dyDescent="0.2">
      <c r="A2" s="1" t="s">
        <v>7</v>
      </c>
      <c r="B2" s="1" t="s">
        <v>8</v>
      </c>
      <c r="C2" s="330">
        <v>0</v>
      </c>
      <c r="D2" s="330">
        <v>75</v>
      </c>
      <c r="E2" s="1">
        <v>0</v>
      </c>
      <c r="F2" s="1" t="s">
        <v>9</v>
      </c>
      <c r="G2" s="1" t="s">
        <v>10</v>
      </c>
      <c r="H2" s="1">
        <v>0</v>
      </c>
      <c r="I2" s="1" t="str" cm="1">
        <f t="array" ref="I2">_xlfn.IFS(a.nike.original.man[[#This Row],[Rating]]&lt;=2.9, "0 - 2.9",a.nike.original.man[[#This Row],[Rating]]&lt;=3.9,"3 - 3.9", a.nike.original.man[[#This Row],[Rating]]&lt;=5,"4 - 5")</f>
        <v>0 - 2.9</v>
      </c>
      <c r="J2" s="1">
        <v>0</v>
      </c>
      <c r="K2" s="1" t="str" cm="1">
        <f t="array" ref="K2">_xlfn.IFS(a.nike.original.man[[#This Row],[Reviews]]&lt;=7, "Below Average", a.nike.original.man[[#This Row],[Reviews]]&gt;=8, "Average +")</f>
        <v>Below Average</v>
      </c>
      <c r="L2" s="11" t="s">
        <v>1502</v>
      </c>
      <c r="M2" s="1" t="s">
        <v>1470</v>
      </c>
    </row>
    <row r="3" spans="1:19" x14ac:dyDescent="0.2">
      <c r="A3" s="2" t="s">
        <v>11</v>
      </c>
      <c r="B3" s="2" t="s">
        <v>12</v>
      </c>
      <c r="C3" s="331">
        <v>0</v>
      </c>
      <c r="D3" s="331">
        <v>75</v>
      </c>
      <c r="E3" s="2">
        <v>0</v>
      </c>
      <c r="F3" s="2" t="s">
        <v>9</v>
      </c>
      <c r="G3" s="2" t="s">
        <v>13</v>
      </c>
      <c r="H3" s="2">
        <v>0</v>
      </c>
      <c r="I3" s="2" t="str" cm="1">
        <f t="array" ref="I3">_xlfn.IFS(a.nike.original.man[[#This Row],[Rating]]&lt;=2.9, "0 - 2.9",a.nike.original.man[[#This Row],[Rating]]&lt;=3.9,"3 - 3.9", a.nike.original.man[[#This Row],[Rating]]&lt;=5,"4 - 5")</f>
        <v>0 - 2.9</v>
      </c>
      <c r="J3" s="2">
        <v>0</v>
      </c>
      <c r="K3" s="2" t="str" cm="1">
        <f t="array" ref="K3">_xlfn.IFS(a.nike.original.man[[#This Row],[Reviews]]&lt;=7, "Below Average", a.nike.original.man[[#This Row],[Reviews]]&gt;=8, "Average +")</f>
        <v>Below Average</v>
      </c>
      <c r="L3" s="12" t="s">
        <v>1502</v>
      </c>
      <c r="M3" s="2" t="s">
        <v>1470</v>
      </c>
      <c r="N3" s="14"/>
    </row>
    <row r="4" spans="1:19" x14ac:dyDescent="0.2">
      <c r="A4" s="1" t="s">
        <v>14</v>
      </c>
      <c r="B4" s="1" t="s">
        <v>15</v>
      </c>
      <c r="C4" s="330">
        <v>0</v>
      </c>
      <c r="D4" s="330">
        <v>100</v>
      </c>
      <c r="E4" s="1">
        <v>0</v>
      </c>
      <c r="F4" s="1" t="s">
        <v>9</v>
      </c>
      <c r="G4" s="1" t="s">
        <v>16</v>
      </c>
      <c r="H4" s="1">
        <v>0</v>
      </c>
      <c r="I4" s="1" t="str" cm="1">
        <f t="array" ref="I4">_xlfn.IFS(a.nike.original.man[[#This Row],[Rating]]&lt;=2.9, "0 - 2.9",a.nike.original.man[[#This Row],[Rating]]&lt;=3.9,"3 - 3.9", a.nike.original.man[[#This Row],[Rating]]&lt;=5,"4 - 5")</f>
        <v>0 - 2.9</v>
      </c>
      <c r="J4" s="1">
        <v>0</v>
      </c>
      <c r="K4" s="1" t="str" cm="1">
        <f t="array" ref="K4">_xlfn.IFS(a.nike.original.man[[#This Row],[Reviews]]&lt;=7, "Below Average", a.nike.original.man[[#This Row],[Reviews]]&gt;=8, "Average +")</f>
        <v>Below Average</v>
      </c>
      <c r="L4" s="11" t="s">
        <v>1502</v>
      </c>
      <c r="M4" s="1" t="s">
        <v>1470</v>
      </c>
    </row>
    <row r="5" spans="1:19" x14ac:dyDescent="0.2">
      <c r="A5" s="2" t="s">
        <v>17</v>
      </c>
      <c r="B5" s="2" t="s">
        <v>18</v>
      </c>
      <c r="C5" s="331">
        <v>0</v>
      </c>
      <c r="D5" s="331">
        <v>100</v>
      </c>
      <c r="E5" s="2">
        <v>0</v>
      </c>
      <c r="F5" s="2" t="s">
        <v>9</v>
      </c>
      <c r="G5" s="2" t="s">
        <v>19</v>
      </c>
      <c r="H5" s="2">
        <v>0</v>
      </c>
      <c r="I5" s="2" t="str" cm="1">
        <f t="array" ref="I5">_xlfn.IFS(a.nike.original.man[[#This Row],[Rating]]&lt;=2.9, "0 - 2.9",a.nike.original.man[[#This Row],[Rating]]&lt;=3.9,"3 - 3.9", a.nike.original.man[[#This Row],[Rating]]&lt;=5,"4 - 5")</f>
        <v>0 - 2.9</v>
      </c>
      <c r="J5" s="2">
        <v>0</v>
      </c>
      <c r="K5" s="2" t="str" cm="1">
        <f t="array" ref="K5">_xlfn.IFS(a.nike.original.man[[#This Row],[Reviews]]&lt;=7, "Below Average", a.nike.original.man[[#This Row],[Reviews]]&gt;=8, "Average +")</f>
        <v>Below Average</v>
      </c>
      <c r="L5" s="12" t="s">
        <v>1503</v>
      </c>
      <c r="M5" s="2" t="s">
        <v>1470</v>
      </c>
      <c r="Q5" s="14">
        <v>0.65482638888888889</v>
      </c>
      <c r="R5" s="14">
        <v>0.64439814814814811</v>
      </c>
      <c r="S5" s="15">
        <f>Q5-R5</f>
        <v>1.042824074074078E-2</v>
      </c>
    </row>
    <row r="6" spans="1:19" x14ac:dyDescent="0.2">
      <c r="A6" s="1" t="s">
        <v>20</v>
      </c>
      <c r="B6" s="1" t="s">
        <v>21</v>
      </c>
      <c r="C6" s="330">
        <v>0</v>
      </c>
      <c r="D6" s="330">
        <v>100</v>
      </c>
      <c r="E6" s="1">
        <v>0</v>
      </c>
      <c r="F6" s="1" t="s">
        <v>9</v>
      </c>
      <c r="G6" s="1" t="s">
        <v>22</v>
      </c>
      <c r="H6" s="1">
        <v>0</v>
      </c>
      <c r="I6" s="1" t="str" cm="1">
        <f t="array" ref="I6">_xlfn.IFS(a.nike.original.man[[#This Row],[Rating]]&lt;=2.9, "0 - 2.9",a.nike.original.man[[#This Row],[Rating]]&lt;=3.9,"3 - 3.9", a.nike.original.man[[#This Row],[Rating]]&lt;=5,"4 - 5")</f>
        <v>0 - 2.9</v>
      </c>
      <c r="J6" s="1">
        <v>0</v>
      </c>
      <c r="K6" s="1" t="str" cm="1">
        <f t="array" ref="K6">_xlfn.IFS(a.nike.original.man[[#This Row],[Reviews]]&lt;=7, "Below Average", a.nike.original.man[[#This Row],[Reviews]]&gt;=8, "Average +")</f>
        <v>Below Average</v>
      </c>
      <c r="L6" s="11" t="s">
        <v>1503</v>
      </c>
      <c r="M6" s="1" t="s">
        <v>1470</v>
      </c>
    </row>
    <row r="7" spans="1:19" x14ac:dyDescent="0.2">
      <c r="A7" s="2" t="s">
        <v>23</v>
      </c>
      <c r="B7" s="2" t="s">
        <v>24</v>
      </c>
      <c r="C7" s="331">
        <v>0</v>
      </c>
      <c r="D7" s="331">
        <v>100</v>
      </c>
      <c r="E7" s="2">
        <v>0</v>
      </c>
      <c r="F7" s="2" t="s">
        <v>9</v>
      </c>
      <c r="G7" s="2" t="s">
        <v>25</v>
      </c>
      <c r="H7" s="2">
        <v>0</v>
      </c>
      <c r="I7" s="2" t="str" cm="1">
        <f t="array" ref="I7">_xlfn.IFS(a.nike.original.man[[#This Row],[Rating]]&lt;=2.9, "0 - 2.9",a.nike.original.man[[#This Row],[Rating]]&lt;=3.9,"3 - 3.9", a.nike.original.man[[#This Row],[Rating]]&lt;=5,"4 - 5")</f>
        <v>0 - 2.9</v>
      </c>
      <c r="J7" s="2">
        <v>0</v>
      </c>
      <c r="K7" s="2" t="str" cm="1">
        <f t="array" ref="K7">_xlfn.IFS(a.nike.original.man[[#This Row],[Reviews]]&lt;=7, "Below Average", a.nike.original.man[[#This Row],[Reviews]]&gt;=8, "Average +")</f>
        <v>Below Average</v>
      </c>
      <c r="L7" s="12" t="s">
        <v>1504</v>
      </c>
      <c r="M7" s="2" t="s">
        <v>1470</v>
      </c>
    </row>
    <row r="8" spans="1:19" x14ac:dyDescent="0.2">
      <c r="A8" s="1" t="s">
        <v>26</v>
      </c>
      <c r="B8" s="1" t="s">
        <v>27</v>
      </c>
      <c r="C8" s="330">
        <v>0</v>
      </c>
      <c r="D8" s="330">
        <v>60</v>
      </c>
      <c r="E8" s="1">
        <v>0</v>
      </c>
      <c r="F8" s="1" t="s">
        <v>9</v>
      </c>
      <c r="G8" s="1" t="s">
        <v>28</v>
      </c>
      <c r="H8" s="1">
        <v>0</v>
      </c>
      <c r="I8" s="1" t="str" cm="1">
        <f t="array" ref="I8">_xlfn.IFS(a.nike.original.man[[#This Row],[Rating]]&lt;=2.9, "0 - 2.9",a.nike.original.man[[#This Row],[Rating]]&lt;=3.9,"3 - 3.9", a.nike.original.man[[#This Row],[Rating]]&lt;=5,"4 - 5")</f>
        <v>0 - 2.9</v>
      </c>
      <c r="J8" s="1">
        <v>0</v>
      </c>
      <c r="K8" s="1" t="str" cm="1">
        <f t="array" ref="K8">_xlfn.IFS(a.nike.original.man[[#This Row],[Reviews]]&lt;=7, "Below Average", a.nike.original.man[[#This Row],[Reviews]]&gt;=8, "Average +")</f>
        <v>Below Average</v>
      </c>
      <c r="L8" s="11" t="s">
        <v>1504</v>
      </c>
      <c r="M8" s="1" t="s">
        <v>1470</v>
      </c>
    </row>
    <row r="9" spans="1:19" x14ac:dyDescent="0.2">
      <c r="A9" s="2" t="s">
        <v>34</v>
      </c>
      <c r="B9" s="2" t="s">
        <v>35</v>
      </c>
      <c r="C9" s="331">
        <v>0</v>
      </c>
      <c r="D9" s="331">
        <v>150</v>
      </c>
      <c r="E9" s="116">
        <v>0</v>
      </c>
      <c r="F9" s="2" t="s">
        <v>9</v>
      </c>
      <c r="G9" s="2" t="s">
        <v>36</v>
      </c>
      <c r="H9" s="2">
        <v>5</v>
      </c>
      <c r="I9" s="2" t="str" cm="1">
        <f t="array" ref="I9">_xlfn.IFS(a.nike.original.man[[#This Row],[Rating]]&lt;=2.9, "0 - 2.9",a.nike.original.man[[#This Row],[Rating]]&lt;=3.9,"3 - 3.9", a.nike.original.man[[#This Row],[Rating]]&lt;=5,"4 - 5")</f>
        <v>4 - 5</v>
      </c>
      <c r="J9" s="2">
        <v>2</v>
      </c>
      <c r="K9" s="2" t="str" cm="1">
        <f t="array" ref="K9">_xlfn.IFS(a.nike.original.man[[#This Row],[Reviews]]&lt;=7, "Below Average", a.nike.original.man[[#This Row],[Reviews]]&gt;=8, "Average +")</f>
        <v>Below Average</v>
      </c>
      <c r="L9" s="12" t="s">
        <v>1505</v>
      </c>
      <c r="M9" s="2" t="s">
        <v>1470</v>
      </c>
    </row>
    <row r="10" spans="1:19" x14ac:dyDescent="0.2">
      <c r="A10" s="2" t="s">
        <v>23</v>
      </c>
      <c r="B10" s="2" t="s">
        <v>29</v>
      </c>
      <c r="C10" s="331">
        <v>0</v>
      </c>
      <c r="D10" s="331">
        <v>100</v>
      </c>
      <c r="E10" s="116">
        <v>0</v>
      </c>
      <c r="F10" s="2" t="s">
        <v>9</v>
      </c>
      <c r="G10" s="2" t="s">
        <v>30</v>
      </c>
      <c r="H10" s="2">
        <v>5</v>
      </c>
      <c r="I10" s="2" t="str" cm="1">
        <f t="array" ref="I10">_xlfn.IFS(a.nike.original.man[[#This Row],[Rating]]&lt;=2.9, "0 - 2.9",a.nike.original.man[[#This Row],[Rating]]&lt;=3.9,"3 - 3.9", a.nike.original.man[[#This Row],[Rating]]&lt;=5,"4 - 5")</f>
        <v>4 - 5</v>
      </c>
      <c r="J10" s="2">
        <v>1</v>
      </c>
      <c r="K10" s="2" t="str" cm="1">
        <f t="array" ref="K10">_xlfn.IFS(a.nike.original.man[[#This Row],[Reviews]]&lt;=7, "Below Average", a.nike.original.man[[#This Row],[Reviews]]&gt;=8, "Average +")</f>
        <v>Below Average</v>
      </c>
      <c r="L10" s="12" t="s">
        <v>1505</v>
      </c>
      <c r="M10" s="2" t="s">
        <v>1470</v>
      </c>
    </row>
    <row r="11" spans="1:19" x14ac:dyDescent="0.2">
      <c r="A11" s="1" t="s">
        <v>31</v>
      </c>
      <c r="B11" s="1" t="s">
        <v>32</v>
      </c>
      <c r="C11" s="330">
        <v>0</v>
      </c>
      <c r="D11" s="330">
        <v>160</v>
      </c>
      <c r="E11" s="116">
        <v>0</v>
      </c>
      <c r="F11" s="1" t="s">
        <v>9</v>
      </c>
      <c r="G11" s="1" t="s">
        <v>33</v>
      </c>
      <c r="H11" s="1">
        <v>2.7</v>
      </c>
      <c r="I11" s="1" t="str" cm="1">
        <f t="array" ref="I11">_xlfn.IFS(a.nike.original.man[[#This Row],[Rating]]&lt;=2.9, "0 - 2.9",a.nike.original.man[[#This Row],[Rating]]&lt;=3.9,"3 - 3.9", a.nike.original.man[[#This Row],[Rating]]&lt;=5,"4 - 5")</f>
        <v>0 - 2.9</v>
      </c>
      <c r="J11" s="1">
        <v>14</v>
      </c>
      <c r="K11" s="1" t="str" cm="1">
        <f t="array" ref="K11">_xlfn.IFS(a.nike.original.man[[#This Row],[Reviews]]&lt;=7, "Below Average", a.nike.original.man[[#This Row],[Reviews]]&gt;=8, "Average +")</f>
        <v>Average +</v>
      </c>
      <c r="L11" s="11" t="s">
        <v>1505</v>
      </c>
      <c r="M11" s="1" t="s">
        <v>1470</v>
      </c>
    </row>
    <row r="12" spans="1:19" x14ac:dyDescent="0.2">
      <c r="A12" s="2" t="s">
        <v>11</v>
      </c>
      <c r="B12" s="2" t="s">
        <v>40</v>
      </c>
      <c r="C12" s="331">
        <v>0</v>
      </c>
      <c r="D12" s="331">
        <v>75</v>
      </c>
      <c r="E12" s="116">
        <v>0</v>
      </c>
      <c r="F12" s="2" t="s">
        <v>9</v>
      </c>
      <c r="G12" s="2" t="s">
        <v>41</v>
      </c>
      <c r="H12" s="2">
        <v>4.5</v>
      </c>
      <c r="I12" s="2" t="str" cm="1">
        <f t="array" ref="I12">_xlfn.IFS(a.nike.original.man[[#This Row],[Rating]]&lt;=2.9, "0 - 2.9",a.nike.original.man[[#This Row],[Rating]]&lt;=3.9,"3 - 3.9", a.nike.original.man[[#This Row],[Rating]]&lt;=5,"4 - 5")</f>
        <v>4 - 5</v>
      </c>
      <c r="J12" s="2">
        <v>67</v>
      </c>
      <c r="K12" s="2" t="str" cm="1">
        <f t="array" ref="K12">_xlfn.IFS(a.nike.original.man[[#This Row],[Reviews]]&lt;=7, "Below Average", a.nike.original.man[[#This Row],[Reviews]]&gt;=8, "Average +")</f>
        <v>Average +</v>
      </c>
      <c r="L12" s="12" t="s">
        <v>1506</v>
      </c>
      <c r="M12" s="2" t="s">
        <v>1470</v>
      </c>
    </row>
    <row r="13" spans="1:19" x14ac:dyDescent="0.2">
      <c r="A13" s="1" t="s">
        <v>37</v>
      </c>
      <c r="B13" s="1" t="s">
        <v>38</v>
      </c>
      <c r="C13" s="330">
        <v>0</v>
      </c>
      <c r="D13" s="330">
        <v>100</v>
      </c>
      <c r="E13" s="116">
        <v>0</v>
      </c>
      <c r="F13" s="1" t="s">
        <v>9</v>
      </c>
      <c r="G13" s="1" t="s">
        <v>39</v>
      </c>
      <c r="H13" s="1">
        <v>5</v>
      </c>
      <c r="I13" s="1" t="str" cm="1">
        <f t="array" ref="I13">_xlfn.IFS(a.nike.original.man[[#This Row],[Rating]]&lt;=2.9, "0 - 2.9",a.nike.original.man[[#This Row],[Rating]]&lt;=3.9,"3 - 3.9", a.nike.original.man[[#This Row],[Rating]]&lt;=5,"4 - 5")</f>
        <v>4 - 5</v>
      </c>
      <c r="J13" s="1">
        <v>9</v>
      </c>
      <c r="K13" s="1" t="str" cm="1">
        <f t="array" ref="K13">_xlfn.IFS(a.nike.original.man[[#This Row],[Reviews]]&lt;=7, "Below Average", a.nike.original.man[[#This Row],[Reviews]]&gt;=8, "Average +")</f>
        <v>Average +</v>
      </c>
      <c r="L13" s="11" t="s">
        <v>1506</v>
      </c>
      <c r="M13" s="1" t="s">
        <v>1470</v>
      </c>
    </row>
    <row r="14" spans="1:19" x14ac:dyDescent="0.2">
      <c r="A14" s="1" t="s">
        <v>42</v>
      </c>
      <c r="B14" s="1" t="s">
        <v>43</v>
      </c>
      <c r="C14" s="330">
        <v>0</v>
      </c>
      <c r="D14" s="330">
        <v>105</v>
      </c>
      <c r="E14" s="1">
        <v>0</v>
      </c>
      <c r="F14" s="1" t="s">
        <v>9</v>
      </c>
      <c r="G14" s="1" t="s">
        <v>44</v>
      </c>
      <c r="H14" s="1">
        <v>0</v>
      </c>
      <c r="I14" s="1" t="str" cm="1">
        <f t="array" ref="I14">_xlfn.IFS(a.nike.original.man[[#This Row],[Rating]]&lt;=2.9, "0 - 2.9",a.nike.original.man[[#This Row],[Rating]]&lt;=3.9,"3 - 3.9", a.nike.original.man[[#This Row],[Rating]]&lt;=5,"4 - 5")</f>
        <v>0 - 2.9</v>
      </c>
      <c r="J14" s="1">
        <v>0</v>
      </c>
      <c r="K14" s="1" t="str" cm="1">
        <f t="array" ref="K14">_xlfn.IFS(a.nike.original.man[[#This Row],[Reviews]]&lt;=7, "Below Average", a.nike.original.man[[#This Row],[Reviews]]&gt;=8, "Average +")</f>
        <v>Below Average</v>
      </c>
      <c r="L14" s="11" t="s">
        <v>1506</v>
      </c>
      <c r="M14" s="1" t="s">
        <v>1470</v>
      </c>
    </row>
    <row r="15" spans="1:19" x14ac:dyDescent="0.2">
      <c r="A15" s="2" t="s">
        <v>45</v>
      </c>
      <c r="B15" s="2" t="s">
        <v>46</v>
      </c>
      <c r="C15" s="331">
        <v>0</v>
      </c>
      <c r="D15" s="331">
        <v>80</v>
      </c>
      <c r="E15" s="2">
        <v>0</v>
      </c>
      <c r="F15" s="2" t="s">
        <v>9</v>
      </c>
      <c r="G15" s="2" t="s">
        <v>47</v>
      </c>
      <c r="H15" s="2">
        <v>0</v>
      </c>
      <c r="I15" s="2" t="str" cm="1">
        <f t="array" ref="I15">_xlfn.IFS(a.nike.original.man[[#This Row],[Rating]]&lt;=2.9, "0 - 2.9",a.nike.original.man[[#This Row],[Rating]]&lt;=3.9,"3 - 3.9", a.nike.original.man[[#This Row],[Rating]]&lt;=5,"4 - 5")</f>
        <v>0 - 2.9</v>
      </c>
      <c r="J15" s="2">
        <v>0</v>
      </c>
      <c r="K15" s="2" t="str" cm="1">
        <f t="array" ref="K15">_xlfn.IFS(a.nike.original.man[[#This Row],[Reviews]]&lt;=7, "Below Average", a.nike.original.man[[#This Row],[Reviews]]&gt;=8, "Average +")</f>
        <v>Below Average</v>
      </c>
      <c r="L15" s="12" t="s">
        <v>1506</v>
      </c>
      <c r="M15" s="2" t="s">
        <v>1470</v>
      </c>
    </row>
    <row r="16" spans="1:19" x14ac:dyDescent="0.2">
      <c r="A16" s="1" t="s">
        <v>48</v>
      </c>
      <c r="B16" s="1" t="s">
        <v>49</v>
      </c>
      <c r="C16" s="330">
        <v>0</v>
      </c>
      <c r="D16" s="330">
        <v>170</v>
      </c>
      <c r="E16" s="116">
        <v>0</v>
      </c>
      <c r="F16" s="1" t="s">
        <v>9</v>
      </c>
      <c r="G16" s="1" t="s">
        <v>50</v>
      </c>
      <c r="H16" s="1">
        <v>4.4000000000000004</v>
      </c>
      <c r="I16" s="1" t="str" cm="1">
        <f t="array" ref="I16">_xlfn.IFS(a.nike.original.man[[#This Row],[Rating]]&lt;=2.9, "0 - 2.9",a.nike.original.man[[#This Row],[Rating]]&lt;=3.9,"3 - 3.9", a.nike.original.man[[#This Row],[Rating]]&lt;=5,"4 - 5")</f>
        <v>4 - 5</v>
      </c>
      <c r="J16" s="1">
        <v>48</v>
      </c>
      <c r="K16" s="1" t="str" cm="1">
        <f t="array" ref="K16">_xlfn.IFS(a.nike.original.man[[#This Row],[Reviews]]&lt;=7, "Below Average", a.nike.original.man[[#This Row],[Reviews]]&gt;=8, "Average +")</f>
        <v>Average +</v>
      </c>
      <c r="L16" s="11" t="s">
        <v>1507</v>
      </c>
      <c r="M16" s="1" t="s">
        <v>1470</v>
      </c>
    </row>
    <row r="17" spans="1:13" x14ac:dyDescent="0.2">
      <c r="A17" s="2" t="s">
        <v>51</v>
      </c>
      <c r="B17" s="2" t="s">
        <v>52</v>
      </c>
      <c r="C17" s="331">
        <v>0</v>
      </c>
      <c r="D17" s="331">
        <v>100</v>
      </c>
      <c r="E17" s="116">
        <v>0</v>
      </c>
      <c r="F17" s="2" t="s">
        <v>9</v>
      </c>
      <c r="G17" s="2" t="s">
        <v>53</v>
      </c>
      <c r="H17" s="2">
        <v>4.4000000000000004</v>
      </c>
      <c r="I17" s="2" t="str" cm="1">
        <f t="array" ref="I17">_xlfn.IFS(a.nike.original.man[[#This Row],[Rating]]&lt;=2.9, "0 - 2.9",a.nike.original.man[[#This Row],[Rating]]&lt;=3.9,"3 - 3.9", a.nike.original.man[[#This Row],[Rating]]&lt;=5,"4 - 5")</f>
        <v>4 - 5</v>
      </c>
      <c r="J17" s="2">
        <v>34</v>
      </c>
      <c r="K17" s="2" t="str" cm="1">
        <f t="array" ref="K17">_xlfn.IFS(a.nike.original.man[[#This Row],[Reviews]]&lt;=7, "Below Average", a.nike.original.man[[#This Row],[Reviews]]&gt;=8, "Average +")</f>
        <v>Average +</v>
      </c>
      <c r="L17" s="12" t="s">
        <v>1507</v>
      </c>
      <c r="M17" s="2" t="s">
        <v>1470</v>
      </c>
    </row>
    <row r="18" spans="1:13" x14ac:dyDescent="0.2">
      <c r="A18" s="2" t="s">
        <v>56</v>
      </c>
      <c r="B18" s="2" t="s">
        <v>57</v>
      </c>
      <c r="C18" s="331">
        <v>0</v>
      </c>
      <c r="D18" s="331">
        <v>170</v>
      </c>
      <c r="E18" s="116">
        <v>0</v>
      </c>
      <c r="F18" s="2" t="s">
        <v>9</v>
      </c>
      <c r="G18" s="2" t="s">
        <v>58</v>
      </c>
      <c r="H18" s="2">
        <v>4.3</v>
      </c>
      <c r="I18" s="2" t="str" cm="1">
        <f t="array" ref="I18">_xlfn.IFS(a.nike.original.man[[#This Row],[Rating]]&lt;=2.9, "0 - 2.9",a.nike.original.man[[#This Row],[Rating]]&lt;=3.9,"3 - 3.9", a.nike.original.man[[#This Row],[Rating]]&lt;=5,"4 - 5")</f>
        <v>4 - 5</v>
      </c>
      <c r="J18" s="2">
        <v>16</v>
      </c>
      <c r="K18" s="2" t="str" cm="1">
        <f t="array" ref="K18">_xlfn.IFS(a.nike.original.man[[#This Row],[Reviews]]&lt;=7, "Below Average", a.nike.original.man[[#This Row],[Reviews]]&gt;=8, "Average +")</f>
        <v>Average +</v>
      </c>
      <c r="L18" s="12" t="s">
        <v>1508</v>
      </c>
      <c r="M18" s="2" t="s">
        <v>1470</v>
      </c>
    </row>
    <row r="19" spans="1:13" x14ac:dyDescent="0.2">
      <c r="A19" s="1" t="s">
        <v>34</v>
      </c>
      <c r="B19" s="1" t="s">
        <v>54</v>
      </c>
      <c r="C19" s="330">
        <v>0</v>
      </c>
      <c r="D19" s="330">
        <v>150</v>
      </c>
      <c r="E19" s="1">
        <v>0</v>
      </c>
      <c r="F19" s="1" t="s">
        <v>9</v>
      </c>
      <c r="G19" s="1" t="s">
        <v>55</v>
      </c>
      <c r="H19" s="1">
        <v>0</v>
      </c>
      <c r="I19" s="1" t="str" cm="1">
        <f t="array" ref="I19">_xlfn.IFS(a.nike.original.man[[#This Row],[Rating]]&lt;=2.9, "0 - 2.9",a.nike.original.man[[#This Row],[Rating]]&lt;=3.9,"3 - 3.9", a.nike.original.man[[#This Row],[Rating]]&lt;=5,"4 - 5")</f>
        <v>0 - 2.9</v>
      </c>
      <c r="J19" s="1">
        <v>0</v>
      </c>
      <c r="K19" s="1" t="str" cm="1">
        <f t="array" ref="K19">_xlfn.IFS(a.nike.original.man[[#This Row],[Reviews]]&lt;=7, "Below Average", a.nike.original.man[[#This Row],[Reviews]]&gt;=8, "Average +")</f>
        <v>Below Average</v>
      </c>
      <c r="L19" s="11" t="s">
        <v>1508</v>
      </c>
      <c r="M19" s="1" t="s">
        <v>1470</v>
      </c>
    </row>
    <row r="20" spans="1:13" x14ac:dyDescent="0.2">
      <c r="A20" s="1" t="s">
        <v>11</v>
      </c>
      <c r="B20" s="1" t="s">
        <v>59</v>
      </c>
      <c r="C20" s="330">
        <v>0</v>
      </c>
      <c r="D20" s="330">
        <v>80</v>
      </c>
      <c r="E20" s="1">
        <v>0</v>
      </c>
      <c r="F20" s="1" t="s">
        <v>9</v>
      </c>
      <c r="G20" s="1" t="s">
        <v>60</v>
      </c>
      <c r="H20" s="1">
        <v>0</v>
      </c>
      <c r="I20" s="1" t="str" cm="1">
        <f t="array" ref="I20">_xlfn.IFS(a.nike.original.man[[#This Row],[Rating]]&lt;=2.9, "0 - 2.9",a.nike.original.man[[#This Row],[Rating]]&lt;=3.9,"3 - 3.9", a.nike.original.man[[#This Row],[Rating]]&lt;=5,"4 - 5")</f>
        <v>0 - 2.9</v>
      </c>
      <c r="J20" s="1">
        <v>0</v>
      </c>
      <c r="K20" s="1" t="str" cm="1">
        <f t="array" ref="K20">_xlfn.IFS(a.nike.original.man[[#This Row],[Reviews]]&lt;=7, "Below Average", a.nike.original.man[[#This Row],[Reviews]]&gt;=8, "Average +")</f>
        <v>Below Average</v>
      </c>
      <c r="L20" s="11" t="s">
        <v>1509</v>
      </c>
      <c r="M20" s="1" t="s">
        <v>1470</v>
      </c>
    </row>
    <row r="21" spans="1:13" x14ac:dyDescent="0.2">
      <c r="A21" s="2" t="s">
        <v>66</v>
      </c>
      <c r="B21" s="2" t="s">
        <v>67</v>
      </c>
      <c r="C21" s="331">
        <v>79.95</v>
      </c>
      <c r="D21" s="331">
        <v>56</v>
      </c>
      <c r="E21" s="116">
        <v>0.3</v>
      </c>
      <c r="F21" s="2" t="s">
        <v>9</v>
      </c>
      <c r="G21" s="2" t="s">
        <v>68</v>
      </c>
      <c r="H21" s="2">
        <v>4.2</v>
      </c>
      <c r="I21" s="2" t="str" cm="1">
        <f t="array" ref="I21">_xlfn.IFS(a.nike.original.man[[#This Row],[Rating]]&lt;=2.9, "0 - 2.9",a.nike.original.man[[#This Row],[Rating]]&lt;=3.9,"3 - 3.9", a.nike.original.man[[#This Row],[Rating]]&lt;=5,"4 - 5")</f>
        <v>4 - 5</v>
      </c>
      <c r="J21" s="2">
        <v>6</v>
      </c>
      <c r="K21" s="2" t="str" cm="1">
        <f t="array" ref="K21">_xlfn.IFS(a.nike.original.man[[#This Row],[Reviews]]&lt;=7, "Below Average", a.nike.original.man[[#This Row],[Reviews]]&gt;=8, "Average +")</f>
        <v>Below Average</v>
      </c>
      <c r="L21" s="12" t="s">
        <v>1510</v>
      </c>
      <c r="M21" s="2" t="s">
        <v>1470</v>
      </c>
    </row>
    <row r="22" spans="1:13" x14ac:dyDescent="0.2">
      <c r="A22" s="2" t="s">
        <v>61</v>
      </c>
      <c r="B22" s="2" t="s">
        <v>62</v>
      </c>
      <c r="C22" s="331">
        <v>0</v>
      </c>
      <c r="D22" s="331">
        <v>55</v>
      </c>
      <c r="E22" s="116">
        <v>0</v>
      </c>
      <c r="F22" s="2" t="s">
        <v>9</v>
      </c>
      <c r="G22" s="2" t="s">
        <v>63</v>
      </c>
      <c r="H22" s="2">
        <v>0</v>
      </c>
      <c r="I22" s="2" t="str" cm="1">
        <f t="array" ref="I22">_xlfn.IFS(a.nike.original.man[[#This Row],[Rating]]&lt;=2.9, "0 - 2.9",a.nike.original.man[[#This Row],[Rating]]&lt;=3.9,"3 - 3.9", a.nike.original.man[[#This Row],[Rating]]&lt;=5,"4 - 5")</f>
        <v>0 - 2.9</v>
      </c>
      <c r="J22" s="2">
        <v>0</v>
      </c>
      <c r="K22" s="2" t="str" cm="1">
        <f t="array" ref="K22">_xlfn.IFS(a.nike.original.man[[#This Row],[Reviews]]&lt;=7, "Below Average", a.nike.original.man[[#This Row],[Reviews]]&gt;=8, "Average +")</f>
        <v>Below Average</v>
      </c>
      <c r="L22" s="12" t="s">
        <v>1510</v>
      </c>
      <c r="M22" s="2" t="s">
        <v>1470</v>
      </c>
    </row>
    <row r="23" spans="1:13" x14ac:dyDescent="0.2">
      <c r="A23" s="1" t="s">
        <v>56</v>
      </c>
      <c r="B23" s="1" t="s">
        <v>64</v>
      </c>
      <c r="C23" s="330">
        <v>0</v>
      </c>
      <c r="D23" s="330">
        <v>160</v>
      </c>
      <c r="E23" s="116">
        <v>0</v>
      </c>
      <c r="F23" s="1" t="s">
        <v>9</v>
      </c>
      <c r="G23" s="1" t="s">
        <v>65</v>
      </c>
      <c r="H23" s="1">
        <v>0</v>
      </c>
      <c r="I23" s="1" t="str" cm="1">
        <f t="array" ref="I23">_xlfn.IFS(a.nike.original.man[[#This Row],[Rating]]&lt;=2.9, "0 - 2.9",a.nike.original.man[[#This Row],[Rating]]&lt;=3.9,"3 - 3.9", a.nike.original.man[[#This Row],[Rating]]&lt;=5,"4 - 5")</f>
        <v>0 - 2.9</v>
      </c>
      <c r="J23" s="1">
        <v>0</v>
      </c>
      <c r="K23" s="1" t="str" cm="1">
        <f t="array" ref="K23">_xlfn.IFS(a.nike.original.man[[#This Row],[Reviews]]&lt;=7, "Below Average", a.nike.original.man[[#This Row],[Reviews]]&gt;=8, "Average +")</f>
        <v>Below Average</v>
      </c>
      <c r="L23" s="11" t="s">
        <v>1510</v>
      </c>
      <c r="M23" s="1" t="s">
        <v>1470</v>
      </c>
    </row>
    <row r="24" spans="1:13" x14ac:dyDescent="0.2">
      <c r="A24" s="1" t="s">
        <v>69</v>
      </c>
      <c r="B24" s="1" t="s">
        <v>70</v>
      </c>
      <c r="C24" s="330">
        <v>0</v>
      </c>
      <c r="D24" s="330">
        <v>150</v>
      </c>
      <c r="E24" s="116">
        <v>0</v>
      </c>
      <c r="F24" s="1" t="s">
        <v>9</v>
      </c>
      <c r="G24" s="1" t="s">
        <v>71</v>
      </c>
      <c r="H24" s="1">
        <v>5</v>
      </c>
      <c r="I24" s="1" t="str" cm="1">
        <f t="array" ref="I24">_xlfn.IFS(a.nike.original.man[[#This Row],[Rating]]&lt;=2.9, "0 - 2.9",a.nike.original.man[[#This Row],[Rating]]&lt;=3.9,"3 - 3.9", a.nike.original.man[[#This Row],[Rating]]&lt;=5,"4 - 5")</f>
        <v>4 - 5</v>
      </c>
      <c r="J24" s="1">
        <v>2</v>
      </c>
      <c r="K24" s="1" t="str" cm="1">
        <f t="array" ref="K24">_xlfn.IFS(a.nike.original.man[[#This Row],[Reviews]]&lt;=7, "Below Average", a.nike.original.man[[#This Row],[Reviews]]&gt;=8, "Average +")</f>
        <v>Below Average</v>
      </c>
      <c r="L24" s="11" t="s">
        <v>1511</v>
      </c>
      <c r="M24" s="1" t="s">
        <v>1470</v>
      </c>
    </row>
    <row r="25" spans="1:13" x14ac:dyDescent="0.2">
      <c r="A25" s="2" t="s">
        <v>72</v>
      </c>
      <c r="B25" s="2" t="s">
        <v>73</v>
      </c>
      <c r="C25" s="331">
        <v>0</v>
      </c>
      <c r="D25" s="331">
        <v>110</v>
      </c>
      <c r="E25" s="116">
        <v>0</v>
      </c>
      <c r="F25" s="2" t="s">
        <v>9</v>
      </c>
      <c r="G25" s="2" t="s">
        <v>74</v>
      </c>
      <c r="H25" s="2">
        <v>4.4000000000000004</v>
      </c>
      <c r="I25" s="2" t="str" cm="1">
        <f t="array" ref="I25">_xlfn.IFS(a.nike.original.man[[#This Row],[Rating]]&lt;=2.9, "0 - 2.9",a.nike.original.man[[#This Row],[Rating]]&lt;=3.9,"3 - 3.9", a.nike.original.man[[#This Row],[Rating]]&lt;=5,"4 - 5")</f>
        <v>4 - 5</v>
      </c>
      <c r="J25" s="2">
        <v>22</v>
      </c>
      <c r="K25" s="2" t="str" cm="1">
        <f t="array" ref="K25">_xlfn.IFS(a.nike.original.man[[#This Row],[Reviews]]&lt;=7, "Below Average", a.nike.original.man[[#This Row],[Reviews]]&gt;=8, "Average +")</f>
        <v>Average +</v>
      </c>
      <c r="L25" s="12" t="s">
        <v>1511</v>
      </c>
      <c r="M25" s="2" t="s">
        <v>1470</v>
      </c>
    </row>
    <row r="26" spans="1:13" x14ac:dyDescent="0.2">
      <c r="A26" s="2" t="s">
        <v>78</v>
      </c>
      <c r="B26" s="2" t="s">
        <v>79</v>
      </c>
      <c r="C26" s="331">
        <v>0</v>
      </c>
      <c r="D26" s="331">
        <v>150</v>
      </c>
      <c r="E26" s="116">
        <v>0</v>
      </c>
      <c r="F26" s="2" t="s">
        <v>9</v>
      </c>
      <c r="G26" s="2" t="s">
        <v>80</v>
      </c>
      <c r="H26" s="2">
        <v>4</v>
      </c>
      <c r="I26" s="2" t="str" cm="1">
        <f t="array" ref="I26">_xlfn.IFS(a.nike.original.man[[#This Row],[Rating]]&lt;=2.9, "0 - 2.9",a.nike.original.man[[#This Row],[Rating]]&lt;=3.9,"3 - 3.9", a.nike.original.man[[#This Row],[Rating]]&lt;=5,"4 - 5")</f>
        <v>4 - 5</v>
      </c>
      <c r="J26" s="2">
        <v>65</v>
      </c>
      <c r="K26" s="2" t="str" cm="1">
        <f t="array" ref="K26">_xlfn.IFS(a.nike.original.man[[#This Row],[Reviews]]&lt;=7, "Below Average", a.nike.original.man[[#This Row],[Reviews]]&gt;=8, "Average +")</f>
        <v>Average +</v>
      </c>
      <c r="L26" s="12" t="s">
        <v>1512</v>
      </c>
      <c r="M26" s="2" t="s">
        <v>1470</v>
      </c>
    </row>
    <row r="27" spans="1:13" x14ac:dyDescent="0.2">
      <c r="A27" s="2" t="s">
        <v>83</v>
      </c>
      <c r="B27" s="2" t="s">
        <v>84</v>
      </c>
      <c r="C27" s="331">
        <v>0</v>
      </c>
      <c r="D27" s="331">
        <v>190</v>
      </c>
      <c r="E27" s="116">
        <v>0</v>
      </c>
      <c r="F27" s="2" t="s">
        <v>9</v>
      </c>
      <c r="G27" s="2" t="s">
        <v>85</v>
      </c>
      <c r="H27" s="2">
        <v>4</v>
      </c>
      <c r="I27" s="2" t="str" cm="1">
        <f t="array" ref="I27">_xlfn.IFS(a.nike.original.man[[#This Row],[Rating]]&lt;=2.9, "0 - 2.9",a.nike.original.man[[#This Row],[Rating]]&lt;=3.9,"3 - 3.9", a.nike.original.man[[#This Row],[Rating]]&lt;=5,"4 - 5")</f>
        <v>4 - 5</v>
      </c>
      <c r="J27" s="2">
        <v>1</v>
      </c>
      <c r="K27" s="2" t="str" cm="1">
        <f t="array" ref="K27">_xlfn.IFS(a.nike.original.man[[#This Row],[Reviews]]&lt;=7, "Below Average", a.nike.original.man[[#This Row],[Reviews]]&gt;=8, "Average +")</f>
        <v>Below Average</v>
      </c>
      <c r="L27" s="12" t="s">
        <v>1512</v>
      </c>
      <c r="M27" s="2" t="s">
        <v>1470</v>
      </c>
    </row>
    <row r="28" spans="1:13" x14ac:dyDescent="0.2">
      <c r="A28" s="1" t="s">
        <v>75</v>
      </c>
      <c r="B28" s="1" t="s">
        <v>76</v>
      </c>
      <c r="C28" s="330">
        <v>0</v>
      </c>
      <c r="D28" s="330">
        <v>120</v>
      </c>
      <c r="E28" s="116">
        <v>0</v>
      </c>
      <c r="F28" s="1" t="s">
        <v>9</v>
      </c>
      <c r="G28" s="1" t="s">
        <v>77</v>
      </c>
      <c r="H28" s="1">
        <v>0</v>
      </c>
      <c r="I28" s="1" t="str" cm="1">
        <f t="array" ref="I28">_xlfn.IFS(a.nike.original.man[[#This Row],[Rating]]&lt;=2.9, "0 - 2.9",a.nike.original.man[[#This Row],[Rating]]&lt;=3.9,"3 - 3.9", a.nike.original.man[[#This Row],[Rating]]&lt;=5,"4 - 5")</f>
        <v>0 - 2.9</v>
      </c>
      <c r="J28" s="1">
        <v>0</v>
      </c>
      <c r="K28" s="1" t="str" cm="1">
        <f t="array" ref="K28">_xlfn.IFS(a.nike.original.man[[#This Row],[Reviews]]&lt;=7, "Below Average", a.nike.original.man[[#This Row],[Reviews]]&gt;=8, "Average +")</f>
        <v>Below Average</v>
      </c>
      <c r="L28" s="11" t="s">
        <v>1512</v>
      </c>
      <c r="M28" s="1" t="s">
        <v>1470</v>
      </c>
    </row>
    <row r="29" spans="1:13" x14ac:dyDescent="0.2">
      <c r="A29" s="1" t="s">
        <v>37</v>
      </c>
      <c r="B29" s="1" t="s">
        <v>81</v>
      </c>
      <c r="C29" s="330">
        <v>0</v>
      </c>
      <c r="D29" s="330">
        <v>100</v>
      </c>
      <c r="E29" s="116">
        <v>0</v>
      </c>
      <c r="F29" s="1" t="s">
        <v>9</v>
      </c>
      <c r="G29" s="1" t="s">
        <v>82</v>
      </c>
      <c r="H29" s="1">
        <v>0</v>
      </c>
      <c r="I29" s="1" t="str" cm="1">
        <f t="array" ref="I29">_xlfn.IFS(a.nike.original.man[[#This Row],[Rating]]&lt;=2.9, "0 - 2.9",a.nike.original.man[[#This Row],[Rating]]&lt;=3.9,"3 - 3.9", a.nike.original.man[[#This Row],[Rating]]&lt;=5,"4 - 5")</f>
        <v>0 - 2.9</v>
      </c>
      <c r="J29" s="1">
        <v>0</v>
      </c>
      <c r="K29" s="1" t="str" cm="1">
        <f t="array" ref="K29">_xlfn.IFS(a.nike.original.man[[#This Row],[Reviews]]&lt;=7, "Below Average", a.nike.original.man[[#This Row],[Reviews]]&gt;=8, "Average +")</f>
        <v>Below Average</v>
      </c>
      <c r="L29" s="11" t="s">
        <v>1512</v>
      </c>
      <c r="M29" s="1" t="s">
        <v>1470</v>
      </c>
    </row>
    <row r="30" spans="1:13" x14ac:dyDescent="0.2">
      <c r="A30" s="1" t="s">
        <v>91</v>
      </c>
      <c r="B30" s="1" t="s">
        <v>92</v>
      </c>
      <c r="C30" s="330">
        <v>0</v>
      </c>
      <c r="D30" s="330">
        <v>20</v>
      </c>
      <c r="E30" s="116">
        <v>0</v>
      </c>
      <c r="F30" s="1" t="s">
        <v>9</v>
      </c>
      <c r="G30" s="1" t="s">
        <v>93</v>
      </c>
      <c r="H30" s="1">
        <v>4.2</v>
      </c>
      <c r="I30" s="1" t="str" cm="1">
        <f t="array" ref="I30">_xlfn.IFS(a.nike.original.man[[#This Row],[Rating]]&lt;=2.9, "0 - 2.9",a.nike.original.man[[#This Row],[Rating]]&lt;=3.9,"3 - 3.9", a.nike.original.man[[#This Row],[Rating]]&lt;=5,"4 - 5")</f>
        <v>4 - 5</v>
      </c>
      <c r="J30" s="1">
        <v>5</v>
      </c>
      <c r="K30" s="1" t="str" cm="1">
        <f t="array" ref="K30">_xlfn.IFS(a.nike.original.man[[#This Row],[Reviews]]&lt;=7, "Below Average", a.nike.original.man[[#This Row],[Reviews]]&gt;=8, "Average +")</f>
        <v>Below Average</v>
      </c>
      <c r="L30" s="11" t="s">
        <v>1513</v>
      </c>
      <c r="M30" s="1" t="s">
        <v>1470</v>
      </c>
    </row>
    <row r="31" spans="1:13" x14ac:dyDescent="0.2">
      <c r="A31" s="1" t="s">
        <v>86</v>
      </c>
      <c r="B31" s="1" t="s">
        <v>87</v>
      </c>
      <c r="C31" s="330">
        <v>0</v>
      </c>
      <c r="D31" s="330">
        <v>25</v>
      </c>
      <c r="E31" s="116">
        <v>0</v>
      </c>
      <c r="F31" s="1" t="s">
        <v>9</v>
      </c>
      <c r="G31" s="1" t="s">
        <v>88</v>
      </c>
      <c r="H31" s="1">
        <v>4.3</v>
      </c>
      <c r="I31" s="1" t="str" cm="1">
        <f t="array" ref="I31">_xlfn.IFS(a.nike.original.man[[#This Row],[Rating]]&lt;=2.9, "0 - 2.9",a.nike.original.man[[#This Row],[Rating]]&lt;=3.9,"3 - 3.9", a.nike.original.man[[#This Row],[Rating]]&lt;=5,"4 - 5")</f>
        <v>4 - 5</v>
      </c>
      <c r="J31" s="1">
        <v>4</v>
      </c>
      <c r="K31" s="1" t="str" cm="1">
        <f t="array" ref="K31">_xlfn.IFS(a.nike.original.man[[#This Row],[Reviews]]&lt;=7, "Below Average", a.nike.original.man[[#This Row],[Reviews]]&gt;=8, "Average +")</f>
        <v>Below Average</v>
      </c>
      <c r="L31" s="11" t="s">
        <v>1513</v>
      </c>
      <c r="M31" s="1" t="s">
        <v>1470</v>
      </c>
    </row>
    <row r="32" spans="1:13" x14ac:dyDescent="0.2">
      <c r="A32" s="2" t="s">
        <v>75</v>
      </c>
      <c r="B32" s="2" t="s">
        <v>89</v>
      </c>
      <c r="C32" s="331">
        <v>0</v>
      </c>
      <c r="D32" s="331">
        <v>120</v>
      </c>
      <c r="E32" s="116">
        <v>0</v>
      </c>
      <c r="F32" s="2" t="s">
        <v>9</v>
      </c>
      <c r="G32" s="2" t="s">
        <v>90</v>
      </c>
      <c r="H32" s="2">
        <v>0</v>
      </c>
      <c r="I32" s="2" t="str" cm="1">
        <f t="array" ref="I32">_xlfn.IFS(a.nike.original.man[[#This Row],[Rating]]&lt;=2.9, "0 - 2.9",a.nike.original.man[[#This Row],[Rating]]&lt;=3.9,"3 - 3.9", a.nike.original.man[[#This Row],[Rating]]&lt;=5,"4 - 5")</f>
        <v>0 - 2.9</v>
      </c>
      <c r="J32" s="2">
        <v>0</v>
      </c>
      <c r="K32" s="2" t="str" cm="1">
        <f t="array" ref="K32">_xlfn.IFS(a.nike.original.man[[#This Row],[Reviews]]&lt;=7, "Below Average", a.nike.original.man[[#This Row],[Reviews]]&gt;=8, "Average +")</f>
        <v>Below Average</v>
      </c>
      <c r="L32" s="12" t="s">
        <v>1513</v>
      </c>
      <c r="M32" s="2" t="s">
        <v>1470</v>
      </c>
    </row>
    <row r="33" spans="1:13" x14ac:dyDescent="0.2">
      <c r="A33" s="1" t="s">
        <v>97</v>
      </c>
      <c r="B33" s="1" t="s">
        <v>98</v>
      </c>
      <c r="C33" s="330">
        <v>0</v>
      </c>
      <c r="D33" s="330">
        <v>60</v>
      </c>
      <c r="E33" s="116">
        <v>0</v>
      </c>
      <c r="F33" s="1" t="s">
        <v>9</v>
      </c>
      <c r="G33" s="1" t="s">
        <v>99</v>
      </c>
      <c r="H33" s="1">
        <v>4.9000000000000004</v>
      </c>
      <c r="I33" s="1" t="str" cm="1">
        <f t="array" ref="I33">_xlfn.IFS(a.nike.original.man[[#This Row],[Rating]]&lt;=2.9, "0 - 2.9",a.nike.original.man[[#This Row],[Rating]]&lt;=3.9,"3 - 3.9", a.nike.original.man[[#This Row],[Rating]]&lt;=5,"4 - 5")</f>
        <v>4 - 5</v>
      </c>
      <c r="J33" s="1">
        <v>7</v>
      </c>
      <c r="K33" s="1" t="str" cm="1">
        <f t="array" ref="K33">_xlfn.IFS(a.nike.original.man[[#This Row],[Reviews]]&lt;=7, "Below Average", a.nike.original.man[[#This Row],[Reviews]]&gt;=8, "Average +")</f>
        <v>Below Average</v>
      </c>
      <c r="L33" s="11" t="s">
        <v>1514</v>
      </c>
      <c r="M33" s="1" t="s">
        <v>1470</v>
      </c>
    </row>
    <row r="34" spans="1:13" x14ac:dyDescent="0.2">
      <c r="A34" s="2" t="s">
        <v>94</v>
      </c>
      <c r="B34" s="2" t="s">
        <v>95</v>
      </c>
      <c r="C34" s="331">
        <v>0</v>
      </c>
      <c r="D34" s="331">
        <v>170</v>
      </c>
      <c r="E34" s="116">
        <v>0</v>
      </c>
      <c r="F34" s="2" t="s">
        <v>9</v>
      </c>
      <c r="G34" s="2" t="s">
        <v>96</v>
      </c>
      <c r="H34" s="2">
        <v>5</v>
      </c>
      <c r="I34" s="2" t="str" cm="1">
        <f t="array" ref="I34">_xlfn.IFS(a.nike.original.man[[#This Row],[Rating]]&lt;=2.9, "0 - 2.9",a.nike.original.man[[#This Row],[Rating]]&lt;=3.9,"3 - 3.9", a.nike.original.man[[#This Row],[Rating]]&lt;=5,"4 - 5")</f>
        <v>4 - 5</v>
      </c>
      <c r="J34" s="2">
        <v>1</v>
      </c>
      <c r="K34" s="2" t="str" cm="1">
        <f t="array" ref="K34">_xlfn.IFS(a.nike.original.man[[#This Row],[Reviews]]&lt;=7, "Below Average", a.nike.original.man[[#This Row],[Reviews]]&gt;=8, "Average +")</f>
        <v>Below Average</v>
      </c>
      <c r="L34" s="12" t="s">
        <v>1514</v>
      </c>
      <c r="M34" s="2" t="s">
        <v>1470</v>
      </c>
    </row>
    <row r="35" spans="1:13" x14ac:dyDescent="0.2">
      <c r="A35" s="2" t="s">
        <v>100</v>
      </c>
      <c r="B35" s="2" t="s">
        <v>101</v>
      </c>
      <c r="C35" s="331">
        <v>159.94999999999999</v>
      </c>
      <c r="D35" s="331">
        <v>120</v>
      </c>
      <c r="E35" s="116">
        <v>0.25</v>
      </c>
      <c r="F35" s="2" t="s">
        <v>9</v>
      </c>
      <c r="G35" s="2" t="s">
        <v>80</v>
      </c>
      <c r="H35" s="2">
        <v>0</v>
      </c>
      <c r="I35" s="2" t="str" cm="1">
        <f t="array" ref="I35">_xlfn.IFS(a.nike.original.man[[#This Row],[Rating]]&lt;=2.9, "0 - 2.9",a.nike.original.man[[#This Row],[Rating]]&lt;=3.9,"3 - 3.9", a.nike.original.man[[#This Row],[Rating]]&lt;=5,"4 - 5")</f>
        <v>0 - 2.9</v>
      </c>
      <c r="J35" s="2">
        <v>0</v>
      </c>
      <c r="K35" s="2" t="str" cm="1">
        <f t="array" ref="K35">_xlfn.IFS(a.nike.original.man[[#This Row],[Reviews]]&lt;=7, "Below Average", a.nike.original.man[[#This Row],[Reviews]]&gt;=8, "Average +")</f>
        <v>Below Average</v>
      </c>
      <c r="L35" s="12" t="s">
        <v>1515</v>
      </c>
      <c r="M35" s="2" t="s">
        <v>1470</v>
      </c>
    </row>
    <row r="36" spans="1:13" x14ac:dyDescent="0.2">
      <c r="A36" s="1" t="s">
        <v>102</v>
      </c>
      <c r="B36" s="1" t="s">
        <v>103</v>
      </c>
      <c r="C36" s="330">
        <v>0</v>
      </c>
      <c r="D36" s="330">
        <v>140</v>
      </c>
      <c r="E36" s="116">
        <v>0</v>
      </c>
      <c r="F36" s="1" t="s">
        <v>9</v>
      </c>
      <c r="G36" s="1" t="s">
        <v>104</v>
      </c>
      <c r="H36" s="1">
        <v>0</v>
      </c>
      <c r="I36" s="1" t="str" cm="1">
        <f t="array" ref="I36">_xlfn.IFS(a.nike.original.man[[#This Row],[Rating]]&lt;=2.9, "0 - 2.9",a.nike.original.man[[#This Row],[Rating]]&lt;=3.9,"3 - 3.9", a.nike.original.man[[#This Row],[Rating]]&lt;=5,"4 - 5")</f>
        <v>0 - 2.9</v>
      </c>
      <c r="J36" s="1">
        <v>0</v>
      </c>
      <c r="K36" s="1" t="str" cm="1">
        <f t="array" ref="K36">_xlfn.IFS(a.nike.original.man[[#This Row],[Reviews]]&lt;=7, "Below Average", a.nike.original.man[[#This Row],[Reviews]]&gt;=8, "Average +")</f>
        <v>Below Average</v>
      </c>
      <c r="L36" s="11" t="s">
        <v>1515</v>
      </c>
      <c r="M36" s="1" t="s">
        <v>1470</v>
      </c>
    </row>
    <row r="37" spans="1:13" x14ac:dyDescent="0.2">
      <c r="A37" s="1" t="s">
        <v>108</v>
      </c>
      <c r="B37" s="1" t="s">
        <v>109</v>
      </c>
      <c r="C37" s="330">
        <v>0</v>
      </c>
      <c r="D37" s="330">
        <v>76</v>
      </c>
      <c r="E37" s="116">
        <v>0</v>
      </c>
      <c r="F37" s="1" t="s">
        <v>9</v>
      </c>
      <c r="G37" s="1" t="s">
        <v>110</v>
      </c>
      <c r="H37" s="1">
        <v>5</v>
      </c>
      <c r="I37" s="1" t="str" cm="1">
        <f t="array" ref="I37">_xlfn.IFS(a.nike.original.man[[#This Row],[Rating]]&lt;=2.9, "0 - 2.9",a.nike.original.man[[#This Row],[Rating]]&lt;=3.9,"3 - 3.9", a.nike.original.man[[#This Row],[Rating]]&lt;=5,"4 - 5")</f>
        <v>4 - 5</v>
      </c>
      <c r="J37" s="1">
        <v>3</v>
      </c>
      <c r="K37" s="1" t="str" cm="1">
        <f t="array" ref="K37">_xlfn.IFS(a.nike.original.man[[#This Row],[Reviews]]&lt;=7, "Below Average", a.nike.original.man[[#This Row],[Reviews]]&gt;=8, "Average +")</f>
        <v>Below Average</v>
      </c>
      <c r="L37" s="11" t="s">
        <v>1516</v>
      </c>
      <c r="M37" s="1" t="s">
        <v>1470</v>
      </c>
    </row>
    <row r="38" spans="1:13" x14ac:dyDescent="0.2">
      <c r="A38" s="1" t="s">
        <v>114</v>
      </c>
      <c r="B38" s="1" t="s">
        <v>115</v>
      </c>
      <c r="C38" s="330">
        <v>0</v>
      </c>
      <c r="D38" s="330">
        <v>90</v>
      </c>
      <c r="E38" s="116">
        <v>0</v>
      </c>
      <c r="F38" s="1" t="s">
        <v>9</v>
      </c>
      <c r="G38" s="1" t="s">
        <v>116</v>
      </c>
      <c r="H38" s="1">
        <v>1</v>
      </c>
      <c r="I38" s="1" t="str" cm="1">
        <f t="array" ref="I38">_xlfn.IFS(a.nike.original.man[[#This Row],[Rating]]&lt;=2.9, "0 - 2.9",a.nike.original.man[[#This Row],[Rating]]&lt;=3.9,"3 - 3.9", a.nike.original.man[[#This Row],[Rating]]&lt;=5,"4 - 5")</f>
        <v>0 - 2.9</v>
      </c>
      <c r="J38" s="1">
        <v>1</v>
      </c>
      <c r="K38" s="1" t="str" cm="1">
        <f t="array" ref="K38">_xlfn.IFS(a.nike.original.man[[#This Row],[Reviews]]&lt;=7, "Below Average", a.nike.original.man[[#This Row],[Reviews]]&gt;=8, "Average +")</f>
        <v>Below Average</v>
      </c>
      <c r="L38" s="11" t="s">
        <v>1516</v>
      </c>
      <c r="M38" s="1" t="s">
        <v>1470</v>
      </c>
    </row>
    <row r="39" spans="1:13" x14ac:dyDescent="0.2">
      <c r="A39" s="2" t="s">
        <v>117</v>
      </c>
      <c r="B39" s="2" t="s">
        <v>118</v>
      </c>
      <c r="C39" s="331">
        <v>0</v>
      </c>
      <c r="D39" s="331">
        <v>100</v>
      </c>
      <c r="E39" s="116">
        <v>0</v>
      </c>
      <c r="F39" s="2" t="s">
        <v>9</v>
      </c>
      <c r="G39" s="2" t="s">
        <v>119</v>
      </c>
      <c r="H39" s="2">
        <v>4.8</v>
      </c>
      <c r="I39" s="2" t="str" cm="1">
        <f t="array" ref="I39">_xlfn.IFS(a.nike.original.man[[#This Row],[Rating]]&lt;=2.9, "0 - 2.9",a.nike.original.man[[#This Row],[Rating]]&lt;=3.9,"3 - 3.9", a.nike.original.man[[#This Row],[Rating]]&lt;=5,"4 - 5")</f>
        <v>4 - 5</v>
      </c>
      <c r="J39" s="2">
        <v>13</v>
      </c>
      <c r="K39" s="2" t="str" cm="1">
        <f t="array" ref="K39">_xlfn.IFS(a.nike.original.man[[#This Row],[Reviews]]&lt;=7, "Below Average", a.nike.original.man[[#This Row],[Reviews]]&gt;=8, "Average +")</f>
        <v>Average +</v>
      </c>
      <c r="L39" s="12" t="s">
        <v>1516</v>
      </c>
      <c r="M39" s="2" t="s">
        <v>1470</v>
      </c>
    </row>
    <row r="40" spans="1:13" x14ac:dyDescent="0.2">
      <c r="A40" s="2" t="s">
        <v>105</v>
      </c>
      <c r="B40" s="2" t="s">
        <v>106</v>
      </c>
      <c r="C40" s="331">
        <v>0</v>
      </c>
      <c r="D40" s="331">
        <v>90</v>
      </c>
      <c r="E40" s="116">
        <v>0</v>
      </c>
      <c r="F40" s="2" t="s">
        <v>9</v>
      </c>
      <c r="G40" s="2" t="s">
        <v>107</v>
      </c>
      <c r="H40" s="2">
        <v>0</v>
      </c>
      <c r="I40" s="2" t="str" cm="1">
        <f t="array" ref="I40">_xlfn.IFS(a.nike.original.man[[#This Row],[Rating]]&lt;=2.9, "0 - 2.9",a.nike.original.man[[#This Row],[Rating]]&lt;=3.9,"3 - 3.9", a.nike.original.man[[#This Row],[Rating]]&lt;=5,"4 - 5")</f>
        <v>0 - 2.9</v>
      </c>
      <c r="J40" s="2">
        <v>0</v>
      </c>
      <c r="K40" s="2" t="str" cm="1">
        <f t="array" ref="K40">_xlfn.IFS(a.nike.original.man[[#This Row],[Reviews]]&lt;=7, "Below Average", a.nike.original.man[[#This Row],[Reviews]]&gt;=8, "Average +")</f>
        <v>Below Average</v>
      </c>
      <c r="L40" s="12" t="s">
        <v>1516</v>
      </c>
      <c r="M40" s="2" t="s">
        <v>1470</v>
      </c>
    </row>
    <row r="41" spans="1:13" x14ac:dyDescent="0.2">
      <c r="A41" s="2" t="s">
        <v>111</v>
      </c>
      <c r="B41" s="2" t="s">
        <v>112</v>
      </c>
      <c r="C41" s="331">
        <v>0</v>
      </c>
      <c r="D41" s="331">
        <v>160</v>
      </c>
      <c r="E41" s="116">
        <v>0</v>
      </c>
      <c r="F41" s="2" t="s">
        <v>9</v>
      </c>
      <c r="G41" s="2" t="s">
        <v>113</v>
      </c>
      <c r="H41" s="2">
        <v>0</v>
      </c>
      <c r="I41" s="2" t="str" cm="1">
        <f t="array" ref="I41">_xlfn.IFS(a.nike.original.man[[#This Row],[Rating]]&lt;=2.9, "0 - 2.9",a.nike.original.man[[#This Row],[Rating]]&lt;=3.9,"3 - 3.9", a.nike.original.man[[#This Row],[Rating]]&lt;=5,"4 - 5")</f>
        <v>0 - 2.9</v>
      </c>
      <c r="J41" s="2">
        <v>0</v>
      </c>
      <c r="K41" s="2" t="str" cm="1">
        <f t="array" ref="K41">_xlfn.IFS(a.nike.original.man[[#This Row],[Reviews]]&lt;=7, "Below Average", a.nike.original.man[[#This Row],[Reviews]]&gt;=8, "Average +")</f>
        <v>Below Average</v>
      </c>
      <c r="L41" s="12" t="s">
        <v>1516</v>
      </c>
      <c r="M41" s="2" t="s">
        <v>1470</v>
      </c>
    </row>
    <row r="42" spans="1:13" x14ac:dyDescent="0.2">
      <c r="A42" s="1" t="s">
        <v>120</v>
      </c>
      <c r="B42" s="1" t="s">
        <v>121</v>
      </c>
      <c r="C42" s="330">
        <v>0</v>
      </c>
      <c r="D42" s="330">
        <v>80</v>
      </c>
      <c r="E42" s="116">
        <v>0</v>
      </c>
      <c r="F42" s="1" t="s">
        <v>9</v>
      </c>
      <c r="G42" s="1" t="s">
        <v>122</v>
      </c>
      <c r="H42" s="1">
        <v>4.9000000000000004</v>
      </c>
      <c r="I42" s="1" t="str" cm="1">
        <f t="array" ref="I42">_xlfn.IFS(a.nike.original.man[[#This Row],[Rating]]&lt;=2.9, "0 - 2.9",a.nike.original.man[[#This Row],[Rating]]&lt;=3.9,"3 - 3.9", a.nike.original.man[[#This Row],[Rating]]&lt;=5,"4 - 5")</f>
        <v>4 - 5</v>
      </c>
      <c r="J42" s="1">
        <v>7</v>
      </c>
      <c r="K42" s="1" t="str" cm="1">
        <f t="array" ref="K42">_xlfn.IFS(a.nike.original.man[[#This Row],[Reviews]]&lt;=7, "Below Average", a.nike.original.man[[#This Row],[Reviews]]&gt;=8, "Average +")</f>
        <v>Below Average</v>
      </c>
      <c r="L42" s="11" t="s">
        <v>1517</v>
      </c>
      <c r="M42" s="1" t="s">
        <v>1470</v>
      </c>
    </row>
    <row r="43" spans="1:13" x14ac:dyDescent="0.2">
      <c r="A43" s="2" t="s">
        <v>129</v>
      </c>
      <c r="B43" s="2" t="s">
        <v>130</v>
      </c>
      <c r="C43" s="331">
        <v>0</v>
      </c>
      <c r="D43" s="331">
        <v>100</v>
      </c>
      <c r="E43" s="116">
        <v>0</v>
      </c>
      <c r="F43" s="2" t="s">
        <v>9</v>
      </c>
      <c r="G43" s="2" t="s">
        <v>131</v>
      </c>
      <c r="H43" s="2">
        <v>4.5</v>
      </c>
      <c r="I43" s="2" t="str" cm="1">
        <f t="array" ref="I43">_xlfn.IFS(a.nike.original.man[[#This Row],[Rating]]&lt;=2.9, "0 - 2.9",a.nike.original.man[[#This Row],[Rating]]&lt;=3.9,"3 - 3.9", a.nike.original.man[[#This Row],[Rating]]&lt;=5,"4 - 5")</f>
        <v>4 - 5</v>
      </c>
      <c r="J43" s="2">
        <v>61</v>
      </c>
      <c r="K43" s="2" t="str" cm="1">
        <f t="array" ref="K43">_xlfn.IFS(a.nike.original.man[[#This Row],[Reviews]]&lt;=7, "Below Average", a.nike.original.man[[#This Row],[Reviews]]&gt;=8, "Average +")</f>
        <v>Average +</v>
      </c>
      <c r="L43" s="12" t="s">
        <v>1517</v>
      </c>
      <c r="M43" s="2" t="s">
        <v>1470</v>
      </c>
    </row>
    <row r="44" spans="1:13" x14ac:dyDescent="0.2">
      <c r="A44" s="2" t="s">
        <v>123</v>
      </c>
      <c r="B44" s="2" t="s">
        <v>124</v>
      </c>
      <c r="C44" s="331">
        <v>0</v>
      </c>
      <c r="D44" s="331">
        <v>65</v>
      </c>
      <c r="E44" s="116">
        <v>0</v>
      </c>
      <c r="F44" s="2" t="s">
        <v>9</v>
      </c>
      <c r="G44" s="2" t="s">
        <v>125</v>
      </c>
      <c r="H44" s="2">
        <v>4.7</v>
      </c>
      <c r="I44" s="2" t="str" cm="1">
        <f t="array" ref="I44">_xlfn.IFS(a.nike.original.man[[#This Row],[Rating]]&lt;=2.9, "0 - 2.9",a.nike.original.man[[#This Row],[Rating]]&lt;=3.9,"3 - 3.9", a.nike.original.man[[#This Row],[Rating]]&lt;=5,"4 - 5")</f>
        <v>4 - 5</v>
      </c>
      <c r="J44" s="2">
        <v>3</v>
      </c>
      <c r="K44" s="2" t="str" cm="1">
        <f t="array" ref="K44">_xlfn.IFS(a.nike.original.man[[#This Row],[Reviews]]&lt;=7, "Below Average", a.nike.original.man[[#This Row],[Reviews]]&gt;=8, "Average +")</f>
        <v>Below Average</v>
      </c>
      <c r="L44" s="12" t="s">
        <v>1517</v>
      </c>
      <c r="M44" s="2" t="s">
        <v>1470</v>
      </c>
    </row>
    <row r="45" spans="1:13" x14ac:dyDescent="0.2">
      <c r="A45" s="1" t="s">
        <v>126</v>
      </c>
      <c r="B45" s="1" t="s">
        <v>127</v>
      </c>
      <c r="C45" s="330">
        <v>0</v>
      </c>
      <c r="D45" s="330">
        <v>55</v>
      </c>
      <c r="E45" s="116">
        <v>0</v>
      </c>
      <c r="F45" s="1" t="s">
        <v>9</v>
      </c>
      <c r="G45" s="1" t="s">
        <v>128</v>
      </c>
      <c r="H45" s="1">
        <v>0</v>
      </c>
      <c r="I45" s="1" t="str" cm="1">
        <f t="array" ref="I45">_xlfn.IFS(a.nike.original.man[[#This Row],[Rating]]&lt;=2.9, "0 - 2.9",a.nike.original.man[[#This Row],[Rating]]&lt;=3.9,"3 - 3.9", a.nike.original.man[[#This Row],[Rating]]&lt;=5,"4 - 5")</f>
        <v>0 - 2.9</v>
      </c>
      <c r="J45" s="1">
        <v>0</v>
      </c>
      <c r="K45" s="1" t="str" cm="1">
        <f t="array" ref="K45">_xlfn.IFS(a.nike.original.man[[#This Row],[Reviews]]&lt;=7, "Below Average", a.nike.original.man[[#This Row],[Reviews]]&gt;=8, "Average +")</f>
        <v>Below Average</v>
      </c>
      <c r="L45" s="11" t="s">
        <v>1517</v>
      </c>
      <c r="M45" s="1" t="s">
        <v>1470</v>
      </c>
    </row>
    <row r="46" spans="1:13" x14ac:dyDescent="0.2">
      <c r="A46" s="1" t="s">
        <v>132</v>
      </c>
      <c r="B46" s="1" t="s">
        <v>133</v>
      </c>
      <c r="C46" s="330">
        <v>0</v>
      </c>
      <c r="D46" s="330">
        <v>130</v>
      </c>
      <c r="E46" s="116">
        <v>0</v>
      </c>
      <c r="F46" s="1" t="s">
        <v>9</v>
      </c>
      <c r="G46" s="1" t="s">
        <v>134</v>
      </c>
      <c r="H46" s="1">
        <v>0</v>
      </c>
      <c r="I46" s="1" t="str" cm="1">
        <f t="array" ref="I46">_xlfn.IFS(a.nike.original.man[[#This Row],[Rating]]&lt;=2.9, "0 - 2.9",a.nike.original.man[[#This Row],[Rating]]&lt;=3.9,"3 - 3.9", a.nike.original.man[[#This Row],[Rating]]&lt;=5,"4 - 5")</f>
        <v>0 - 2.9</v>
      </c>
      <c r="J46" s="1">
        <v>0</v>
      </c>
      <c r="K46" s="1" t="str" cm="1">
        <f t="array" ref="K46">_xlfn.IFS(a.nike.original.man[[#This Row],[Reviews]]&lt;=7, "Below Average", a.nike.original.man[[#This Row],[Reviews]]&gt;=8, "Average +")</f>
        <v>Below Average</v>
      </c>
      <c r="L46" s="11" t="s">
        <v>1517</v>
      </c>
      <c r="M46" s="1" t="s">
        <v>1470</v>
      </c>
    </row>
    <row r="47" spans="1:13" x14ac:dyDescent="0.2">
      <c r="A47" s="2" t="s">
        <v>135</v>
      </c>
      <c r="B47" s="2" t="s">
        <v>136</v>
      </c>
      <c r="C47" s="331">
        <v>0</v>
      </c>
      <c r="D47" s="331">
        <v>170</v>
      </c>
      <c r="E47" s="116">
        <v>0</v>
      </c>
      <c r="F47" s="2" t="s">
        <v>9</v>
      </c>
      <c r="G47" s="2" t="s">
        <v>137</v>
      </c>
      <c r="H47" s="2">
        <v>0</v>
      </c>
      <c r="I47" s="2" t="str" cm="1">
        <f t="array" ref="I47">_xlfn.IFS(a.nike.original.man[[#This Row],[Rating]]&lt;=2.9, "0 - 2.9",a.nike.original.man[[#This Row],[Rating]]&lt;=3.9,"3 - 3.9", a.nike.original.man[[#This Row],[Rating]]&lt;=5,"4 - 5")</f>
        <v>0 - 2.9</v>
      </c>
      <c r="J47" s="2">
        <v>0</v>
      </c>
      <c r="K47" s="2" t="str" cm="1">
        <f t="array" ref="K47">_xlfn.IFS(a.nike.original.man[[#This Row],[Reviews]]&lt;=7, "Below Average", a.nike.original.man[[#This Row],[Reviews]]&gt;=8, "Average +")</f>
        <v>Below Average</v>
      </c>
      <c r="L47" s="12" t="s">
        <v>1517</v>
      </c>
      <c r="M47" s="2" t="s">
        <v>1470</v>
      </c>
    </row>
    <row r="48" spans="1:13" x14ac:dyDescent="0.2">
      <c r="A48" s="1" t="s">
        <v>138</v>
      </c>
      <c r="B48" s="1" t="s">
        <v>139</v>
      </c>
      <c r="C48" s="330">
        <v>0</v>
      </c>
      <c r="D48" s="330">
        <v>120</v>
      </c>
      <c r="E48" s="116">
        <v>0</v>
      </c>
      <c r="F48" s="1" t="s">
        <v>9</v>
      </c>
      <c r="G48" s="1" t="s">
        <v>140</v>
      </c>
      <c r="H48" s="1">
        <v>0</v>
      </c>
      <c r="I48" s="1" t="str" cm="1">
        <f t="array" ref="I48">_xlfn.IFS(a.nike.original.man[[#This Row],[Rating]]&lt;=2.9, "0 - 2.9",a.nike.original.man[[#This Row],[Rating]]&lt;=3.9,"3 - 3.9", a.nike.original.man[[#This Row],[Rating]]&lt;=5,"4 - 5")</f>
        <v>0 - 2.9</v>
      </c>
      <c r="J48" s="1">
        <v>0</v>
      </c>
      <c r="K48" s="1" t="str" cm="1">
        <f t="array" ref="K48">_xlfn.IFS(a.nike.original.man[[#This Row],[Reviews]]&lt;=7, "Below Average", a.nike.original.man[[#This Row],[Reviews]]&gt;=8, "Average +")</f>
        <v>Below Average</v>
      </c>
      <c r="L48" s="11" t="s">
        <v>1518</v>
      </c>
      <c r="M48" s="1" t="s">
        <v>1470</v>
      </c>
    </row>
    <row r="49" spans="1:13" x14ac:dyDescent="0.2">
      <c r="A49" s="2" t="s">
        <v>141</v>
      </c>
      <c r="B49" s="2" t="s">
        <v>142</v>
      </c>
      <c r="C49" s="331">
        <v>0</v>
      </c>
      <c r="D49" s="331">
        <v>110</v>
      </c>
      <c r="E49" s="116">
        <v>0</v>
      </c>
      <c r="F49" s="2" t="s">
        <v>9</v>
      </c>
      <c r="G49" s="2" t="s">
        <v>143</v>
      </c>
      <c r="H49" s="2">
        <v>0</v>
      </c>
      <c r="I49" s="2" t="str" cm="1">
        <f t="array" ref="I49">_xlfn.IFS(a.nike.original.man[[#This Row],[Rating]]&lt;=2.9, "0 - 2.9",a.nike.original.man[[#This Row],[Rating]]&lt;=3.9,"3 - 3.9", a.nike.original.man[[#This Row],[Rating]]&lt;=5,"4 - 5")</f>
        <v>0 - 2.9</v>
      </c>
      <c r="J49" s="2">
        <v>0</v>
      </c>
      <c r="K49" s="2" t="str" cm="1">
        <f t="array" ref="K49">_xlfn.IFS(a.nike.original.man[[#This Row],[Reviews]]&lt;=7, "Below Average", a.nike.original.man[[#This Row],[Reviews]]&gt;=8, "Average +")</f>
        <v>Below Average</v>
      </c>
      <c r="L49" s="12" t="s">
        <v>1518</v>
      </c>
      <c r="M49" s="2" t="s">
        <v>1470</v>
      </c>
    </row>
    <row r="50" spans="1:13" x14ac:dyDescent="0.2">
      <c r="A50" s="1" t="s">
        <v>144</v>
      </c>
      <c r="B50" s="1" t="s">
        <v>145</v>
      </c>
      <c r="C50" s="330">
        <v>0</v>
      </c>
      <c r="D50" s="330">
        <v>55</v>
      </c>
      <c r="E50" s="116">
        <v>0</v>
      </c>
      <c r="F50" s="1" t="s">
        <v>9</v>
      </c>
      <c r="G50" s="1" t="s">
        <v>146</v>
      </c>
      <c r="H50" s="1">
        <v>0</v>
      </c>
      <c r="I50" s="1" t="str" cm="1">
        <f t="array" ref="I50">_xlfn.IFS(a.nike.original.man[[#This Row],[Rating]]&lt;=2.9, "0 - 2.9",a.nike.original.man[[#This Row],[Rating]]&lt;=3.9,"3 - 3.9", a.nike.original.man[[#This Row],[Rating]]&lt;=5,"4 - 5")</f>
        <v>0 - 2.9</v>
      </c>
      <c r="J50" s="1">
        <v>0</v>
      </c>
      <c r="K50" s="1" t="str" cm="1">
        <f t="array" ref="K50">_xlfn.IFS(a.nike.original.man[[#This Row],[Reviews]]&lt;=7, "Below Average", a.nike.original.man[[#This Row],[Reviews]]&gt;=8, "Average +")</f>
        <v>Below Average</v>
      </c>
      <c r="L50" s="11" t="s">
        <v>1518</v>
      </c>
      <c r="M50" s="1" t="s">
        <v>1470</v>
      </c>
    </row>
    <row r="51" spans="1:13" x14ac:dyDescent="0.2">
      <c r="A51" s="2" t="s">
        <v>147</v>
      </c>
      <c r="B51" s="2" t="s">
        <v>148</v>
      </c>
      <c r="C51" s="331">
        <v>0</v>
      </c>
      <c r="D51" s="331">
        <v>230</v>
      </c>
      <c r="E51" s="116">
        <v>0</v>
      </c>
      <c r="F51" s="2" t="s">
        <v>9</v>
      </c>
      <c r="G51" s="2" t="s">
        <v>149</v>
      </c>
      <c r="H51" s="2">
        <v>0</v>
      </c>
      <c r="I51" s="2" t="str" cm="1">
        <f t="array" ref="I51">_xlfn.IFS(a.nike.original.man[[#This Row],[Rating]]&lt;=2.9, "0 - 2.9",a.nike.original.man[[#This Row],[Rating]]&lt;=3.9,"3 - 3.9", a.nike.original.man[[#This Row],[Rating]]&lt;=5,"4 - 5")</f>
        <v>0 - 2.9</v>
      </c>
      <c r="J51" s="2">
        <v>0</v>
      </c>
      <c r="K51" s="2" t="str" cm="1">
        <f t="array" ref="K51">_xlfn.IFS(a.nike.original.man[[#This Row],[Reviews]]&lt;=7, "Below Average", a.nike.original.man[[#This Row],[Reviews]]&gt;=8, "Average +")</f>
        <v>Below Average</v>
      </c>
      <c r="L51" s="12" t="s">
        <v>1518</v>
      </c>
      <c r="M51" s="2" t="s">
        <v>1470</v>
      </c>
    </row>
    <row r="52" spans="1:13" x14ac:dyDescent="0.2">
      <c r="A52" s="1" t="s">
        <v>150</v>
      </c>
      <c r="B52" s="1" t="s">
        <v>151</v>
      </c>
      <c r="C52" s="330">
        <v>0</v>
      </c>
      <c r="D52" s="330">
        <v>90</v>
      </c>
      <c r="E52" s="116">
        <v>0</v>
      </c>
      <c r="F52" s="1" t="s">
        <v>9</v>
      </c>
      <c r="G52" s="1" t="s">
        <v>152</v>
      </c>
      <c r="H52" s="1">
        <v>0</v>
      </c>
      <c r="I52" s="1" t="str" cm="1">
        <f t="array" ref="I52">_xlfn.IFS(a.nike.original.man[[#This Row],[Rating]]&lt;=2.9, "0 - 2.9",a.nike.original.man[[#This Row],[Rating]]&lt;=3.9,"3 - 3.9", a.nike.original.man[[#This Row],[Rating]]&lt;=5,"4 - 5")</f>
        <v>0 - 2.9</v>
      </c>
      <c r="J52" s="1">
        <v>0</v>
      </c>
      <c r="K52" s="1" t="str" cm="1">
        <f t="array" ref="K52">_xlfn.IFS(a.nike.original.man[[#This Row],[Reviews]]&lt;=7, "Below Average", a.nike.original.man[[#This Row],[Reviews]]&gt;=8, "Average +")</f>
        <v>Below Average</v>
      </c>
      <c r="L52" s="11" t="s">
        <v>1518</v>
      </c>
      <c r="M52" s="1" t="s">
        <v>1470</v>
      </c>
    </row>
    <row r="53" spans="1:13" x14ac:dyDescent="0.2">
      <c r="A53" s="1" t="s">
        <v>51</v>
      </c>
      <c r="B53" s="1" t="s">
        <v>161</v>
      </c>
      <c r="C53" s="330">
        <v>0</v>
      </c>
      <c r="D53" s="330">
        <v>100</v>
      </c>
      <c r="E53" s="116">
        <v>0</v>
      </c>
      <c r="F53" s="1" t="s">
        <v>9</v>
      </c>
      <c r="G53" s="1" t="s">
        <v>53</v>
      </c>
      <c r="H53" s="1">
        <v>4.5</v>
      </c>
      <c r="I53" s="1" t="str" cm="1">
        <f t="array" ref="I53">_xlfn.IFS(a.nike.original.man[[#This Row],[Rating]]&lt;=2.9, "0 - 2.9",a.nike.original.man[[#This Row],[Rating]]&lt;=3.9,"3 - 3.9", a.nike.original.man[[#This Row],[Rating]]&lt;=5,"4 - 5")</f>
        <v>4 - 5</v>
      </c>
      <c r="J53" s="1">
        <v>31</v>
      </c>
      <c r="K53" s="1" t="str" cm="1">
        <f t="array" ref="K53">_xlfn.IFS(a.nike.original.man[[#This Row],[Reviews]]&lt;=7, "Below Average", a.nike.original.man[[#This Row],[Reviews]]&gt;=8, "Average +")</f>
        <v>Average +</v>
      </c>
      <c r="L53" s="11" t="s">
        <v>1519</v>
      </c>
      <c r="M53" s="1" t="s">
        <v>1470</v>
      </c>
    </row>
    <row r="54" spans="1:13" x14ac:dyDescent="0.2">
      <c r="A54" s="2" t="s">
        <v>158</v>
      </c>
      <c r="B54" s="2" t="s">
        <v>159</v>
      </c>
      <c r="C54" s="331">
        <v>0</v>
      </c>
      <c r="D54" s="331">
        <v>110</v>
      </c>
      <c r="E54" s="116">
        <v>0</v>
      </c>
      <c r="F54" s="2" t="s">
        <v>9</v>
      </c>
      <c r="G54" s="2" t="s">
        <v>160</v>
      </c>
      <c r="H54" s="2">
        <v>5</v>
      </c>
      <c r="I54" s="2" t="str" cm="1">
        <f t="array" ref="I54">_xlfn.IFS(a.nike.original.man[[#This Row],[Rating]]&lt;=2.9, "0 - 2.9",a.nike.original.man[[#This Row],[Rating]]&lt;=3.9,"3 - 3.9", a.nike.original.man[[#This Row],[Rating]]&lt;=5,"4 - 5")</f>
        <v>4 - 5</v>
      </c>
      <c r="J54" s="2">
        <v>2</v>
      </c>
      <c r="K54" s="2" t="str" cm="1">
        <f t="array" ref="K54">_xlfn.IFS(a.nike.original.man[[#This Row],[Reviews]]&lt;=7, "Below Average", a.nike.original.man[[#This Row],[Reviews]]&gt;=8, "Average +")</f>
        <v>Below Average</v>
      </c>
      <c r="L54" s="12" t="s">
        <v>1519</v>
      </c>
      <c r="M54" s="2" t="s">
        <v>1470</v>
      </c>
    </row>
    <row r="55" spans="1:13" x14ac:dyDescent="0.2">
      <c r="A55" s="2" t="s">
        <v>162</v>
      </c>
      <c r="B55" s="2" t="s">
        <v>163</v>
      </c>
      <c r="C55" s="331">
        <v>0</v>
      </c>
      <c r="D55" s="331">
        <v>120</v>
      </c>
      <c r="E55" s="116">
        <v>0</v>
      </c>
      <c r="F55" s="2" t="s">
        <v>9</v>
      </c>
      <c r="G55" s="2" t="s">
        <v>164</v>
      </c>
      <c r="H55" s="2">
        <v>5</v>
      </c>
      <c r="I55" s="2" t="str" cm="1">
        <f t="array" ref="I55">_xlfn.IFS(a.nike.original.man[[#This Row],[Rating]]&lt;=2.9, "0 - 2.9",a.nike.original.man[[#This Row],[Rating]]&lt;=3.9,"3 - 3.9", a.nike.original.man[[#This Row],[Rating]]&lt;=5,"4 - 5")</f>
        <v>4 - 5</v>
      </c>
      <c r="J55" s="2">
        <v>2</v>
      </c>
      <c r="K55" s="2" t="str" cm="1">
        <f t="array" ref="K55">_xlfn.IFS(a.nike.original.man[[#This Row],[Reviews]]&lt;=7, "Below Average", a.nike.original.man[[#This Row],[Reviews]]&gt;=8, "Average +")</f>
        <v>Below Average</v>
      </c>
      <c r="L55" s="12" t="s">
        <v>1519</v>
      </c>
      <c r="M55" s="2" t="s">
        <v>1470</v>
      </c>
    </row>
    <row r="56" spans="1:13" x14ac:dyDescent="0.2">
      <c r="A56" s="2" t="s">
        <v>153</v>
      </c>
      <c r="B56" s="2" t="s">
        <v>154</v>
      </c>
      <c r="C56" s="331">
        <v>0</v>
      </c>
      <c r="D56" s="331">
        <v>160</v>
      </c>
      <c r="E56" s="116">
        <v>0</v>
      </c>
      <c r="F56" s="2" t="s">
        <v>9</v>
      </c>
      <c r="G56" s="2" t="s">
        <v>155</v>
      </c>
      <c r="H56" s="2">
        <v>0</v>
      </c>
      <c r="I56" s="2" t="str" cm="1">
        <f t="array" ref="I56">_xlfn.IFS(a.nike.original.man[[#This Row],[Rating]]&lt;=2.9, "0 - 2.9",a.nike.original.man[[#This Row],[Rating]]&lt;=3.9,"3 - 3.9", a.nike.original.man[[#This Row],[Rating]]&lt;=5,"4 - 5")</f>
        <v>0 - 2.9</v>
      </c>
      <c r="J56" s="2">
        <v>0</v>
      </c>
      <c r="K56" s="2" t="str" cm="1">
        <f t="array" ref="K56">_xlfn.IFS(a.nike.original.man[[#This Row],[Reviews]]&lt;=7, "Below Average", a.nike.original.man[[#This Row],[Reviews]]&gt;=8, "Average +")</f>
        <v>Below Average</v>
      </c>
      <c r="L56" s="12" t="s">
        <v>1519</v>
      </c>
      <c r="M56" s="2" t="s">
        <v>1470</v>
      </c>
    </row>
    <row r="57" spans="1:13" x14ac:dyDescent="0.2">
      <c r="A57" s="1" t="s">
        <v>37</v>
      </c>
      <c r="B57" s="1" t="s">
        <v>156</v>
      </c>
      <c r="C57" s="330">
        <v>0</v>
      </c>
      <c r="D57" s="330">
        <v>100</v>
      </c>
      <c r="E57" s="116">
        <v>0</v>
      </c>
      <c r="F57" s="1" t="s">
        <v>9</v>
      </c>
      <c r="G57" s="1" t="s">
        <v>157</v>
      </c>
      <c r="H57" s="1">
        <v>0</v>
      </c>
      <c r="I57" s="1" t="str" cm="1">
        <f t="array" ref="I57">_xlfn.IFS(a.nike.original.man[[#This Row],[Rating]]&lt;=2.9, "0 - 2.9",a.nike.original.man[[#This Row],[Rating]]&lt;=3.9,"3 - 3.9", a.nike.original.man[[#This Row],[Rating]]&lt;=5,"4 - 5")</f>
        <v>0 - 2.9</v>
      </c>
      <c r="J57" s="1">
        <v>0</v>
      </c>
      <c r="K57" s="1" t="str" cm="1">
        <f t="array" ref="K57">_xlfn.IFS(a.nike.original.man[[#This Row],[Reviews]]&lt;=7, "Below Average", a.nike.original.man[[#This Row],[Reviews]]&gt;=8, "Average +")</f>
        <v>Below Average</v>
      </c>
      <c r="L57" s="11" t="s">
        <v>1519</v>
      </c>
      <c r="M57" s="1" t="s">
        <v>1470</v>
      </c>
    </row>
    <row r="58" spans="1:13" x14ac:dyDescent="0.2">
      <c r="A58" s="1" t="s">
        <v>165</v>
      </c>
      <c r="B58" s="1" t="s">
        <v>166</v>
      </c>
      <c r="C58" s="330">
        <v>159.94999999999999</v>
      </c>
      <c r="D58" s="330">
        <v>112</v>
      </c>
      <c r="E58" s="116">
        <v>0.3</v>
      </c>
      <c r="F58" s="1" t="s">
        <v>9</v>
      </c>
      <c r="G58" s="1" t="s">
        <v>167</v>
      </c>
      <c r="H58" s="1">
        <v>0</v>
      </c>
      <c r="I58" s="1" t="str" cm="1">
        <f t="array" ref="I58">_xlfn.IFS(a.nike.original.man[[#This Row],[Rating]]&lt;=2.9, "0 - 2.9",a.nike.original.man[[#This Row],[Rating]]&lt;=3.9,"3 - 3.9", a.nike.original.man[[#This Row],[Rating]]&lt;=5,"4 - 5")</f>
        <v>0 - 2.9</v>
      </c>
      <c r="J58" s="1">
        <v>0</v>
      </c>
      <c r="K58" s="1" t="str" cm="1">
        <f t="array" ref="K58">_xlfn.IFS(a.nike.original.man[[#This Row],[Reviews]]&lt;=7, "Below Average", a.nike.original.man[[#This Row],[Reviews]]&gt;=8, "Average +")</f>
        <v>Below Average</v>
      </c>
      <c r="L58" s="11" t="s">
        <v>1519</v>
      </c>
      <c r="M58" s="1" t="s">
        <v>1470</v>
      </c>
    </row>
    <row r="59" spans="1:13" x14ac:dyDescent="0.2">
      <c r="A59" s="2" t="s">
        <v>168</v>
      </c>
      <c r="B59" s="2" t="s">
        <v>169</v>
      </c>
      <c r="C59" s="331">
        <v>0</v>
      </c>
      <c r="D59" s="331">
        <v>50</v>
      </c>
      <c r="E59" s="116">
        <v>0</v>
      </c>
      <c r="F59" s="2" t="s">
        <v>9</v>
      </c>
      <c r="G59" s="2" t="s">
        <v>170</v>
      </c>
      <c r="H59" s="2">
        <v>0</v>
      </c>
      <c r="I59" s="2" t="str" cm="1">
        <f t="array" ref="I59">_xlfn.IFS(a.nike.original.man[[#This Row],[Rating]]&lt;=2.9, "0 - 2.9",a.nike.original.man[[#This Row],[Rating]]&lt;=3.9,"3 - 3.9", a.nike.original.man[[#This Row],[Rating]]&lt;=5,"4 - 5")</f>
        <v>0 - 2.9</v>
      </c>
      <c r="J59" s="2">
        <v>0</v>
      </c>
      <c r="K59" s="2" t="str" cm="1">
        <f t="array" ref="K59">_xlfn.IFS(a.nike.original.man[[#This Row],[Reviews]]&lt;=7, "Below Average", a.nike.original.man[[#This Row],[Reviews]]&gt;=8, "Average +")</f>
        <v>Below Average</v>
      </c>
      <c r="L59" s="12" t="s">
        <v>1519</v>
      </c>
      <c r="M59" s="2" t="s">
        <v>1470</v>
      </c>
    </row>
    <row r="60" spans="1:13" x14ac:dyDescent="0.2">
      <c r="A60" s="1" t="s">
        <v>188</v>
      </c>
      <c r="B60" s="1" t="s">
        <v>189</v>
      </c>
      <c r="C60" s="330">
        <v>0</v>
      </c>
      <c r="D60" s="330">
        <v>170</v>
      </c>
      <c r="E60" s="116">
        <v>0</v>
      </c>
      <c r="F60" s="1" t="s">
        <v>9</v>
      </c>
      <c r="G60" s="1" t="s">
        <v>190</v>
      </c>
      <c r="H60" s="1">
        <v>4.5</v>
      </c>
      <c r="I60" s="1" t="str" cm="1">
        <f t="array" ref="I60">_xlfn.IFS(a.nike.original.man[[#This Row],[Rating]]&lt;=2.9, "0 - 2.9",a.nike.original.man[[#This Row],[Rating]]&lt;=3.9,"3 - 3.9", a.nike.original.man[[#This Row],[Rating]]&lt;=5,"4 - 5")</f>
        <v>4 - 5</v>
      </c>
      <c r="J60" s="1">
        <v>47</v>
      </c>
      <c r="K60" s="1" t="str" cm="1">
        <f t="array" ref="K60">_xlfn.IFS(a.nike.original.man[[#This Row],[Reviews]]&lt;=7, "Below Average", a.nike.original.man[[#This Row],[Reviews]]&gt;=8, "Average +")</f>
        <v>Average +</v>
      </c>
      <c r="L60" s="11" t="s">
        <v>1520</v>
      </c>
      <c r="M60" s="1" t="s">
        <v>1470</v>
      </c>
    </row>
    <row r="61" spans="1:13" x14ac:dyDescent="0.2">
      <c r="A61" s="1" t="s">
        <v>176</v>
      </c>
      <c r="B61" s="1" t="s">
        <v>177</v>
      </c>
      <c r="C61" s="330">
        <v>0</v>
      </c>
      <c r="D61" s="330">
        <v>140</v>
      </c>
      <c r="E61" s="116">
        <v>0</v>
      </c>
      <c r="F61" s="1" t="s">
        <v>9</v>
      </c>
      <c r="G61" s="1" t="s">
        <v>178</v>
      </c>
      <c r="H61" s="1">
        <v>3</v>
      </c>
      <c r="I61" s="1" t="str" cm="1">
        <f t="array" ref="I61">_xlfn.IFS(a.nike.original.man[[#This Row],[Rating]]&lt;=2.9, "0 - 2.9",a.nike.original.man[[#This Row],[Rating]]&lt;=3.9,"3 - 3.9", a.nike.original.man[[#This Row],[Rating]]&lt;=5,"4 - 5")</f>
        <v>3 - 3.9</v>
      </c>
      <c r="J61" s="1">
        <v>2</v>
      </c>
      <c r="K61" s="1" t="str" cm="1">
        <f t="array" ref="K61">_xlfn.IFS(a.nike.original.man[[#This Row],[Reviews]]&lt;=7, "Below Average", a.nike.original.man[[#This Row],[Reviews]]&gt;=8, "Average +")</f>
        <v>Below Average</v>
      </c>
      <c r="L61" s="11" t="s">
        <v>1520</v>
      </c>
      <c r="M61" s="1" t="s">
        <v>1470</v>
      </c>
    </row>
    <row r="62" spans="1:13" x14ac:dyDescent="0.2">
      <c r="A62" s="1" t="s">
        <v>56</v>
      </c>
      <c r="B62" s="1" t="s">
        <v>171</v>
      </c>
      <c r="C62" s="330">
        <v>0</v>
      </c>
      <c r="D62" s="330">
        <v>150</v>
      </c>
      <c r="E62" s="116">
        <v>0</v>
      </c>
      <c r="F62" s="1" t="s">
        <v>9</v>
      </c>
      <c r="G62" s="1" t="s">
        <v>172</v>
      </c>
      <c r="H62" s="1">
        <v>5</v>
      </c>
      <c r="I62" s="1" t="str" cm="1">
        <f t="array" ref="I62">_xlfn.IFS(a.nike.original.man[[#This Row],[Rating]]&lt;=2.9, "0 - 2.9",a.nike.original.man[[#This Row],[Rating]]&lt;=3.9,"3 - 3.9", a.nike.original.man[[#This Row],[Rating]]&lt;=5,"4 - 5")</f>
        <v>4 - 5</v>
      </c>
      <c r="J62" s="1">
        <v>1</v>
      </c>
      <c r="K62" s="1" t="str" cm="1">
        <f t="array" ref="K62">_xlfn.IFS(a.nike.original.man[[#This Row],[Reviews]]&lt;=7, "Below Average", a.nike.original.man[[#This Row],[Reviews]]&gt;=8, "Average +")</f>
        <v>Below Average</v>
      </c>
      <c r="L62" s="11" t="s">
        <v>1520</v>
      </c>
      <c r="M62" s="1" t="s">
        <v>1470</v>
      </c>
    </row>
    <row r="63" spans="1:13" x14ac:dyDescent="0.2">
      <c r="A63" s="2" t="s">
        <v>185</v>
      </c>
      <c r="B63" s="2" t="s">
        <v>186</v>
      </c>
      <c r="C63" s="331">
        <v>0</v>
      </c>
      <c r="D63" s="331">
        <v>70</v>
      </c>
      <c r="E63" s="116">
        <v>0</v>
      </c>
      <c r="F63" s="2" t="s">
        <v>9</v>
      </c>
      <c r="G63" s="2" t="s">
        <v>187</v>
      </c>
      <c r="H63" s="2">
        <v>5</v>
      </c>
      <c r="I63" s="2" t="str" cm="1">
        <f t="array" ref="I63">_xlfn.IFS(a.nike.original.man[[#This Row],[Rating]]&lt;=2.9, "0 - 2.9",a.nike.original.man[[#This Row],[Rating]]&lt;=3.9,"3 - 3.9", a.nike.original.man[[#This Row],[Rating]]&lt;=5,"4 - 5")</f>
        <v>4 - 5</v>
      </c>
      <c r="J63" s="2">
        <v>1</v>
      </c>
      <c r="K63" s="2" t="str" cm="1">
        <f t="array" ref="K63">_xlfn.IFS(a.nike.original.man[[#This Row],[Reviews]]&lt;=7, "Below Average", a.nike.original.man[[#This Row],[Reviews]]&gt;=8, "Average +")</f>
        <v>Below Average</v>
      </c>
      <c r="L63" s="12" t="s">
        <v>1520</v>
      </c>
      <c r="M63" s="2" t="s">
        <v>1470</v>
      </c>
    </row>
    <row r="64" spans="1:13" x14ac:dyDescent="0.2">
      <c r="A64" s="2" t="s">
        <v>173</v>
      </c>
      <c r="B64" s="2" t="s">
        <v>174</v>
      </c>
      <c r="C64" s="331">
        <v>0</v>
      </c>
      <c r="D64" s="331">
        <v>110</v>
      </c>
      <c r="E64" s="116">
        <v>0</v>
      </c>
      <c r="F64" s="2" t="s">
        <v>9</v>
      </c>
      <c r="G64" s="2" t="s">
        <v>175</v>
      </c>
      <c r="H64" s="2">
        <v>0</v>
      </c>
      <c r="I64" s="2" t="str" cm="1">
        <f t="array" ref="I64">_xlfn.IFS(a.nike.original.man[[#This Row],[Rating]]&lt;=2.9, "0 - 2.9",a.nike.original.man[[#This Row],[Rating]]&lt;=3.9,"3 - 3.9", a.nike.original.man[[#This Row],[Rating]]&lt;=5,"4 - 5")</f>
        <v>0 - 2.9</v>
      </c>
      <c r="J64" s="2">
        <v>0</v>
      </c>
      <c r="K64" s="2" t="str" cm="1">
        <f t="array" ref="K64">_xlfn.IFS(a.nike.original.man[[#This Row],[Reviews]]&lt;=7, "Below Average", a.nike.original.man[[#This Row],[Reviews]]&gt;=8, "Average +")</f>
        <v>Below Average</v>
      </c>
      <c r="L64" s="12" t="s">
        <v>1520</v>
      </c>
      <c r="M64" s="2" t="s">
        <v>1470</v>
      </c>
    </row>
    <row r="65" spans="1:13" x14ac:dyDescent="0.2">
      <c r="A65" s="2" t="s">
        <v>179</v>
      </c>
      <c r="B65" s="2" t="s">
        <v>180</v>
      </c>
      <c r="C65" s="331">
        <v>0</v>
      </c>
      <c r="D65" s="331">
        <v>80</v>
      </c>
      <c r="E65" s="116">
        <v>0</v>
      </c>
      <c r="F65" s="2" t="s">
        <v>9</v>
      </c>
      <c r="G65" s="2" t="s">
        <v>181</v>
      </c>
      <c r="H65" s="2">
        <v>0</v>
      </c>
      <c r="I65" s="2" t="str" cm="1">
        <f t="array" ref="I65">_xlfn.IFS(a.nike.original.man[[#This Row],[Rating]]&lt;=2.9, "0 - 2.9",a.nike.original.man[[#This Row],[Rating]]&lt;=3.9,"3 - 3.9", a.nike.original.man[[#This Row],[Rating]]&lt;=5,"4 - 5")</f>
        <v>0 - 2.9</v>
      </c>
      <c r="J65" s="2">
        <v>0</v>
      </c>
      <c r="K65" s="2" t="str" cm="1">
        <f t="array" ref="K65">_xlfn.IFS(a.nike.original.man[[#This Row],[Reviews]]&lt;=7, "Below Average", a.nike.original.man[[#This Row],[Reviews]]&gt;=8, "Average +")</f>
        <v>Below Average</v>
      </c>
      <c r="L65" s="12" t="s">
        <v>1520</v>
      </c>
      <c r="M65" s="2" t="s">
        <v>1470</v>
      </c>
    </row>
    <row r="66" spans="1:13" x14ac:dyDescent="0.2">
      <c r="A66" s="1" t="s">
        <v>182</v>
      </c>
      <c r="B66" s="1" t="s">
        <v>183</v>
      </c>
      <c r="C66" s="330">
        <v>0</v>
      </c>
      <c r="D66" s="330">
        <v>120</v>
      </c>
      <c r="E66" s="116">
        <v>0</v>
      </c>
      <c r="F66" s="1" t="s">
        <v>9</v>
      </c>
      <c r="G66" s="1" t="s">
        <v>184</v>
      </c>
      <c r="H66" s="1">
        <v>0</v>
      </c>
      <c r="I66" s="1" t="str" cm="1">
        <f t="array" ref="I66">_xlfn.IFS(a.nike.original.man[[#This Row],[Rating]]&lt;=2.9, "0 - 2.9",a.nike.original.man[[#This Row],[Rating]]&lt;=3.9,"3 - 3.9", a.nike.original.man[[#This Row],[Rating]]&lt;=5,"4 - 5")</f>
        <v>0 - 2.9</v>
      </c>
      <c r="J66" s="1">
        <v>0</v>
      </c>
      <c r="K66" s="1" t="str" cm="1">
        <f t="array" ref="K66">_xlfn.IFS(a.nike.original.man[[#This Row],[Reviews]]&lt;=7, "Below Average", a.nike.original.man[[#This Row],[Reviews]]&gt;=8, "Average +")</f>
        <v>Below Average</v>
      </c>
      <c r="L66" s="11" t="s">
        <v>1520</v>
      </c>
      <c r="M66" s="1" t="s">
        <v>1470</v>
      </c>
    </row>
    <row r="67" spans="1:13" x14ac:dyDescent="0.2">
      <c r="A67" s="2" t="s">
        <v>191</v>
      </c>
      <c r="B67" s="2" t="s">
        <v>192</v>
      </c>
      <c r="C67" s="331">
        <v>0</v>
      </c>
      <c r="D67" s="331">
        <v>170</v>
      </c>
      <c r="E67" s="116">
        <v>0</v>
      </c>
      <c r="F67" s="2" t="s">
        <v>9</v>
      </c>
      <c r="G67" s="2" t="s">
        <v>193</v>
      </c>
      <c r="H67" s="2">
        <v>0</v>
      </c>
      <c r="I67" s="2" t="str" cm="1">
        <f t="array" ref="I67">_xlfn.IFS(a.nike.original.man[[#This Row],[Rating]]&lt;=2.9, "0 - 2.9",a.nike.original.man[[#This Row],[Rating]]&lt;=3.9,"3 - 3.9", a.nike.original.man[[#This Row],[Rating]]&lt;=5,"4 - 5")</f>
        <v>0 - 2.9</v>
      </c>
      <c r="J67" s="2">
        <v>0</v>
      </c>
      <c r="K67" s="2" t="str" cm="1">
        <f t="array" ref="K67">_xlfn.IFS(a.nike.original.man[[#This Row],[Reviews]]&lt;=7, "Below Average", a.nike.original.man[[#This Row],[Reviews]]&gt;=8, "Average +")</f>
        <v>Below Average</v>
      </c>
      <c r="L67" s="12" t="s">
        <v>1520</v>
      </c>
      <c r="M67" s="2" t="s">
        <v>1470</v>
      </c>
    </row>
    <row r="68" spans="1:13" x14ac:dyDescent="0.2">
      <c r="A68" s="2" t="s">
        <v>195</v>
      </c>
      <c r="B68" s="2" t="s">
        <v>196</v>
      </c>
      <c r="C68" s="331">
        <v>0</v>
      </c>
      <c r="D68" s="331">
        <v>120</v>
      </c>
      <c r="E68" s="116">
        <v>0</v>
      </c>
      <c r="F68" s="2" t="s">
        <v>9</v>
      </c>
      <c r="G68" s="2" t="s">
        <v>197</v>
      </c>
      <c r="H68" s="2">
        <v>5</v>
      </c>
      <c r="I68" s="2" t="str" cm="1">
        <f t="array" ref="I68">_xlfn.IFS(a.nike.original.man[[#This Row],[Rating]]&lt;=2.9, "0 - 2.9",a.nike.original.man[[#This Row],[Rating]]&lt;=3.9,"3 - 3.9", a.nike.original.man[[#This Row],[Rating]]&lt;=5,"4 - 5")</f>
        <v>4 - 5</v>
      </c>
      <c r="J68" s="2">
        <v>2</v>
      </c>
      <c r="K68" s="2" t="str" cm="1">
        <f t="array" ref="K68">_xlfn.IFS(a.nike.original.man[[#This Row],[Reviews]]&lt;=7, "Below Average", a.nike.original.man[[#This Row],[Reviews]]&gt;=8, "Average +")</f>
        <v>Below Average</v>
      </c>
      <c r="L68" s="12" t="s">
        <v>1521</v>
      </c>
      <c r="M68" s="2" t="s">
        <v>1470</v>
      </c>
    </row>
    <row r="69" spans="1:13" x14ac:dyDescent="0.2">
      <c r="A69" s="2" t="s">
        <v>201</v>
      </c>
      <c r="B69" s="2" t="s">
        <v>202</v>
      </c>
      <c r="C69" s="331">
        <v>139.94999999999999</v>
      </c>
      <c r="D69" s="331">
        <v>84</v>
      </c>
      <c r="E69" s="116">
        <v>0.4</v>
      </c>
      <c r="F69" s="2" t="s">
        <v>9</v>
      </c>
      <c r="G69" s="2" t="s">
        <v>203</v>
      </c>
      <c r="H69" s="2">
        <v>5</v>
      </c>
      <c r="I69" s="2" t="str" cm="1">
        <f t="array" ref="I69">_xlfn.IFS(a.nike.original.man[[#This Row],[Rating]]&lt;=2.9, "0 - 2.9",a.nike.original.man[[#This Row],[Rating]]&lt;=3.9,"3 - 3.9", a.nike.original.man[[#This Row],[Rating]]&lt;=5,"4 - 5")</f>
        <v>4 - 5</v>
      </c>
      <c r="J69" s="2">
        <v>2</v>
      </c>
      <c r="K69" s="2" t="str" cm="1">
        <f t="array" ref="K69">_xlfn.IFS(a.nike.original.man[[#This Row],[Reviews]]&lt;=7, "Below Average", a.nike.original.man[[#This Row],[Reviews]]&gt;=8, "Average +")</f>
        <v>Below Average</v>
      </c>
      <c r="L69" s="12" t="s">
        <v>1521</v>
      </c>
      <c r="M69" s="2" t="s">
        <v>1470</v>
      </c>
    </row>
    <row r="70" spans="1:13" x14ac:dyDescent="0.2">
      <c r="A70" s="1" t="s">
        <v>37</v>
      </c>
      <c r="B70" s="1" t="s">
        <v>204</v>
      </c>
      <c r="C70" s="330">
        <v>0</v>
      </c>
      <c r="D70" s="330">
        <v>100</v>
      </c>
      <c r="E70" s="116">
        <v>0</v>
      </c>
      <c r="F70" s="1" t="s">
        <v>9</v>
      </c>
      <c r="G70" s="1" t="s">
        <v>39</v>
      </c>
      <c r="H70" s="1">
        <v>5</v>
      </c>
      <c r="I70" s="1" t="str" cm="1">
        <f t="array" ref="I70">_xlfn.IFS(a.nike.original.man[[#This Row],[Rating]]&lt;=2.9, "0 - 2.9",a.nike.original.man[[#This Row],[Rating]]&lt;=3.9,"3 - 3.9", a.nike.original.man[[#This Row],[Rating]]&lt;=5,"4 - 5")</f>
        <v>4 - 5</v>
      </c>
      <c r="J70" s="1">
        <v>9</v>
      </c>
      <c r="K70" s="1" t="str" cm="1">
        <f t="array" ref="K70">_xlfn.IFS(a.nike.original.man[[#This Row],[Reviews]]&lt;=7, "Below Average", a.nike.original.man[[#This Row],[Reviews]]&gt;=8, "Average +")</f>
        <v>Average +</v>
      </c>
      <c r="L70" s="11" t="s">
        <v>1521</v>
      </c>
      <c r="M70" s="1" t="s">
        <v>1470</v>
      </c>
    </row>
    <row r="71" spans="1:13" x14ac:dyDescent="0.2">
      <c r="A71" s="1" t="s">
        <v>45</v>
      </c>
      <c r="B71" s="1" t="s">
        <v>194</v>
      </c>
      <c r="C71" s="330">
        <v>0</v>
      </c>
      <c r="D71" s="330">
        <v>80</v>
      </c>
      <c r="E71" s="116">
        <v>0</v>
      </c>
      <c r="F71" s="1" t="s">
        <v>9</v>
      </c>
      <c r="G71" s="1" t="s">
        <v>47</v>
      </c>
      <c r="H71" s="1">
        <v>0</v>
      </c>
      <c r="I71" s="1" t="str" cm="1">
        <f t="array" ref="I71">_xlfn.IFS(a.nike.original.man[[#This Row],[Rating]]&lt;=2.9, "0 - 2.9",a.nike.original.man[[#This Row],[Rating]]&lt;=3.9,"3 - 3.9", a.nike.original.man[[#This Row],[Rating]]&lt;=5,"4 - 5")</f>
        <v>0 - 2.9</v>
      </c>
      <c r="J71" s="1">
        <v>0</v>
      </c>
      <c r="K71" s="1" t="str" cm="1">
        <f t="array" ref="K71">_xlfn.IFS(a.nike.original.man[[#This Row],[Reviews]]&lt;=7, "Below Average", a.nike.original.man[[#This Row],[Reviews]]&gt;=8, "Average +")</f>
        <v>Below Average</v>
      </c>
      <c r="L71" s="11" t="s">
        <v>1521</v>
      </c>
      <c r="M71" s="1" t="s">
        <v>1470</v>
      </c>
    </row>
    <row r="72" spans="1:13" x14ac:dyDescent="0.2">
      <c r="A72" s="1" t="s">
        <v>198</v>
      </c>
      <c r="B72" s="1" t="s">
        <v>199</v>
      </c>
      <c r="C72" s="330">
        <v>0</v>
      </c>
      <c r="D72" s="330">
        <v>250</v>
      </c>
      <c r="E72" s="116">
        <v>0</v>
      </c>
      <c r="F72" s="1" t="s">
        <v>9</v>
      </c>
      <c r="G72" s="1" t="s">
        <v>200</v>
      </c>
      <c r="H72" s="1">
        <v>0</v>
      </c>
      <c r="I72" s="1" t="str" cm="1">
        <f t="array" ref="I72">_xlfn.IFS(a.nike.original.man[[#This Row],[Rating]]&lt;=2.9, "0 - 2.9",a.nike.original.man[[#This Row],[Rating]]&lt;=3.9,"3 - 3.9", a.nike.original.man[[#This Row],[Rating]]&lt;=5,"4 - 5")</f>
        <v>0 - 2.9</v>
      </c>
      <c r="J72" s="1">
        <v>0</v>
      </c>
      <c r="K72" s="1" t="str" cm="1">
        <f t="array" ref="K72">_xlfn.IFS(a.nike.original.man[[#This Row],[Reviews]]&lt;=7, "Below Average", a.nike.original.man[[#This Row],[Reviews]]&gt;=8, "Average +")</f>
        <v>Below Average</v>
      </c>
      <c r="L72" s="11" t="s">
        <v>1521</v>
      </c>
      <c r="M72" s="1" t="s">
        <v>1470</v>
      </c>
    </row>
    <row r="73" spans="1:13" x14ac:dyDescent="0.2">
      <c r="A73" s="2" t="s">
        <v>205</v>
      </c>
      <c r="B73" s="2" t="s">
        <v>206</v>
      </c>
      <c r="C73" s="331">
        <v>0</v>
      </c>
      <c r="D73" s="331">
        <v>60</v>
      </c>
      <c r="E73" s="116">
        <v>0</v>
      </c>
      <c r="F73" s="2" t="s">
        <v>9</v>
      </c>
      <c r="G73" s="2" t="s">
        <v>207</v>
      </c>
      <c r="H73" s="2">
        <v>0</v>
      </c>
      <c r="I73" s="2" t="str" cm="1">
        <f t="array" ref="I73">_xlfn.IFS(a.nike.original.man[[#This Row],[Rating]]&lt;=2.9, "0 - 2.9",a.nike.original.man[[#This Row],[Rating]]&lt;=3.9,"3 - 3.9", a.nike.original.man[[#This Row],[Rating]]&lt;=5,"4 - 5")</f>
        <v>0 - 2.9</v>
      </c>
      <c r="J73" s="2">
        <v>0</v>
      </c>
      <c r="K73" s="2" t="str" cm="1">
        <f t="array" ref="K73">_xlfn.IFS(a.nike.original.man[[#This Row],[Reviews]]&lt;=7, "Below Average", a.nike.original.man[[#This Row],[Reviews]]&gt;=8, "Average +")</f>
        <v>Below Average</v>
      </c>
      <c r="L73" s="12" t="s">
        <v>1521</v>
      </c>
      <c r="M73" s="2" t="s">
        <v>1470</v>
      </c>
    </row>
    <row r="74" spans="1:13" x14ac:dyDescent="0.2">
      <c r="A74" s="2" t="s">
        <v>226</v>
      </c>
      <c r="B74" s="2" t="s">
        <v>227</v>
      </c>
      <c r="C74" s="331">
        <v>0</v>
      </c>
      <c r="D74" s="331">
        <v>80</v>
      </c>
      <c r="E74" s="116">
        <v>0</v>
      </c>
      <c r="F74" s="2" t="s">
        <v>9</v>
      </c>
      <c r="G74" s="2" t="s">
        <v>228</v>
      </c>
      <c r="H74" s="2">
        <v>2.7</v>
      </c>
      <c r="I74" s="2" t="str" cm="1">
        <f t="array" ref="I74">_xlfn.IFS(a.nike.original.man[[#This Row],[Rating]]&lt;=2.9, "0 - 2.9",a.nike.original.man[[#This Row],[Rating]]&lt;=3.9,"3 - 3.9", a.nike.original.man[[#This Row],[Rating]]&lt;=5,"4 - 5")</f>
        <v>0 - 2.9</v>
      </c>
      <c r="J74" s="2">
        <v>3</v>
      </c>
      <c r="K74" s="2" t="str" cm="1">
        <f t="array" ref="K74">_xlfn.IFS(a.nike.original.man[[#This Row],[Reviews]]&lt;=7, "Below Average", a.nike.original.man[[#This Row],[Reviews]]&gt;=8, "Average +")</f>
        <v>Below Average</v>
      </c>
      <c r="L74" s="12" t="s">
        <v>1522</v>
      </c>
      <c r="M74" s="2" t="s">
        <v>1470</v>
      </c>
    </row>
    <row r="75" spans="1:13" x14ac:dyDescent="0.2">
      <c r="A75" s="2" t="s">
        <v>132</v>
      </c>
      <c r="B75" s="2" t="s">
        <v>215</v>
      </c>
      <c r="C75" s="331">
        <v>129.94999999999999</v>
      </c>
      <c r="D75" s="331">
        <v>78</v>
      </c>
      <c r="E75" s="116">
        <v>0.4</v>
      </c>
      <c r="F75" s="2" t="s">
        <v>9</v>
      </c>
      <c r="G75" s="2" t="s">
        <v>216</v>
      </c>
      <c r="H75" s="2">
        <v>3.9</v>
      </c>
      <c r="I75" s="2" t="str" cm="1">
        <f t="array" ref="I75">_xlfn.IFS(a.nike.original.man[[#This Row],[Rating]]&lt;=2.9, "0 - 2.9",a.nike.original.man[[#This Row],[Rating]]&lt;=3.9,"3 - 3.9", a.nike.original.man[[#This Row],[Rating]]&lt;=5,"4 - 5")</f>
        <v>3 - 3.9</v>
      </c>
      <c r="J75" s="2">
        <v>33</v>
      </c>
      <c r="K75" s="2" t="str" cm="1">
        <f t="array" ref="K75">_xlfn.IFS(a.nike.original.man[[#This Row],[Reviews]]&lt;=7, "Below Average", a.nike.original.man[[#This Row],[Reviews]]&gt;=8, "Average +")</f>
        <v>Average +</v>
      </c>
      <c r="L75" s="12" t="s">
        <v>1522</v>
      </c>
      <c r="M75" s="2" t="s">
        <v>1470</v>
      </c>
    </row>
    <row r="76" spans="1:13" x14ac:dyDescent="0.2">
      <c r="A76" s="1" t="s">
        <v>217</v>
      </c>
      <c r="B76" s="1" t="s">
        <v>218</v>
      </c>
      <c r="C76" s="330">
        <v>99.95</v>
      </c>
      <c r="D76" s="330">
        <v>60</v>
      </c>
      <c r="E76" s="116">
        <v>0.4</v>
      </c>
      <c r="F76" s="1" t="s">
        <v>9</v>
      </c>
      <c r="G76" s="1" t="s">
        <v>219</v>
      </c>
      <c r="H76" s="1">
        <v>3.7</v>
      </c>
      <c r="I76" s="1" t="str" cm="1">
        <f t="array" ref="I76">_xlfn.IFS(a.nike.original.man[[#This Row],[Rating]]&lt;=2.9, "0 - 2.9",a.nike.original.man[[#This Row],[Rating]]&lt;=3.9,"3 - 3.9", a.nike.original.man[[#This Row],[Rating]]&lt;=5,"4 - 5")</f>
        <v>3 - 3.9</v>
      </c>
      <c r="J76" s="1">
        <v>27</v>
      </c>
      <c r="K76" s="1" t="str" cm="1">
        <f t="array" ref="K76">_xlfn.IFS(a.nike.original.man[[#This Row],[Reviews]]&lt;=7, "Below Average", a.nike.original.man[[#This Row],[Reviews]]&gt;=8, "Average +")</f>
        <v>Average +</v>
      </c>
      <c r="L76" s="11" t="s">
        <v>1522</v>
      </c>
      <c r="M76" s="1" t="s">
        <v>1470</v>
      </c>
    </row>
    <row r="77" spans="1:13" x14ac:dyDescent="0.2">
      <c r="A77" s="2" t="s">
        <v>34</v>
      </c>
      <c r="B77" s="2" t="s">
        <v>211</v>
      </c>
      <c r="C77" s="331">
        <v>0</v>
      </c>
      <c r="D77" s="331">
        <v>150</v>
      </c>
      <c r="E77" s="116">
        <v>0</v>
      </c>
      <c r="F77" s="2" t="s">
        <v>9</v>
      </c>
      <c r="G77" s="2" t="s">
        <v>36</v>
      </c>
      <c r="H77" s="2">
        <v>5</v>
      </c>
      <c r="I77" s="2" t="str" cm="1">
        <f t="array" ref="I77">_xlfn.IFS(a.nike.original.man[[#This Row],[Rating]]&lt;=2.9, "0 - 2.9",a.nike.original.man[[#This Row],[Rating]]&lt;=3.9,"3 - 3.9", a.nike.original.man[[#This Row],[Rating]]&lt;=5,"4 - 5")</f>
        <v>4 - 5</v>
      </c>
      <c r="J77" s="2">
        <v>1</v>
      </c>
      <c r="K77" s="2" t="str" cm="1">
        <f t="array" ref="K77">_xlfn.IFS(a.nike.original.man[[#This Row],[Reviews]]&lt;=7, "Below Average", a.nike.original.man[[#This Row],[Reviews]]&gt;=8, "Average +")</f>
        <v>Below Average</v>
      </c>
      <c r="L77" s="12" t="s">
        <v>1522</v>
      </c>
      <c r="M77" s="2" t="s">
        <v>1470</v>
      </c>
    </row>
    <row r="78" spans="1:13" x14ac:dyDescent="0.2">
      <c r="A78" s="2" t="s">
        <v>220</v>
      </c>
      <c r="B78" s="2" t="s">
        <v>221</v>
      </c>
      <c r="C78" s="331">
        <v>0</v>
      </c>
      <c r="D78" s="331">
        <v>88</v>
      </c>
      <c r="E78" s="116">
        <v>0</v>
      </c>
      <c r="F78" s="2" t="s">
        <v>9</v>
      </c>
      <c r="G78" s="2" t="s">
        <v>222</v>
      </c>
      <c r="H78" s="2">
        <v>4.2</v>
      </c>
      <c r="I78" s="2" t="str" cm="1">
        <f t="array" ref="I78">_xlfn.IFS(a.nike.original.man[[#This Row],[Rating]]&lt;=2.9, "0 - 2.9",a.nike.original.man[[#This Row],[Rating]]&lt;=3.9,"3 - 3.9", a.nike.original.man[[#This Row],[Rating]]&lt;=5,"4 - 5")</f>
        <v>4 - 5</v>
      </c>
      <c r="J78" s="2">
        <v>9</v>
      </c>
      <c r="K78" s="2" t="str" cm="1">
        <f t="array" ref="K78">_xlfn.IFS(a.nike.original.man[[#This Row],[Reviews]]&lt;=7, "Below Average", a.nike.original.man[[#This Row],[Reviews]]&gt;=8, "Average +")</f>
        <v>Average +</v>
      </c>
      <c r="L78" s="12" t="s">
        <v>1522</v>
      </c>
      <c r="M78" s="2" t="s">
        <v>1470</v>
      </c>
    </row>
    <row r="79" spans="1:13" x14ac:dyDescent="0.2">
      <c r="A79" s="1" t="s">
        <v>212</v>
      </c>
      <c r="B79" s="1" t="s">
        <v>213</v>
      </c>
      <c r="C79" s="330">
        <v>0</v>
      </c>
      <c r="D79" s="330">
        <v>120</v>
      </c>
      <c r="E79" s="116">
        <v>0</v>
      </c>
      <c r="F79" s="1" t="s">
        <v>9</v>
      </c>
      <c r="G79" s="1" t="s">
        <v>214</v>
      </c>
      <c r="H79" s="1">
        <v>0</v>
      </c>
      <c r="I79" s="1" t="str" cm="1">
        <f t="array" ref="I79">_xlfn.IFS(a.nike.original.man[[#This Row],[Rating]]&lt;=2.9, "0 - 2.9",a.nike.original.man[[#This Row],[Rating]]&lt;=3.9,"3 - 3.9", a.nike.original.man[[#This Row],[Rating]]&lt;=5,"4 - 5")</f>
        <v>0 - 2.9</v>
      </c>
      <c r="J79" s="1">
        <v>0</v>
      </c>
      <c r="K79" s="1" t="str" cm="1">
        <f t="array" ref="K79">_xlfn.IFS(a.nike.original.man[[#This Row],[Reviews]]&lt;=7, "Below Average", a.nike.original.man[[#This Row],[Reviews]]&gt;=8, "Average +")</f>
        <v>Below Average</v>
      </c>
      <c r="L79" s="11" t="s">
        <v>1522</v>
      </c>
      <c r="M79" s="1" t="s">
        <v>1470</v>
      </c>
    </row>
    <row r="80" spans="1:13" x14ac:dyDescent="0.2">
      <c r="A80" s="1" t="s">
        <v>223</v>
      </c>
      <c r="B80" s="1" t="s">
        <v>224</v>
      </c>
      <c r="C80" s="330">
        <v>0</v>
      </c>
      <c r="D80" s="330">
        <v>90</v>
      </c>
      <c r="E80" s="116">
        <v>0</v>
      </c>
      <c r="F80" s="1" t="s">
        <v>9</v>
      </c>
      <c r="G80" s="1" t="s">
        <v>225</v>
      </c>
      <c r="H80" s="1">
        <v>0</v>
      </c>
      <c r="I80" s="1" t="str" cm="1">
        <f t="array" ref="I80">_xlfn.IFS(a.nike.original.man[[#This Row],[Rating]]&lt;=2.9, "0 - 2.9",a.nike.original.man[[#This Row],[Rating]]&lt;=3.9,"3 - 3.9", a.nike.original.man[[#This Row],[Rating]]&lt;=5,"4 - 5")</f>
        <v>0 - 2.9</v>
      </c>
      <c r="J80" s="1">
        <v>0</v>
      </c>
      <c r="K80" s="1" t="str" cm="1">
        <f t="array" ref="K80">_xlfn.IFS(a.nike.original.man[[#This Row],[Reviews]]&lt;=7, "Below Average", a.nike.original.man[[#This Row],[Reviews]]&gt;=8, "Average +")</f>
        <v>Below Average</v>
      </c>
      <c r="L80" s="11" t="s">
        <v>1522</v>
      </c>
      <c r="M80" s="1" t="s">
        <v>1470</v>
      </c>
    </row>
    <row r="81" spans="1:13" x14ac:dyDescent="0.2">
      <c r="A81" s="1" t="s">
        <v>229</v>
      </c>
      <c r="B81" s="1" t="s">
        <v>230</v>
      </c>
      <c r="C81" s="330">
        <v>0</v>
      </c>
      <c r="D81" s="330">
        <v>70</v>
      </c>
      <c r="E81" s="116">
        <v>0</v>
      </c>
      <c r="F81" s="1" t="s">
        <v>9</v>
      </c>
      <c r="G81" s="1" t="s">
        <v>231</v>
      </c>
      <c r="H81" s="1">
        <v>0</v>
      </c>
      <c r="I81" s="1" t="str" cm="1">
        <f t="array" ref="I81">_xlfn.IFS(a.nike.original.man[[#This Row],[Rating]]&lt;=2.9, "0 - 2.9",a.nike.original.man[[#This Row],[Rating]]&lt;=3.9,"3 - 3.9", a.nike.original.man[[#This Row],[Rating]]&lt;=5,"4 - 5")</f>
        <v>0 - 2.9</v>
      </c>
      <c r="J81" s="1">
        <v>0</v>
      </c>
      <c r="K81" s="1" t="str" cm="1">
        <f t="array" ref="K81">_xlfn.IFS(a.nike.original.man[[#This Row],[Reviews]]&lt;=7, "Below Average", a.nike.original.man[[#This Row],[Reviews]]&gt;=8, "Average +")</f>
        <v>Below Average</v>
      </c>
      <c r="L81" s="11" t="s">
        <v>1522</v>
      </c>
      <c r="M81" s="1" t="s">
        <v>1470</v>
      </c>
    </row>
    <row r="82" spans="1:13" x14ac:dyDescent="0.2">
      <c r="A82" s="1" t="s">
        <v>208</v>
      </c>
      <c r="B82" s="1" t="s">
        <v>209</v>
      </c>
      <c r="C82" s="330">
        <v>0</v>
      </c>
      <c r="D82" s="330">
        <v>80</v>
      </c>
      <c r="E82" s="1">
        <v>0</v>
      </c>
      <c r="F82" s="1" t="s">
        <v>9</v>
      </c>
      <c r="G82" s="1" t="s">
        <v>210</v>
      </c>
      <c r="H82" s="1">
        <v>3.1</v>
      </c>
      <c r="I82" s="1" t="str" cm="1">
        <f t="array" ref="I82">_xlfn.IFS(a.nike.original.man[[#This Row],[Rating]]&lt;=2.9, "0 - 2.9",a.nike.original.man[[#This Row],[Rating]]&lt;=3.9,"3 - 3.9", a.nike.original.man[[#This Row],[Rating]]&lt;=5,"4 - 5")</f>
        <v>3 - 3.9</v>
      </c>
      <c r="J82" s="1">
        <v>8</v>
      </c>
      <c r="K82" s="1" t="str" cm="1">
        <f t="array" ref="K82">_xlfn.IFS(a.nike.original.man[[#This Row],[Reviews]]&lt;=7, "Below Average", a.nike.original.man[[#This Row],[Reviews]]&gt;=8, "Average +")</f>
        <v>Average +</v>
      </c>
      <c r="L82" s="11" t="s">
        <v>1522</v>
      </c>
      <c r="M82" s="1" t="s">
        <v>1470</v>
      </c>
    </row>
    <row r="83" spans="1:13" x14ac:dyDescent="0.2">
      <c r="A83" s="1" t="s">
        <v>23</v>
      </c>
      <c r="B83" s="1" t="s">
        <v>235</v>
      </c>
      <c r="C83" s="330">
        <v>0</v>
      </c>
      <c r="D83" s="330">
        <v>100</v>
      </c>
      <c r="E83" s="116">
        <v>0</v>
      </c>
      <c r="F83" s="1" t="s">
        <v>9</v>
      </c>
      <c r="G83" s="1" t="s">
        <v>30</v>
      </c>
      <c r="H83" s="1">
        <v>5</v>
      </c>
      <c r="I83" s="1" t="str" cm="1">
        <f t="array" ref="I83">_xlfn.IFS(a.nike.original.man[[#This Row],[Rating]]&lt;=2.9, "0 - 2.9",a.nike.original.man[[#This Row],[Rating]]&lt;=3.9,"3 - 3.9", a.nike.original.man[[#This Row],[Rating]]&lt;=5,"4 - 5")</f>
        <v>4 - 5</v>
      </c>
      <c r="J83" s="1">
        <v>1</v>
      </c>
      <c r="K83" s="1" t="str" cm="1">
        <f t="array" ref="K83">_xlfn.IFS(a.nike.original.man[[#This Row],[Reviews]]&lt;=7, "Below Average", a.nike.original.man[[#This Row],[Reviews]]&gt;=8, "Average +")</f>
        <v>Below Average</v>
      </c>
      <c r="L83" s="11" t="s">
        <v>1523</v>
      </c>
      <c r="M83" s="1" t="s">
        <v>1470</v>
      </c>
    </row>
    <row r="84" spans="1:13" x14ac:dyDescent="0.2">
      <c r="A84" s="2" t="s">
        <v>232</v>
      </c>
      <c r="B84" s="2" t="s">
        <v>233</v>
      </c>
      <c r="C84" s="331">
        <v>0</v>
      </c>
      <c r="D84" s="331">
        <v>150</v>
      </c>
      <c r="E84" s="116">
        <v>0</v>
      </c>
      <c r="F84" s="2" t="s">
        <v>9</v>
      </c>
      <c r="G84" s="2" t="s">
        <v>234</v>
      </c>
      <c r="H84" s="2">
        <v>0</v>
      </c>
      <c r="I84" s="2" t="str" cm="1">
        <f t="array" ref="I84">_xlfn.IFS(a.nike.original.man[[#This Row],[Rating]]&lt;=2.9, "0 - 2.9",a.nike.original.man[[#This Row],[Rating]]&lt;=3.9,"3 - 3.9", a.nike.original.man[[#This Row],[Rating]]&lt;=5,"4 - 5")</f>
        <v>0 - 2.9</v>
      </c>
      <c r="J84" s="2">
        <v>0</v>
      </c>
      <c r="K84" s="2" t="str" cm="1">
        <f t="array" ref="K84">_xlfn.IFS(a.nike.original.man[[#This Row],[Reviews]]&lt;=7, "Below Average", a.nike.original.man[[#This Row],[Reviews]]&gt;=8, "Average +")</f>
        <v>Below Average</v>
      </c>
      <c r="L84" s="12" t="s">
        <v>1523</v>
      </c>
      <c r="M84" s="2" t="s">
        <v>1470</v>
      </c>
    </row>
    <row r="85" spans="1:13" x14ac:dyDescent="0.2">
      <c r="A85" s="2" t="s">
        <v>236</v>
      </c>
      <c r="B85" s="2" t="s">
        <v>237</v>
      </c>
      <c r="C85" s="331">
        <v>0</v>
      </c>
      <c r="D85" s="331">
        <v>80</v>
      </c>
      <c r="E85" s="116">
        <v>0</v>
      </c>
      <c r="F85" s="2" t="s">
        <v>9</v>
      </c>
      <c r="G85" s="2" t="s">
        <v>238</v>
      </c>
      <c r="H85" s="2">
        <v>0</v>
      </c>
      <c r="I85" s="2" t="str" cm="1">
        <f t="array" ref="I85">_xlfn.IFS(a.nike.original.man[[#This Row],[Rating]]&lt;=2.9, "0 - 2.9",a.nike.original.man[[#This Row],[Rating]]&lt;=3.9,"3 - 3.9", a.nike.original.man[[#This Row],[Rating]]&lt;=5,"4 - 5")</f>
        <v>0 - 2.9</v>
      </c>
      <c r="J85" s="2">
        <v>0</v>
      </c>
      <c r="K85" s="2" t="str" cm="1">
        <f t="array" ref="K85">_xlfn.IFS(a.nike.original.man[[#This Row],[Reviews]]&lt;=7, "Below Average", a.nike.original.man[[#This Row],[Reviews]]&gt;=8, "Average +")</f>
        <v>Below Average</v>
      </c>
      <c r="L85" s="12" t="s">
        <v>1523</v>
      </c>
      <c r="M85" s="2" t="s">
        <v>1470</v>
      </c>
    </row>
    <row r="86" spans="1:13" x14ac:dyDescent="0.2">
      <c r="A86" s="1" t="s">
        <v>239</v>
      </c>
      <c r="B86" s="1" t="s">
        <v>240</v>
      </c>
      <c r="C86" s="330">
        <v>0</v>
      </c>
      <c r="D86" s="330">
        <v>75</v>
      </c>
      <c r="E86" s="116">
        <v>0</v>
      </c>
      <c r="F86" s="1" t="s">
        <v>9</v>
      </c>
      <c r="G86" s="1" t="s">
        <v>241</v>
      </c>
      <c r="H86" s="1">
        <v>0</v>
      </c>
      <c r="I86" s="1" t="str" cm="1">
        <f t="array" ref="I86">_xlfn.IFS(a.nike.original.man[[#This Row],[Rating]]&lt;=2.9, "0 - 2.9",a.nike.original.man[[#This Row],[Rating]]&lt;=3.9,"3 - 3.9", a.nike.original.man[[#This Row],[Rating]]&lt;=5,"4 - 5")</f>
        <v>0 - 2.9</v>
      </c>
      <c r="J86" s="1">
        <v>0</v>
      </c>
      <c r="K86" s="1" t="str" cm="1">
        <f t="array" ref="K86">_xlfn.IFS(a.nike.original.man[[#This Row],[Reviews]]&lt;=7, "Below Average", a.nike.original.man[[#This Row],[Reviews]]&gt;=8, "Average +")</f>
        <v>Below Average</v>
      </c>
      <c r="L86" s="11" t="s">
        <v>1523</v>
      </c>
      <c r="M86" s="1" t="s">
        <v>1470</v>
      </c>
    </row>
    <row r="87" spans="1:13" x14ac:dyDescent="0.2">
      <c r="A87" s="1" t="s">
        <v>256</v>
      </c>
      <c r="B87" s="1" t="s">
        <v>257</v>
      </c>
      <c r="C87" s="330">
        <v>0</v>
      </c>
      <c r="D87" s="330">
        <v>75</v>
      </c>
      <c r="E87" s="116">
        <v>0</v>
      </c>
      <c r="F87" s="1" t="s">
        <v>9</v>
      </c>
      <c r="G87" s="1" t="s">
        <v>258</v>
      </c>
      <c r="H87" s="1">
        <v>2.8</v>
      </c>
      <c r="I87" s="1" t="str" cm="1">
        <f t="array" ref="I87">_xlfn.IFS(a.nike.original.man[[#This Row],[Rating]]&lt;=2.9, "0 - 2.9",a.nike.original.man[[#This Row],[Rating]]&lt;=3.9,"3 - 3.9", a.nike.original.man[[#This Row],[Rating]]&lt;=5,"4 - 5")</f>
        <v>0 - 2.9</v>
      </c>
      <c r="J87" s="1">
        <v>5</v>
      </c>
      <c r="K87" s="1" t="str" cm="1">
        <f t="array" ref="K87">_xlfn.IFS(a.nike.original.man[[#This Row],[Reviews]]&lt;=7, "Below Average", a.nike.original.man[[#This Row],[Reviews]]&gt;=8, "Average +")</f>
        <v>Below Average</v>
      </c>
      <c r="L87" s="11" t="s">
        <v>1524</v>
      </c>
      <c r="M87" s="1" t="s">
        <v>1470</v>
      </c>
    </row>
    <row r="88" spans="1:13" x14ac:dyDescent="0.2">
      <c r="A88" s="1" t="s">
        <v>251</v>
      </c>
      <c r="B88" s="1" t="s">
        <v>252</v>
      </c>
      <c r="C88" s="330">
        <v>169.95</v>
      </c>
      <c r="D88" s="330">
        <v>136</v>
      </c>
      <c r="E88" s="116">
        <v>0.2</v>
      </c>
      <c r="F88" s="1" t="s">
        <v>9</v>
      </c>
      <c r="G88" s="1" t="s">
        <v>253</v>
      </c>
      <c r="H88" s="1">
        <v>5</v>
      </c>
      <c r="I88" s="1" t="str" cm="1">
        <f t="array" ref="I88">_xlfn.IFS(a.nike.original.man[[#This Row],[Rating]]&lt;=2.9, "0 - 2.9",a.nike.original.man[[#This Row],[Rating]]&lt;=3.9,"3 - 3.9", a.nike.original.man[[#This Row],[Rating]]&lt;=5,"4 - 5")</f>
        <v>4 - 5</v>
      </c>
      <c r="J88" s="1">
        <v>2</v>
      </c>
      <c r="K88" s="1" t="str" cm="1">
        <f t="array" ref="K88">_xlfn.IFS(a.nike.original.man[[#This Row],[Reviews]]&lt;=7, "Below Average", a.nike.original.man[[#This Row],[Reviews]]&gt;=8, "Average +")</f>
        <v>Below Average</v>
      </c>
      <c r="L88" s="11" t="s">
        <v>1524</v>
      </c>
      <c r="M88" s="1" t="s">
        <v>1470</v>
      </c>
    </row>
    <row r="89" spans="1:13" x14ac:dyDescent="0.2">
      <c r="A89" s="2" t="s">
        <v>259</v>
      </c>
      <c r="B89" s="2" t="s">
        <v>260</v>
      </c>
      <c r="C89" s="331">
        <v>99.95</v>
      </c>
      <c r="D89" s="331">
        <v>70</v>
      </c>
      <c r="E89" s="116">
        <v>0.3</v>
      </c>
      <c r="F89" s="2" t="s">
        <v>9</v>
      </c>
      <c r="G89" s="2" t="s">
        <v>261</v>
      </c>
      <c r="H89" s="2">
        <v>4.5</v>
      </c>
      <c r="I89" s="2" t="str" cm="1">
        <f t="array" ref="I89">_xlfn.IFS(a.nike.original.man[[#This Row],[Rating]]&lt;=2.9, "0 - 2.9",a.nike.original.man[[#This Row],[Rating]]&lt;=3.9,"3 - 3.9", a.nike.original.man[[#This Row],[Rating]]&lt;=5,"4 - 5")</f>
        <v>4 - 5</v>
      </c>
      <c r="J89" s="2">
        <v>2</v>
      </c>
      <c r="K89" s="2" t="str" cm="1">
        <f t="array" ref="K89">_xlfn.IFS(a.nike.original.man[[#This Row],[Reviews]]&lt;=7, "Below Average", a.nike.original.man[[#This Row],[Reviews]]&gt;=8, "Average +")</f>
        <v>Below Average</v>
      </c>
      <c r="L89" s="12" t="s">
        <v>1524</v>
      </c>
      <c r="M89" s="2" t="s">
        <v>1470</v>
      </c>
    </row>
    <row r="90" spans="1:13" x14ac:dyDescent="0.2">
      <c r="A90" s="1" t="s">
        <v>262</v>
      </c>
      <c r="B90" s="1" t="s">
        <v>263</v>
      </c>
      <c r="C90" s="330">
        <v>0</v>
      </c>
      <c r="D90" s="330">
        <v>160</v>
      </c>
      <c r="E90" s="116">
        <v>0</v>
      </c>
      <c r="F90" s="1" t="s">
        <v>9</v>
      </c>
      <c r="G90" s="1" t="s">
        <v>264</v>
      </c>
      <c r="H90" s="1">
        <v>2.6</v>
      </c>
      <c r="I90" s="1" t="str" cm="1">
        <f t="array" ref="I90">_xlfn.IFS(a.nike.original.man[[#This Row],[Rating]]&lt;=2.9, "0 - 2.9",a.nike.original.man[[#This Row],[Rating]]&lt;=3.9,"3 - 3.9", a.nike.original.man[[#This Row],[Rating]]&lt;=5,"4 - 5")</f>
        <v>0 - 2.9</v>
      </c>
      <c r="J90" s="1">
        <v>20</v>
      </c>
      <c r="K90" s="1" t="str" cm="1">
        <f t="array" ref="K90">_xlfn.IFS(a.nike.original.man[[#This Row],[Reviews]]&lt;=7, "Below Average", a.nike.original.man[[#This Row],[Reviews]]&gt;=8, "Average +")</f>
        <v>Average +</v>
      </c>
      <c r="L90" s="11" t="s">
        <v>1524</v>
      </c>
      <c r="M90" s="1" t="s">
        <v>1470</v>
      </c>
    </row>
    <row r="91" spans="1:13" x14ac:dyDescent="0.2">
      <c r="A91" s="1" t="s">
        <v>245</v>
      </c>
      <c r="B91" s="1" t="s">
        <v>246</v>
      </c>
      <c r="C91" s="330">
        <v>0</v>
      </c>
      <c r="D91" s="330">
        <v>100</v>
      </c>
      <c r="E91" s="116">
        <v>0</v>
      </c>
      <c r="F91" s="1" t="s">
        <v>9</v>
      </c>
      <c r="G91" s="1" t="s">
        <v>247</v>
      </c>
      <c r="H91" s="1">
        <v>2.6</v>
      </c>
      <c r="I91" s="1" t="str" cm="1">
        <f t="array" ref="I91">_xlfn.IFS(a.nike.original.man[[#This Row],[Rating]]&lt;=2.9, "0 - 2.9",a.nike.original.man[[#This Row],[Rating]]&lt;=3.9,"3 - 3.9", a.nike.original.man[[#This Row],[Rating]]&lt;=5,"4 - 5")</f>
        <v>0 - 2.9</v>
      </c>
      <c r="J91" s="1">
        <v>11</v>
      </c>
      <c r="K91" s="1" t="str" cm="1">
        <f t="array" ref="K91">_xlfn.IFS(a.nike.original.man[[#This Row],[Reviews]]&lt;=7, "Below Average", a.nike.original.man[[#This Row],[Reviews]]&gt;=8, "Average +")</f>
        <v>Average +</v>
      </c>
      <c r="L91" s="11" t="s">
        <v>1524</v>
      </c>
      <c r="M91" s="1" t="s">
        <v>1470</v>
      </c>
    </row>
    <row r="92" spans="1:13" x14ac:dyDescent="0.2">
      <c r="A92" s="2" t="s">
        <v>248</v>
      </c>
      <c r="B92" s="2" t="s">
        <v>249</v>
      </c>
      <c r="C92" s="331">
        <v>109.95</v>
      </c>
      <c r="D92" s="331">
        <v>77</v>
      </c>
      <c r="E92" s="116">
        <v>0.3</v>
      </c>
      <c r="F92" s="2" t="s">
        <v>9</v>
      </c>
      <c r="G92" s="2" t="s">
        <v>250</v>
      </c>
      <c r="H92" s="2">
        <v>3.9</v>
      </c>
      <c r="I92" s="2" t="str" cm="1">
        <f t="array" ref="I92">_xlfn.IFS(a.nike.original.man[[#This Row],[Rating]]&lt;=2.9, "0 - 2.9",a.nike.original.man[[#This Row],[Rating]]&lt;=3.9,"3 - 3.9", a.nike.original.man[[#This Row],[Rating]]&lt;=5,"4 - 5")</f>
        <v>3 - 3.9</v>
      </c>
      <c r="J92" s="2">
        <v>10</v>
      </c>
      <c r="K92" s="2" t="str" cm="1">
        <f t="array" ref="K92">_xlfn.IFS(a.nike.original.man[[#This Row],[Reviews]]&lt;=7, "Below Average", a.nike.original.man[[#This Row],[Reviews]]&gt;=8, "Average +")</f>
        <v>Average +</v>
      </c>
      <c r="L92" s="12" t="s">
        <v>1524</v>
      </c>
      <c r="M92" s="2" t="s">
        <v>1470</v>
      </c>
    </row>
    <row r="93" spans="1:13" x14ac:dyDescent="0.2">
      <c r="A93" s="2" t="s">
        <v>242</v>
      </c>
      <c r="B93" s="2" t="s">
        <v>243</v>
      </c>
      <c r="C93" s="331">
        <v>0</v>
      </c>
      <c r="D93" s="331">
        <v>110</v>
      </c>
      <c r="E93" s="116">
        <v>0</v>
      </c>
      <c r="F93" s="2" t="s">
        <v>9</v>
      </c>
      <c r="G93" s="2" t="s">
        <v>244</v>
      </c>
      <c r="H93" s="2">
        <v>0</v>
      </c>
      <c r="I93" s="2" t="str" cm="1">
        <f t="array" ref="I93">_xlfn.IFS(a.nike.original.man[[#This Row],[Rating]]&lt;=2.9, "0 - 2.9",a.nike.original.man[[#This Row],[Rating]]&lt;=3.9,"3 - 3.9", a.nike.original.man[[#This Row],[Rating]]&lt;=5,"4 - 5")</f>
        <v>0 - 2.9</v>
      </c>
      <c r="J93" s="2">
        <v>0</v>
      </c>
      <c r="K93" s="2" t="str" cm="1">
        <f t="array" ref="K93">_xlfn.IFS(a.nike.original.man[[#This Row],[Reviews]]&lt;=7, "Below Average", a.nike.original.man[[#This Row],[Reviews]]&gt;=8, "Average +")</f>
        <v>Below Average</v>
      </c>
      <c r="L93" s="12" t="s">
        <v>1524</v>
      </c>
      <c r="M93" s="2" t="s">
        <v>1470</v>
      </c>
    </row>
    <row r="94" spans="1:13" x14ac:dyDescent="0.2">
      <c r="A94" s="2" t="s">
        <v>198</v>
      </c>
      <c r="B94" s="2" t="s">
        <v>254</v>
      </c>
      <c r="C94" s="331">
        <v>0</v>
      </c>
      <c r="D94" s="331">
        <v>230</v>
      </c>
      <c r="E94" s="116">
        <v>0</v>
      </c>
      <c r="F94" s="2" t="s">
        <v>9</v>
      </c>
      <c r="G94" s="2" t="s">
        <v>255</v>
      </c>
      <c r="H94" s="2">
        <v>0</v>
      </c>
      <c r="I94" s="2" t="str" cm="1">
        <f t="array" ref="I94">_xlfn.IFS(a.nike.original.man[[#This Row],[Rating]]&lt;=2.9, "0 - 2.9",a.nike.original.man[[#This Row],[Rating]]&lt;=3.9,"3 - 3.9", a.nike.original.man[[#This Row],[Rating]]&lt;=5,"4 - 5")</f>
        <v>0 - 2.9</v>
      </c>
      <c r="J94" s="2">
        <v>0</v>
      </c>
      <c r="K94" s="2" t="str" cm="1">
        <f t="array" ref="K94">_xlfn.IFS(a.nike.original.man[[#This Row],[Reviews]]&lt;=7, "Below Average", a.nike.original.man[[#This Row],[Reviews]]&gt;=8, "Average +")</f>
        <v>Below Average</v>
      </c>
      <c r="L94" s="12" t="s">
        <v>1524</v>
      </c>
      <c r="M94" s="2" t="s">
        <v>1470</v>
      </c>
    </row>
    <row r="95" spans="1:13" x14ac:dyDescent="0.2">
      <c r="A95" s="1" t="s">
        <v>274</v>
      </c>
      <c r="B95" s="1" t="s">
        <v>275</v>
      </c>
      <c r="C95" s="330">
        <v>79.95</v>
      </c>
      <c r="D95" s="330">
        <v>48</v>
      </c>
      <c r="E95" s="116">
        <v>0.4</v>
      </c>
      <c r="F95" s="1" t="s">
        <v>9</v>
      </c>
      <c r="G95" s="1" t="s">
        <v>276</v>
      </c>
      <c r="H95" s="1">
        <v>5</v>
      </c>
      <c r="I95" s="1" t="str" cm="1">
        <f t="array" ref="I95">_xlfn.IFS(a.nike.original.man[[#This Row],[Rating]]&lt;=2.9, "0 - 2.9",a.nike.original.man[[#This Row],[Rating]]&lt;=3.9,"3 - 3.9", a.nike.original.man[[#This Row],[Rating]]&lt;=5,"4 - 5")</f>
        <v>4 - 5</v>
      </c>
      <c r="J95" s="1">
        <v>3</v>
      </c>
      <c r="K95" s="1" t="str" cm="1">
        <f t="array" ref="K95">_xlfn.IFS(a.nike.original.man[[#This Row],[Reviews]]&lt;=7, "Below Average", a.nike.original.man[[#This Row],[Reviews]]&gt;=8, "Average +")</f>
        <v>Below Average</v>
      </c>
      <c r="L95" s="11" t="s">
        <v>1525</v>
      </c>
      <c r="M95" s="1" t="s">
        <v>1470</v>
      </c>
    </row>
    <row r="96" spans="1:13" x14ac:dyDescent="0.2">
      <c r="A96" s="1" t="s">
        <v>268</v>
      </c>
      <c r="B96" s="1" t="s">
        <v>269</v>
      </c>
      <c r="C96" s="330">
        <v>0</v>
      </c>
      <c r="D96" s="330">
        <v>85</v>
      </c>
      <c r="E96" s="116">
        <v>0</v>
      </c>
      <c r="F96" s="1" t="s">
        <v>9</v>
      </c>
      <c r="G96" s="1" t="s">
        <v>270</v>
      </c>
      <c r="H96" s="1">
        <v>5</v>
      </c>
      <c r="I96" s="1" t="str" cm="1">
        <f t="array" ref="I96">_xlfn.IFS(a.nike.original.man[[#This Row],[Rating]]&lt;=2.9, "0 - 2.9",a.nike.original.man[[#This Row],[Rating]]&lt;=3.9,"3 - 3.9", a.nike.original.man[[#This Row],[Rating]]&lt;=5,"4 - 5")</f>
        <v>4 - 5</v>
      </c>
      <c r="J96" s="1">
        <v>2</v>
      </c>
      <c r="K96" s="1" t="str" cm="1">
        <f t="array" ref="K96">_xlfn.IFS(a.nike.original.man[[#This Row],[Reviews]]&lt;=7, "Below Average", a.nike.original.man[[#This Row],[Reviews]]&gt;=8, "Average +")</f>
        <v>Below Average</v>
      </c>
      <c r="L96" s="11" t="s">
        <v>1525</v>
      </c>
      <c r="M96" s="1" t="s">
        <v>1470</v>
      </c>
    </row>
    <row r="97" spans="1:13" x14ac:dyDescent="0.2">
      <c r="A97" s="2" t="s">
        <v>277</v>
      </c>
      <c r="B97" s="2" t="s">
        <v>278</v>
      </c>
      <c r="C97" s="331">
        <v>0</v>
      </c>
      <c r="D97" s="331">
        <v>170</v>
      </c>
      <c r="E97" s="116">
        <v>0</v>
      </c>
      <c r="F97" s="2" t="s">
        <v>9</v>
      </c>
      <c r="G97" s="2" t="s">
        <v>279</v>
      </c>
      <c r="H97" s="2">
        <v>3.5</v>
      </c>
      <c r="I97" s="2" t="str" cm="1">
        <f t="array" ref="I97">_xlfn.IFS(a.nike.original.man[[#This Row],[Rating]]&lt;=2.9, "0 - 2.9",a.nike.original.man[[#This Row],[Rating]]&lt;=3.9,"3 - 3.9", a.nike.original.man[[#This Row],[Rating]]&lt;=5,"4 - 5")</f>
        <v>3 - 3.9</v>
      </c>
      <c r="J97" s="2">
        <v>2</v>
      </c>
      <c r="K97" s="2" t="str" cm="1">
        <f t="array" ref="K97">_xlfn.IFS(a.nike.original.man[[#This Row],[Reviews]]&lt;=7, "Below Average", a.nike.original.man[[#This Row],[Reviews]]&gt;=8, "Average +")</f>
        <v>Below Average</v>
      </c>
      <c r="L97" s="12" t="s">
        <v>1525</v>
      </c>
      <c r="M97" s="2" t="s">
        <v>1470</v>
      </c>
    </row>
    <row r="98" spans="1:13" x14ac:dyDescent="0.2">
      <c r="A98" s="2" t="s">
        <v>271</v>
      </c>
      <c r="B98" s="2" t="s">
        <v>272</v>
      </c>
      <c r="C98" s="331">
        <v>159.94999999999999</v>
      </c>
      <c r="D98" s="331">
        <v>112</v>
      </c>
      <c r="E98" s="116">
        <v>0.3</v>
      </c>
      <c r="F98" s="2" t="s">
        <v>9</v>
      </c>
      <c r="G98" s="2" t="s">
        <v>273</v>
      </c>
      <c r="H98" s="2">
        <v>2.9</v>
      </c>
      <c r="I98" s="2" t="str" cm="1">
        <f t="array" ref="I98">_xlfn.IFS(a.nike.original.man[[#This Row],[Rating]]&lt;=2.9, "0 - 2.9",a.nike.original.man[[#This Row],[Rating]]&lt;=3.9,"3 - 3.9", a.nike.original.man[[#This Row],[Rating]]&lt;=5,"4 - 5")</f>
        <v>0 - 2.9</v>
      </c>
      <c r="J98" s="2">
        <v>12</v>
      </c>
      <c r="K98" s="2" t="str" cm="1">
        <f t="array" ref="K98">_xlfn.IFS(a.nike.original.man[[#This Row],[Reviews]]&lt;=7, "Below Average", a.nike.original.man[[#This Row],[Reviews]]&gt;=8, "Average +")</f>
        <v>Average +</v>
      </c>
      <c r="L98" s="12" t="s">
        <v>1525</v>
      </c>
      <c r="M98" s="2" t="s">
        <v>1470</v>
      </c>
    </row>
    <row r="99" spans="1:13" x14ac:dyDescent="0.2">
      <c r="A99" s="2" t="s">
        <v>265</v>
      </c>
      <c r="B99" s="2" t="s">
        <v>266</v>
      </c>
      <c r="C99" s="331">
        <v>119.95</v>
      </c>
      <c r="D99" s="331">
        <v>96</v>
      </c>
      <c r="E99" s="116">
        <v>0.2</v>
      </c>
      <c r="F99" s="2" t="s">
        <v>9</v>
      </c>
      <c r="G99" s="2" t="s">
        <v>267</v>
      </c>
      <c r="H99" s="2">
        <v>0</v>
      </c>
      <c r="I99" s="2" t="str" cm="1">
        <f t="array" ref="I99">_xlfn.IFS(a.nike.original.man[[#This Row],[Rating]]&lt;=2.9, "0 - 2.9",a.nike.original.man[[#This Row],[Rating]]&lt;=3.9,"3 - 3.9", a.nike.original.man[[#This Row],[Rating]]&lt;=5,"4 - 5")</f>
        <v>0 - 2.9</v>
      </c>
      <c r="J99" s="2">
        <v>0</v>
      </c>
      <c r="K99" s="2" t="str" cm="1">
        <f t="array" ref="K99">_xlfn.IFS(a.nike.original.man[[#This Row],[Reviews]]&lt;=7, "Below Average", a.nike.original.man[[#This Row],[Reviews]]&gt;=8, "Average +")</f>
        <v>Below Average</v>
      </c>
      <c r="L99" s="12" t="s">
        <v>1525</v>
      </c>
      <c r="M99" s="2" t="s">
        <v>1470</v>
      </c>
    </row>
    <row r="100" spans="1:13" x14ac:dyDescent="0.2">
      <c r="A100" s="1" t="s">
        <v>280</v>
      </c>
      <c r="B100" s="1" t="s">
        <v>281</v>
      </c>
      <c r="C100" s="330">
        <v>159.94999999999999</v>
      </c>
      <c r="D100" s="330">
        <v>112</v>
      </c>
      <c r="E100" s="116">
        <v>0.3</v>
      </c>
      <c r="F100" s="1" t="s">
        <v>9</v>
      </c>
      <c r="G100" s="1" t="s">
        <v>282</v>
      </c>
      <c r="H100" s="1">
        <v>0</v>
      </c>
      <c r="I100" s="1" t="str" cm="1">
        <f t="array" ref="I100">_xlfn.IFS(a.nike.original.man[[#This Row],[Rating]]&lt;=2.9, "0 - 2.9",a.nike.original.man[[#This Row],[Rating]]&lt;=3.9,"3 - 3.9", a.nike.original.man[[#This Row],[Rating]]&lt;=5,"4 - 5")</f>
        <v>0 - 2.9</v>
      </c>
      <c r="J100" s="1">
        <v>0</v>
      </c>
      <c r="K100" s="1" t="str" cm="1">
        <f t="array" ref="K100">_xlfn.IFS(a.nike.original.man[[#This Row],[Reviews]]&lt;=7, "Below Average", a.nike.original.man[[#This Row],[Reviews]]&gt;=8, "Average +")</f>
        <v>Below Average</v>
      </c>
      <c r="L100" s="11" t="s">
        <v>1525</v>
      </c>
      <c r="M100" s="1" t="s">
        <v>1470</v>
      </c>
    </row>
    <row r="101" spans="1:13" x14ac:dyDescent="0.2">
      <c r="A101" s="1" t="s">
        <v>286</v>
      </c>
      <c r="B101" s="1" t="s">
        <v>287</v>
      </c>
      <c r="C101" s="330">
        <v>0</v>
      </c>
      <c r="D101" s="330">
        <v>170</v>
      </c>
      <c r="E101" s="116">
        <v>0</v>
      </c>
      <c r="F101" s="1" t="s">
        <v>9</v>
      </c>
      <c r="G101" s="1" t="s">
        <v>288</v>
      </c>
      <c r="H101" s="1">
        <v>4.5999999999999996</v>
      </c>
      <c r="I101" s="1" t="str" cm="1">
        <f t="array" ref="I101">_xlfn.IFS(a.nike.original.man[[#This Row],[Rating]]&lt;=2.9, "0 - 2.9",a.nike.original.man[[#This Row],[Rating]]&lt;=3.9,"3 - 3.9", a.nike.original.man[[#This Row],[Rating]]&lt;=5,"4 - 5")</f>
        <v>4 - 5</v>
      </c>
      <c r="J101" s="1">
        <v>5</v>
      </c>
      <c r="K101" s="1" t="str" cm="1">
        <f t="array" ref="K101">_xlfn.IFS(a.nike.original.man[[#This Row],[Reviews]]&lt;=7, "Below Average", a.nike.original.man[[#This Row],[Reviews]]&gt;=8, "Average +")</f>
        <v>Below Average</v>
      </c>
      <c r="L101" s="11" t="s">
        <v>1526</v>
      </c>
      <c r="M101" s="1" t="s">
        <v>1470</v>
      </c>
    </row>
    <row r="102" spans="1:13" x14ac:dyDescent="0.2">
      <c r="A102" s="1" t="s">
        <v>298</v>
      </c>
      <c r="B102" s="1" t="s">
        <v>299</v>
      </c>
      <c r="C102" s="330">
        <v>109.95</v>
      </c>
      <c r="D102" s="330">
        <v>66</v>
      </c>
      <c r="E102" s="116">
        <v>0.4</v>
      </c>
      <c r="F102" s="1" t="s">
        <v>9</v>
      </c>
      <c r="G102" s="1" t="s">
        <v>300</v>
      </c>
      <c r="H102" s="1">
        <v>4.8</v>
      </c>
      <c r="I102" s="1" t="str" cm="1">
        <f t="array" ref="I102">_xlfn.IFS(a.nike.original.man[[#This Row],[Rating]]&lt;=2.9, "0 - 2.9",a.nike.original.man[[#This Row],[Rating]]&lt;=3.9,"3 - 3.9", a.nike.original.man[[#This Row],[Rating]]&lt;=5,"4 - 5")</f>
        <v>4 - 5</v>
      </c>
      <c r="J102" s="1">
        <v>5</v>
      </c>
      <c r="K102" s="1" t="str" cm="1">
        <f t="array" ref="K102">_xlfn.IFS(a.nike.original.man[[#This Row],[Reviews]]&lt;=7, "Below Average", a.nike.original.man[[#This Row],[Reviews]]&gt;=8, "Average +")</f>
        <v>Below Average</v>
      </c>
      <c r="L102" s="11" t="s">
        <v>1526</v>
      </c>
      <c r="M102" s="1" t="s">
        <v>1470</v>
      </c>
    </row>
    <row r="103" spans="1:13" x14ac:dyDescent="0.2">
      <c r="A103" s="2" t="s">
        <v>289</v>
      </c>
      <c r="B103" s="2" t="s">
        <v>290</v>
      </c>
      <c r="C103" s="331">
        <v>109.95</v>
      </c>
      <c r="D103" s="331">
        <v>88</v>
      </c>
      <c r="E103" s="116">
        <v>0.2</v>
      </c>
      <c r="F103" s="2" t="s">
        <v>9</v>
      </c>
      <c r="G103" s="2" t="s">
        <v>291</v>
      </c>
      <c r="H103" s="2">
        <v>5</v>
      </c>
      <c r="I103" s="2" t="str" cm="1">
        <f t="array" ref="I103">_xlfn.IFS(a.nike.original.man[[#This Row],[Rating]]&lt;=2.9, "0 - 2.9",a.nike.original.man[[#This Row],[Rating]]&lt;=3.9,"3 - 3.9", a.nike.original.man[[#This Row],[Rating]]&lt;=5,"4 - 5")</f>
        <v>4 - 5</v>
      </c>
      <c r="J103" s="2">
        <v>1</v>
      </c>
      <c r="K103" s="2" t="str" cm="1">
        <f t="array" ref="K103">_xlfn.IFS(a.nike.original.man[[#This Row],[Reviews]]&lt;=7, "Below Average", a.nike.original.man[[#This Row],[Reviews]]&gt;=8, "Average +")</f>
        <v>Below Average</v>
      </c>
      <c r="L103" s="12" t="s">
        <v>1526</v>
      </c>
      <c r="M103" s="2" t="s">
        <v>1470</v>
      </c>
    </row>
    <row r="104" spans="1:13" x14ac:dyDescent="0.2">
      <c r="A104" s="1" t="s">
        <v>292</v>
      </c>
      <c r="B104" s="1" t="s">
        <v>293</v>
      </c>
      <c r="C104" s="330">
        <v>0</v>
      </c>
      <c r="D104" s="330">
        <v>80</v>
      </c>
      <c r="E104" s="116">
        <v>0</v>
      </c>
      <c r="F104" s="1" t="s">
        <v>9</v>
      </c>
      <c r="G104" s="1" t="s">
        <v>294</v>
      </c>
      <c r="H104" s="1">
        <v>5</v>
      </c>
      <c r="I104" s="1" t="str" cm="1">
        <f t="array" ref="I104">_xlfn.IFS(a.nike.original.man[[#This Row],[Rating]]&lt;=2.9, "0 - 2.9",a.nike.original.man[[#This Row],[Rating]]&lt;=3.9,"3 - 3.9", a.nike.original.man[[#This Row],[Rating]]&lt;=5,"4 - 5")</f>
        <v>4 - 5</v>
      </c>
      <c r="J104" s="1">
        <v>1</v>
      </c>
      <c r="K104" s="1" t="str" cm="1">
        <f t="array" ref="K104">_xlfn.IFS(a.nike.original.man[[#This Row],[Reviews]]&lt;=7, "Below Average", a.nike.original.man[[#This Row],[Reviews]]&gt;=8, "Average +")</f>
        <v>Below Average</v>
      </c>
      <c r="L104" s="11" t="s">
        <v>1526</v>
      </c>
      <c r="M104" s="1" t="s">
        <v>1470</v>
      </c>
    </row>
    <row r="105" spans="1:13" x14ac:dyDescent="0.2">
      <c r="A105" s="2" t="s">
        <v>295</v>
      </c>
      <c r="B105" s="2" t="s">
        <v>296</v>
      </c>
      <c r="C105" s="331">
        <v>0</v>
      </c>
      <c r="D105" s="331">
        <v>120</v>
      </c>
      <c r="E105" s="116">
        <v>0</v>
      </c>
      <c r="F105" s="2" t="s">
        <v>9</v>
      </c>
      <c r="G105" s="2" t="s">
        <v>297</v>
      </c>
      <c r="H105" s="2">
        <v>5</v>
      </c>
      <c r="I105" s="2" t="str" cm="1">
        <f t="array" ref="I105">_xlfn.IFS(a.nike.original.man[[#This Row],[Rating]]&lt;=2.9, "0 - 2.9",a.nike.original.man[[#This Row],[Rating]]&lt;=3.9,"3 - 3.9", a.nike.original.man[[#This Row],[Rating]]&lt;=5,"4 - 5")</f>
        <v>4 - 5</v>
      </c>
      <c r="J105" s="2">
        <v>1</v>
      </c>
      <c r="K105" s="2" t="str" cm="1">
        <f t="array" ref="K105">_xlfn.IFS(a.nike.original.man[[#This Row],[Reviews]]&lt;=7, "Below Average", a.nike.original.man[[#This Row],[Reviews]]&gt;=8, "Average +")</f>
        <v>Below Average</v>
      </c>
      <c r="L105" s="12" t="s">
        <v>1526</v>
      </c>
      <c r="M105" s="2" t="s">
        <v>1470</v>
      </c>
    </row>
    <row r="106" spans="1:13" x14ac:dyDescent="0.2">
      <c r="A106" s="2" t="s">
        <v>301</v>
      </c>
      <c r="B106" s="2" t="s">
        <v>302</v>
      </c>
      <c r="C106" s="331">
        <v>159.94999999999999</v>
      </c>
      <c r="D106" s="331">
        <v>128</v>
      </c>
      <c r="E106" s="116">
        <v>0.2</v>
      </c>
      <c r="F106" s="2" t="s">
        <v>9</v>
      </c>
      <c r="G106" s="2" t="s">
        <v>303</v>
      </c>
      <c r="H106" s="2">
        <v>4.4000000000000004</v>
      </c>
      <c r="I106" s="2" t="str" cm="1">
        <f t="array" ref="I106">_xlfn.IFS(a.nike.original.man[[#This Row],[Rating]]&lt;=2.9, "0 - 2.9",a.nike.original.man[[#This Row],[Rating]]&lt;=3.9,"3 - 3.9", a.nike.original.man[[#This Row],[Rating]]&lt;=5,"4 - 5")</f>
        <v>4 - 5</v>
      </c>
      <c r="J106" s="2">
        <v>18</v>
      </c>
      <c r="K106" s="2" t="str" cm="1">
        <f t="array" ref="K106">_xlfn.IFS(a.nike.original.man[[#This Row],[Reviews]]&lt;=7, "Below Average", a.nike.original.man[[#This Row],[Reviews]]&gt;=8, "Average +")</f>
        <v>Average +</v>
      </c>
      <c r="L106" s="12" t="s">
        <v>1526</v>
      </c>
      <c r="M106" s="2" t="s">
        <v>1470</v>
      </c>
    </row>
    <row r="107" spans="1:13" x14ac:dyDescent="0.2">
      <c r="A107" s="1" t="s">
        <v>304</v>
      </c>
      <c r="B107" s="1" t="s">
        <v>305</v>
      </c>
      <c r="C107" s="330">
        <v>0</v>
      </c>
      <c r="D107" s="330">
        <v>85</v>
      </c>
      <c r="E107" s="116">
        <v>0</v>
      </c>
      <c r="F107" s="1" t="s">
        <v>9</v>
      </c>
      <c r="G107" s="1" t="s">
        <v>306</v>
      </c>
      <c r="H107" s="1">
        <v>0</v>
      </c>
      <c r="I107" s="1" t="str" cm="1">
        <f t="array" ref="I107">_xlfn.IFS(a.nike.original.man[[#This Row],[Rating]]&lt;=2.9, "0 - 2.9",a.nike.original.man[[#This Row],[Rating]]&lt;=3.9,"3 - 3.9", a.nike.original.man[[#This Row],[Rating]]&lt;=5,"4 - 5")</f>
        <v>0 - 2.9</v>
      </c>
      <c r="J107" s="1">
        <v>0</v>
      </c>
      <c r="K107" s="1" t="str" cm="1">
        <f t="array" ref="K107">_xlfn.IFS(a.nike.original.man[[#This Row],[Reviews]]&lt;=7, "Below Average", a.nike.original.man[[#This Row],[Reviews]]&gt;=8, "Average +")</f>
        <v>Below Average</v>
      </c>
      <c r="L107" s="11" t="s">
        <v>1526</v>
      </c>
      <c r="M107" s="1" t="s">
        <v>1470</v>
      </c>
    </row>
    <row r="108" spans="1:13" x14ac:dyDescent="0.2">
      <c r="A108" s="2" t="s">
        <v>283</v>
      </c>
      <c r="B108" s="2" t="s">
        <v>284</v>
      </c>
      <c r="C108" s="331">
        <v>0</v>
      </c>
      <c r="D108" s="331">
        <v>70</v>
      </c>
      <c r="E108" s="2">
        <v>0</v>
      </c>
      <c r="F108" s="2" t="s">
        <v>9</v>
      </c>
      <c r="G108" s="2" t="s">
        <v>285</v>
      </c>
      <c r="H108" s="2">
        <v>4.3</v>
      </c>
      <c r="I108" s="2" t="str" cm="1">
        <f t="array" ref="I108">_xlfn.IFS(a.nike.original.man[[#This Row],[Rating]]&lt;=2.9, "0 - 2.9",a.nike.original.man[[#This Row],[Rating]]&lt;=3.9,"3 - 3.9", a.nike.original.man[[#This Row],[Rating]]&lt;=5,"4 - 5")</f>
        <v>4 - 5</v>
      </c>
      <c r="J108" s="2">
        <v>8</v>
      </c>
      <c r="K108" s="2" t="str" cm="1">
        <f t="array" ref="K108">_xlfn.IFS(a.nike.original.man[[#This Row],[Reviews]]&lt;=7, "Below Average", a.nike.original.man[[#This Row],[Reviews]]&gt;=8, "Average +")</f>
        <v>Average +</v>
      </c>
      <c r="L108" s="12" t="s">
        <v>1526</v>
      </c>
      <c r="M108" s="2" t="s">
        <v>1470</v>
      </c>
    </row>
    <row r="109" spans="1:13" x14ac:dyDescent="0.2">
      <c r="A109" s="2" t="s">
        <v>108</v>
      </c>
      <c r="B109" s="2" t="s">
        <v>318</v>
      </c>
      <c r="C109" s="331">
        <v>0</v>
      </c>
      <c r="D109" s="331">
        <v>76</v>
      </c>
      <c r="E109" s="116">
        <v>0</v>
      </c>
      <c r="F109" s="2" t="s">
        <v>9</v>
      </c>
      <c r="G109" s="2" t="s">
        <v>319</v>
      </c>
      <c r="H109" s="2">
        <v>5</v>
      </c>
      <c r="I109" s="2" t="str" cm="1">
        <f t="array" ref="I109">_xlfn.IFS(a.nike.original.man[[#This Row],[Rating]]&lt;=2.9, "0 - 2.9",a.nike.original.man[[#This Row],[Rating]]&lt;=3.9,"3 - 3.9", a.nike.original.man[[#This Row],[Rating]]&lt;=5,"4 - 5")</f>
        <v>4 - 5</v>
      </c>
      <c r="J109" s="2">
        <v>6</v>
      </c>
      <c r="K109" s="2" t="str" cm="1">
        <f t="array" ref="K109">_xlfn.IFS(a.nike.original.man[[#This Row],[Reviews]]&lt;=7, "Below Average", a.nike.original.man[[#This Row],[Reviews]]&gt;=8, "Average +")</f>
        <v>Below Average</v>
      </c>
      <c r="L109" s="12" t="s">
        <v>1527</v>
      </c>
      <c r="M109" s="2" t="s">
        <v>1470</v>
      </c>
    </row>
    <row r="110" spans="1:13" x14ac:dyDescent="0.2">
      <c r="A110" s="2" t="s">
        <v>312</v>
      </c>
      <c r="B110" s="2" t="s">
        <v>313</v>
      </c>
      <c r="C110" s="331">
        <v>0</v>
      </c>
      <c r="D110" s="331">
        <v>140</v>
      </c>
      <c r="E110" s="116">
        <v>0</v>
      </c>
      <c r="F110" s="2" t="s">
        <v>9</v>
      </c>
      <c r="G110" s="2" t="s">
        <v>314</v>
      </c>
      <c r="H110" s="2">
        <v>3.8</v>
      </c>
      <c r="I110" s="2" t="str" cm="1">
        <f t="array" ref="I110">_xlfn.IFS(a.nike.original.man[[#This Row],[Rating]]&lt;=2.9, "0 - 2.9",a.nike.original.man[[#This Row],[Rating]]&lt;=3.9,"3 - 3.9", a.nike.original.man[[#This Row],[Rating]]&lt;=5,"4 - 5")</f>
        <v>3 - 3.9</v>
      </c>
      <c r="J110" s="2">
        <v>81</v>
      </c>
      <c r="K110" s="2" t="str" cm="1">
        <f t="array" ref="K110">_xlfn.IFS(a.nike.original.man[[#This Row],[Reviews]]&lt;=7, "Below Average", a.nike.original.man[[#This Row],[Reviews]]&gt;=8, "Average +")</f>
        <v>Average +</v>
      </c>
      <c r="L110" s="12" t="s">
        <v>1527</v>
      </c>
      <c r="M110" s="2" t="s">
        <v>1470</v>
      </c>
    </row>
    <row r="111" spans="1:13" x14ac:dyDescent="0.2">
      <c r="A111" s="1" t="s">
        <v>309</v>
      </c>
      <c r="B111" s="1" t="s">
        <v>310</v>
      </c>
      <c r="C111" s="330">
        <v>119.95</v>
      </c>
      <c r="D111" s="330">
        <v>84</v>
      </c>
      <c r="E111" s="116">
        <v>0.3</v>
      </c>
      <c r="F111" s="1" t="s">
        <v>9</v>
      </c>
      <c r="G111" s="1" t="s">
        <v>311</v>
      </c>
      <c r="H111" s="1">
        <v>3.7</v>
      </c>
      <c r="I111" s="1" t="str" cm="1">
        <f t="array" ref="I111">_xlfn.IFS(a.nike.original.man[[#This Row],[Rating]]&lt;=2.9, "0 - 2.9",a.nike.original.man[[#This Row],[Rating]]&lt;=3.9,"3 - 3.9", a.nike.original.man[[#This Row],[Rating]]&lt;=5,"4 - 5")</f>
        <v>3 - 3.9</v>
      </c>
      <c r="J111" s="1">
        <v>3</v>
      </c>
      <c r="K111" s="1" t="str" cm="1">
        <f t="array" ref="K111">_xlfn.IFS(a.nike.original.man[[#This Row],[Reviews]]&lt;=7, "Below Average", a.nike.original.man[[#This Row],[Reviews]]&gt;=8, "Average +")</f>
        <v>Below Average</v>
      </c>
      <c r="L111" s="11" t="s">
        <v>1527</v>
      </c>
      <c r="M111" s="1" t="s">
        <v>1470</v>
      </c>
    </row>
    <row r="112" spans="1:13" x14ac:dyDescent="0.2">
      <c r="A112" s="1" t="s">
        <v>37</v>
      </c>
      <c r="B112" s="1" t="s">
        <v>320</v>
      </c>
      <c r="C112" s="330">
        <v>0</v>
      </c>
      <c r="D112" s="330">
        <v>100</v>
      </c>
      <c r="E112" s="116">
        <v>0</v>
      </c>
      <c r="F112" s="1" t="s">
        <v>9</v>
      </c>
      <c r="G112" s="1" t="s">
        <v>321</v>
      </c>
      <c r="H112" s="1">
        <v>5</v>
      </c>
      <c r="I112" s="1" t="str" cm="1">
        <f t="array" ref="I112">_xlfn.IFS(a.nike.original.man[[#This Row],[Rating]]&lt;=2.9, "0 - 2.9",a.nike.original.man[[#This Row],[Rating]]&lt;=3.9,"3 - 3.9", a.nike.original.man[[#This Row],[Rating]]&lt;=5,"4 - 5")</f>
        <v>4 - 5</v>
      </c>
      <c r="J112" s="1">
        <v>3</v>
      </c>
      <c r="K112" s="1" t="str" cm="1">
        <f t="array" ref="K112">_xlfn.IFS(a.nike.original.man[[#This Row],[Reviews]]&lt;=7, "Below Average", a.nike.original.man[[#This Row],[Reviews]]&gt;=8, "Average +")</f>
        <v>Below Average</v>
      </c>
      <c r="L112" s="11" t="s">
        <v>1527</v>
      </c>
      <c r="M112" s="1" t="s">
        <v>1470</v>
      </c>
    </row>
    <row r="113" spans="1:13" x14ac:dyDescent="0.2">
      <c r="A113" s="2" t="s">
        <v>298</v>
      </c>
      <c r="B113" s="2" t="s">
        <v>307</v>
      </c>
      <c r="C113" s="331">
        <v>109.95</v>
      </c>
      <c r="D113" s="331">
        <v>66</v>
      </c>
      <c r="E113" s="116">
        <v>0.4</v>
      </c>
      <c r="F113" s="2" t="s">
        <v>9</v>
      </c>
      <c r="G113" s="2" t="s">
        <v>308</v>
      </c>
      <c r="H113" s="2">
        <v>4</v>
      </c>
      <c r="I113" s="2" t="str" cm="1">
        <f t="array" ref="I113">_xlfn.IFS(a.nike.original.man[[#This Row],[Rating]]&lt;=2.9, "0 - 2.9",a.nike.original.man[[#This Row],[Rating]]&lt;=3.9,"3 - 3.9", a.nike.original.man[[#This Row],[Rating]]&lt;=5,"4 - 5")</f>
        <v>4 - 5</v>
      </c>
      <c r="J113" s="2">
        <v>1</v>
      </c>
      <c r="K113" s="2" t="str" cm="1">
        <f t="array" ref="K113">_xlfn.IFS(a.nike.original.man[[#This Row],[Reviews]]&lt;=7, "Below Average", a.nike.original.man[[#This Row],[Reviews]]&gt;=8, "Average +")</f>
        <v>Below Average</v>
      </c>
      <c r="L113" s="12" t="s">
        <v>1527</v>
      </c>
      <c r="M113" s="2" t="s">
        <v>1470</v>
      </c>
    </row>
    <row r="114" spans="1:13" x14ac:dyDescent="0.2">
      <c r="A114" s="1" t="s">
        <v>315</v>
      </c>
      <c r="B114" s="1" t="s">
        <v>316</v>
      </c>
      <c r="C114" s="330">
        <v>0</v>
      </c>
      <c r="D114" s="330">
        <v>60</v>
      </c>
      <c r="E114" s="116">
        <v>0</v>
      </c>
      <c r="F114" s="1" t="s">
        <v>9</v>
      </c>
      <c r="G114" s="1" t="s">
        <v>317</v>
      </c>
      <c r="H114" s="1">
        <v>0</v>
      </c>
      <c r="I114" s="1" t="str" cm="1">
        <f t="array" ref="I114">_xlfn.IFS(a.nike.original.man[[#This Row],[Rating]]&lt;=2.9, "0 - 2.9",a.nike.original.man[[#This Row],[Rating]]&lt;=3.9,"3 - 3.9", a.nike.original.man[[#This Row],[Rating]]&lt;=5,"4 - 5")</f>
        <v>0 - 2.9</v>
      </c>
      <c r="J114" s="1">
        <v>0</v>
      </c>
      <c r="K114" s="1" t="str" cm="1">
        <f t="array" ref="K114">_xlfn.IFS(a.nike.original.man[[#This Row],[Reviews]]&lt;=7, "Below Average", a.nike.original.man[[#This Row],[Reviews]]&gt;=8, "Average +")</f>
        <v>Below Average</v>
      </c>
      <c r="L114" s="11" t="s">
        <v>1527</v>
      </c>
      <c r="M114" s="1" t="s">
        <v>1470</v>
      </c>
    </row>
    <row r="115" spans="1:13" x14ac:dyDescent="0.2">
      <c r="A115" s="2" t="s">
        <v>322</v>
      </c>
      <c r="B115" s="2" t="s">
        <v>323</v>
      </c>
      <c r="C115" s="331">
        <v>0</v>
      </c>
      <c r="D115" s="331">
        <v>80</v>
      </c>
      <c r="E115" s="116">
        <v>0</v>
      </c>
      <c r="F115" s="2" t="s">
        <v>9</v>
      </c>
      <c r="G115" s="2" t="s">
        <v>324</v>
      </c>
      <c r="H115" s="2">
        <v>0</v>
      </c>
      <c r="I115" s="2" t="str" cm="1">
        <f t="array" ref="I115">_xlfn.IFS(a.nike.original.man[[#This Row],[Rating]]&lt;=2.9, "0 - 2.9",a.nike.original.man[[#This Row],[Rating]]&lt;=3.9,"3 - 3.9", a.nike.original.man[[#This Row],[Rating]]&lt;=5,"4 - 5")</f>
        <v>0 - 2.9</v>
      </c>
      <c r="J115" s="2">
        <v>0</v>
      </c>
      <c r="K115" s="2" t="str" cm="1">
        <f t="array" ref="K115">_xlfn.IFS(a.nike.original.man[[#This Row],[Reviews]]&lt;=7, "Below Average", a.nike.original.man[[#This Row],[Reviews]]&gt;=8, "Average +")</f>
        <v>Below Average</v>
      </c>
      <c r="L115" s="12" t="s">
        <v>1527</v>
      </c>
      <c r="M115" s="2" t="s">
        <v>1470</v>
      </c>
    </row>
    <row r="116" spans="1:13" x14ac:dyDescent="0.2">
      <c r="A116" s="1" t="s">
        <v>325</v>
      </c>
      <c r="B116" s="1" t="s">
        <v>326</v>
      </c>
      <c r="C116" s="330">
        <v>84.95</v>
      </c>
      <c r="D116" s="330">
        <v>59</v>
      </c>
      <c r="E116" s="116">
        <v>0.3</v>
      </c>
      <c r="F116" s="1" t="s">
        <v>9</v>
      </c>
      <c r="G116" s="1" t="s">
        <v>327</v>
      </c>
      <c r="H116" s="1">
        <v>4</v>
      </c>
      <c r="I116" s="1" t="str" cm="1">
        <f t="array" ref="I116">_xlfn.IFS(a.nike.original.man[[#This Row],[Rating]]&lt;=2.9, "0 - 2.9",a.nike.original.man[[#This Row],[Rating]]&lt;=3.9,"3 - 3.9", a.nike.original.man[[#This Row],[Rating]]&lt;=5,"4 - 5")</f>
        <v>4 - 5</v>
      </c>
      <c r="J116" s="1">
        <v>3</v>
      </c>
      <c r="K116" s="1" t="str" cm="1">
        <f t="array" ref="K116">_xlfn.IFS(a.nike.original.man[[#This Row],[Reviews]]&lt;=7, "Below Average", a.nike.original.man[[#This Row],[Reviews]]&gt;=8, "Average +")</f>
        <v>Below Average</v>
      </c>
      <c r="L116" s="11" t="s">
        <v>1528</v>
      </c>
      <c r="M116" s="1" t="s">
        <v>1470</v>
      </c>
    </row>
    <row r="117" spans="1:13" x14ac:dyDescent="0.2">
      <c r="A117" s="2" t="s">
        <v>328</v>
      </c>
      <c r="B117" s="2" t="s">
        <v>329</v>
      </c>
      <c r="C117" s="331">
        <v>0</v>
      </c>
      <c r="D117" s="331">
        <v>80</v>
      </c>
      <c r="E117" s="116">
        <v>0</v>
      </c>
      <c r="F117" s="2" t="s">
        <v>9</v>
      </c>
      <c r="G117" s="2" t="s">
        <v>330</v>
      </c>
      <c r="H117" s="2">
        <v>3.5</v>
      </c>
      <c r="I117" s="2" t="str" cm="1">
        <f t="array" ref="I117">_xlfn.IFS(a.nike.original.man[[#This Row],[Rating]]&lt;=2.9, "0 - 2.9",a.nike.original.man[[#This Row],[Rating]]&lt;=3.9,"3 - 3.9", a.nike.original.man[[#This Row],[Rating]]&lt;=5,"4 - 5")</f>
        <v>3 - 3.9</v>
      </c>
      <c r="J117" s="2">
        <v>2</v>
      </c>
      <c r="K117" s="2" t="str" cm="1">
        <f t="array" ref="K117">_xlfn.IFS(a.nike.original.man[[#This Row],[Reviews]]&lt;=7, "Below Average", a.nike.original.man[[#This Row],[Reviews]]&gt;=8, "Average +")</f>
        <v>Below Average</v>
      </c>
      <c r="L117" s="12" t="s">
        <v>1528</v>
      </c>
      <c r="M117" s="2" t="s">
        <v>1470</v>
      </c>
    </row>
    <row r="118" spans="1:13" x14ac:dyDescent="0.2">
      <c r="A118" s="1" t="s">
        <v>331</v>
      </c>
      <c r="B118" s="1" t="s">
        <v>332</v>
      </c>
      <c r="C118" s="330">
        <v>0</v>
      </c>
      <c r="D118" s="330">
        <v>80</v>
      </c>
      <c r="E118" s="116">
        <v>0</v>
      </c>
      <c r="F118" s="1" t="s">
        <v>9</v>
      </c>
      <c r="G118" s="1" t="s">
        <v>333</v>
      </c>
      <c r="H118" s="1">
        <v>0</v>
      </c>
      <c r="I118" s="1" t="str" cm="1">
        <f t="array" ref="I118">_xlfn.IFS(a.nike.original.man[[#This Row],[Rating]]&lt;=2.9, "0 - 2.9",a.nike.original.man[[#This Row],[Rating]]&lt;=3.9,"3 - 3.9", a.nike.original.man[[#This Row],[Rating]]&lt;=5,"4 - 5")</f>
        <v>0 - 2.9</v>
      </c>
      <c r="J118" s="1">
        <v>0</v>
      </c>
      <c r="K118" s="1" t="str" cm="1">
        <f t="array" ref="K118">_xlfn.IFS(a.nike.original.man[[#This Row],[Reviews]]&lt;=7, "Below Average", a.nike.original.man[[#This Row],[Reviews]]&gt;=8, "Average +")</f>
        <v>Below Average</v>
      </c>
      <c r="L118" s="11" t="s">
        <v>1528</v>
      </c>
      <c r="M118" s="1" t="s">
        <v>1470</v>
      </c>
    </row>
    <row r="119" spans="1:13" x14ac:dyDescent="0.2">
      <c r="A119" s="2" t="s">
        <v>334</v>
      </c>
      <c r="B119" s="2" t="s">
        <v>335</v>
      </c>
      <c r="C119" s="331">
        <v>159.94999999999999</v>
      </c>
      <c r="D119" s="331">
        <v>96</v>
      </c>
      <c r="E119" s="116">
        <v>0.4</v>
      </c>
      <c r="F119" s="2" t="s">
        <v>9</v>
      </c>
      <c r="G119" s="2" t="s">
        <v>336</v>
      </c>
      <c r="H119" s="2">
        <v>4.4000000000000004</v>
      </c>
      <c r="I119" s="2" t="str" cm="1">
        <f t="array" ref="I119">_xlfn.IFS(a.nike.original.man[[#This Row],[Rating]]&lt;=2.9, "0 - 2.9",a.nike.original.man[[#This Row],[Rating]]&lt;=3.9,"3 - 3.9", a.nike.original.man[[#This Row],[Rating]]&lt;=5,"4 - 5")</f>
        <v>4 - 5</v>
      </c>
      <c r="J119" s="2">
        <v>7</v>
      </c>
      <c r="K119" s="2" t="str" cm="1">
        <f t="array" ref="K119">_xlfn.IFS(a.nike.original.man[[#This Row],[Reviews]]&lt;=7, "Below Average", a.nike.original.man[[#This Row],[Reviews]]&gt;=8, "Average +")</f>
        <v>Below Average</v>
      </c>
      <c r="L119" s="12" t="s">
        <v>1529</v>
      </c>
      <c r="M119" s="2" t="s">
        <v>1470</v>
      </c>
    </row>
    <row r="120" spans="1:13" x14ac:dyDescent="0.2">
      <c r="A120" s="1" t="s">
        <v>343</v>
      </c>
      <c r="B120" s="1" t="s">
        <v>344</v>
      </c>
      <c r="C120" s="330">
        <v>0</v>
      </c>
      <c r="D120" s="330">
        <v>210</v>
      </c>
      <c r="E120" s="116">
        <v>0</v>
      </c>
      <c r="F120" s="1" t="s">
        <v>9</v>
      </c>
      <c r="G120" s="1" t="s">
        <v>345</v>
      </c>
      <c r="H120" s="1">
        <v>3.1</v>
      </c>
      <c r="I120" s="1" t="str" cm="1">
        <f t="array" ref="I120">_xlfn.IFS(a.nike.original.man[[#This Row],[Rating]]&lt;=2.9, "0 - 2.9",a.nike.original.man[[#This Row],[Rating]]&lt;=3.9,"3 - 3.9", a.nike.original.man[[#This Row],[Rating]]&lt;=5,"4 - 5")</f>
        <v>3 - 3.9</v>
      </c>
      <c r="J120" s="1">
        <v>7</v>
      </c>
      <c r="K120" s="1" t="str" cm="1">
        <f t="array" ref="K120">_xlfn.IFS(a.nike.original.man[[#This Row],[Reviews]]&lt;=7, "Below Average", a.nike.original.man[[#This Row],[Reviews]]&gt;=8, "Average +")</f>
        <v>Below Average</v>
      </c>
      <c r="L120" s="11" t="s">
        <v>1529</v>
      </c>
      <c r="M120" s="1" t="s">
        <v>1470</v>
      </c>
    </row>
    <row r="121" spans="1:13" x14ac:dyDescent="0.2">
      <c r="A121" s="2" t="s">
        <v>340</v>
      </c>
      <c r="B121" s="2" t="s">
        <v>341</v>
      </c>
      <c r="C121" s="331">
        <v>99.95</v>
      </c>
      <c r="D121" s="331">
        <v>70</v>
      </c>
      <c r="E121" s="116">
        <v>0.3</v>
      </c>
      <c r="F121" s="2" t="s">
        <v>9</v>
      </c>
      <c r="G121" s="2" t="s">
        <v>342</v>
      </c>
      <c r="H121" s="2">
        <v>4</v>
      </c>
      <c r="I121" s="2" t="str" cm="1">
        <f t="array" ref="I121">_xlfn.IFS(a.nike.original.man[[#This Row],[Rating]]&lt;=2.9, "0 - 2.9",a.nike.original.man[[#This Row],[Rating]]&lt;=3.9,"3 - 3.9", a.nike.original.man[[#This Row],[Rating]]&lt;=5,"4 - 5")</f>
        <v>4 - 5</v>
      </c>
      <c r="J121" s="2">
        <v>25</v>
      </c>
      <c r="K121" s="2" t="str" cm="1">
        <f t="array" ref="K121">_xlfn.IFS(a.nike.original.man[[#This Row],[Reviews]]&lt;=7, "Below Average", a.nike.original.man[[#This Row],[Reviews]]&gt;=8, "Average +")</f>
        <v>Average +</v>
      </c>
      <c r="L121" s="12" t="s">
        <v>1529</v>
      </c>
      <c r="M121" s="2" t="s">
        <v>1470</v>
      </c>
    </row>
    <row r="122" spans="1:13" x14ac:dyDescent="0.2">
      <c r="A122" s="1" t="s">
        <v>337</v>
      </c>
      <c r="B122" s="1" t="s">
        <v>338</v>
      </c>
      <c r="C122" s="330">
        <v>0</v>
      </c>
      <c r="D122" s="330">
        <v>170</v>
      </c>
      <c r="E122" s="116">
        <v>0</v>
      </c>
      <c r="F122" s="1" t="s">
        <v>9</v>
      </c>
      <c r="G122" s="1" t="s">
        <v>339</v>
      </c>
      <c r="H122" s="1">
        <v>5</v>
      </c>
      <c r="I122" s="1" t="str" cm="1">
        <f t="array" ref="I122">_xlfn.IFS(a.nike.original.man[[#This Row],[Rating]]&lt;=2.9, "0 - 2.9",a.nike.original.man[[#This Row],[Rating]]&lt;=3.9,"3 - 3.9", a.nike.original.man[[#This Row],[Rating]]&lt;=5,"4 - 5")</f>
        <v>4 - 5</v>
      </c>
      <c r="J122" s="1">
        <v>1</v>
      </c>
      <c r="K122" s="1" t="str" cm="1">
        <f t="array" ref="K122">_xlfn.IFS(a.nike.original.man[[#This Row],[Reviews]]&lt;=7, "Below Average", a.nike.original.man[[#This Row],[Reviews]]&gt;=8, "Average +")</f>
        <v>Below Average</v>
      </c>
      <c r="L122" s="11" t="s">
        <v>1529</v>
      </c>
      <c r="M122" s="1" t="s">
        <v>1470</v>
      </c>
    </row>
    <row r="123" spans="1:13" x14ac:dyDescent="0.2">
      <c r="A123" s="1" t="s">
        <v>349</v>
      </c>
      <c r="B123" s="1" t="s">
        <v>350</v>
      </c>
      <c r="C123" s="330">
        <v>149.94999999999999</v>
      </c>
      <c r="D123" s="330">
        <v>105</v>
      </c>
      <c r="E123" s="116">
        <v>0.3</v>
      </c>
      <c r="F123" s="1" t="s">
        <v>9</v>
      </c>
      <c r="G123" s="1" t="s">
        <v>351</v>
      </c>
      <c r="H123" s="1">
        <v>4</v>
      </c>
      <c r="I123" s="1" t="str" cm="1">
        <f t="array" ref="I123">_xlfn.IFS(a.nike.original.man[[#This Row],[Rating]]&lt;=2.9, "0 - 2.9",a.nike.original.man[[#This Row],[Rating]]&lt;=3.9,"3 - 3.9", a.nike.original.man[[#This Row],[Rating]]&lt;=5,"4 - 5")</f>
        <v>4 - 5</v>
      </c>
      <c r="J123" s="1">
        <v>6</v>
      </c>
      <c r="K123" s="1" t="str" cm="1">
        <f t="array" ref="K123">_xlfn.IFS(a.nike.original.man[[#This Row],[Reviews]]&lt;=7, "Below Average", a.nike.original.man[[#This Row],[Reviews]]&gt;=8, "Average +")</f>
        <v>Below Average</v>
      </c>
      <c r="L123" s="11" t="s">
        <v>1530</v>
      </c>
      <c r="M123" s="1" t="s">
        <v>1470</v>
      </c>
    </row>
    <row r="124" spans="1:13" x14ac:dyDescent="0.2">
      <c r="A124" s="2" t="s">
        <v>352</v>
      </c>
      <c r="B124" s="2" t="s">
        <v>353</v>
      </c>
      <c r="C124" s="331">
        <v>0</v>
      </c>
      <c r="D124" s="331">
        <v>70</v>
      </c>
      <c r="E124" s="116">
        <v>0</v>
      </c>
      <c r="F124" s="2" t="s">
        <v>9</v>
      </c>
      <c r="G124" s="2" t="s">
        <v>354</v>
      </c>
      <c r="H124" s="2">
        <v>4.3</v>
      </c>
      <c r="I124" s="2" t="str" cm="1">
        <f t="array" ref="I124">_xlfn.IFS(a.nike.original.man[[#This Row],[Rating]]&lt;=2.9, "0 - 2.9",a.nike.original.man[[#This Row],[Rating]]&lt;=3.9,"3 - 3.9", a.nike.original.man[[#This Row],[Rating]]&lt;=5,"4 - 5")</f>
        <v>4 - 5</v>
      </c>
      <c r="J124" s="2">
        <v>12</v>
      </c>
      <c r="K124" s="2" t="str" cm="1">
        <f t="array" ref="K124">_xlfn.IFS(a.nike.original.man[[#This Row],[Reviews]]&lt;=7, "Below Average", a.nike.original.man[[#This Row],[Reviews]]&gt;=8, "Average +")</f>
        <v>Average +</v>
      </c>
      <c r="L124" s="12" t="s">
        <v>1530</v>
      </c>
      <c r="M124" s="2" t="s">
        <v>1470</v>
      </c>
    </row>
    <row r="125" spans="1:13" x14ac:dyDescent="0.2">
      <c r="A125" s="1" t="s">
        <v>355</v>
      </c>
      <c r="B125" s="1" t="s">
        <v>356</v>
      </c>
      <c r="C125" s="330">
        <v>109.95</v>
      </c>
      <c r="D125" s="330">
        <v>88</v>
      </c>
      <c r="E125" s="116">
        <v>0.2</v>
      </c>
      <c r="F125" s="1" t="s">
        <v>9</v>
      </c>
      <c r="G125" s="1" t="s">
        <v>357</v>
      </c>
      <c r="H125" s="1">
        <v>4.3</v>
      </c>
      <c r="I125" s="1" t="str" cm="1">
        <f t="array" ref="I125">_xlfn.IFS(a.nike.original.man[[#This Row],[Rating]]&lt;=2.9, "0 - 2.9",a.nike.original.man[[#This Row],[Rating]]&lt;=3.9,"3 - 3.9", a.nike.original.man[[#This Row],[Rating]]&lt;=5,"4 - 5")</f>
        <v>4 - 5</v>
      </c>
      <c r="J125" s="1">
        <v>9</v>
      </c>
      <c r="K125" s="1" t="str" cm="1">
        <f t="array" ref="K125">_xlfn.IFS(a.nike.original.man[[#This Row],[Reviews]]&lt;=7, "Below Average", a.nike.original.man[[#This Row],[Reviews]]&gt;=8, "Average +")</f>
        <v>Average +</v>
      </c>
      <c r="L125" s="11" t="s">
        <v>1530</v>
      </c>
      <c r="M125" s="1" t="s">
        <v>1470</v>
      </c>
    </row>
    <row r="126" spans="1:13" x14ac:dyDescent="0.2">
      <c r="A126" s="2" t="s">
        <v>346</v>
      </c>
      <c r="B126" s="2" t="s">
        <v>347</v>
      </c>
      <c r="C126" s="331">
        <v>0</v>
      </c>
      <c r="D126" s="331">
        <v>60</v>
      </c>
      <c r="E126" s="116">
        <v>0</v>
      </c>
      <c r="F126" s="2" t="s">
        <v>9</v>
      </c>
      <c r="G126" s="2" t="s">
        <v>348</v>
      </c>
      <c r="H126" s="2">
        <v>0</v>
      </c>
      <c r="I126" s="2" t="str" cm="1">
        <f t="array" ref="I126">_xlfn.IFS(a.nike.original.man[[#This Row],[Rating]]&lt;=2.9, "0 - 2.9",a.nike.original.man[[#This Row],[Rating]]&lt;=3.9,"3 - 3.9", a.nike.original.man[[#This Row],[Rating]]&lt;=5,"4 - 5")</f>
        <v>0 - 2.9</v>
      </c>
      <c r="J126" s="2">
        <v>0</v>
      </c>
      <c r="K126" s="2" t="str" cm="1">
        <f t="array" ref="K126">_xlfn.IFS(a.nike.original.man[[#This Row],[Reviews]]&lt;=7, "Below Average", a.nike.original.man[[#This Row],[Reviews]]&gt;=8, "Average +")</f>
        <v>Below Average</v>
      </c>
      <c r="L126" s="12" t="s">
        <v>1530</v>
      </c>
      <c r="M126" s="2" t="s">
        <v>1470</v>
      </c>
    </row>
    <row r="127" spans="1:13" x14ac:dyDescent="0.2">
      <c r="A127" s="2" t="s">
        <v>358</v>
      </c>
      <c r="B127" s="2" t="s">
        <v>359</v>
      </c>
      <c r="C127" s="331">
        <v>0</v>
      </c>
      <c r="D127" s="331">
        <v>160</v>
      </c>
      <c r="E127" s="116">
        <v>0</v>
      </c>
      <c r="F127" s="2" t="s">
        <v>9</v>
      </c>
      <c r="G127" s="2" t="s">
        <v>360</v>
      </c>
      <c r="H127" s="2">
        <v>4.7</v>
      </c>
      <c r="I127" s="2" t="str" cm="1">
        <f t="array" ref="I127">_xlfn.IFS(a.nike.original.man[[#This Row],[Rating]]&lt;=2.9, "0 - 2.9",a.nike.original.man[[#This Row],[Rating]]&lt;=3.9,"3 - 3.9", a.nike.original.man[[#This Row],[Rating]]&lt;=5,"4 - 5")</f>
        <v>4 - 5</v>
      </c>
      <c r="J127" s="2">
        <v>223</v>
      </c>
      <c r="K127" s="2" t="str" cm="1">
        <f t="array" ref="K127">_xlfn.IFS(a.nike.original.man[[#This Row],[Reviews]]&lt;=7, "Below Average", a.nike.original.man[[#This Row],[Reviews]]&gt;=8, "Average +")</f>
        <v>Average +</v>
      </c>
      <c r="L127" s="12" t="s">
        <v>1531</v>
      </c>
      <c r="M127" s="2" t="s">
        <v>1470</v>
      </c>
    </row>
    <row r="128" spans="1:13" x14ac:dyDescent="0.2">
      <c r="A128" s="1" t="s">
        <v>361</v>
      </c>
      <c r="B128" s="1" t="s">
        <v>362</v>
      </c>
      <c r="C128" s="330">
        <v>0</v>
      </c>
      <c r="D128" s="330">
        <v>160</v>
      </c>
      <c r="E128" s="116">
        <v>0</v>
      </c>
      <c r="F128" s="1" t="s">
        <v>9</v>
      </c>
      <c r="G128" s="1" t="s">
        <v>363</v>
      </c>
      <c r="H128" s="1">
        <v>4.5</v>
      </c>
      <c r="I128" s="1" t="str" cm="1">
        <f t="array" ref="I128">_xlfn.IFS(a.nike.original.man[[#This Row],[Rating]]&lt;=2.9, "0 - 2.9",a.nike.original.man[[#This Row],[Rating]]&lt;=3.9,"3 - 3.9", a.nike.original.man[[#This Row],[Rating]]&lt;=5,"4 - 5")</f>
        <v>4 - 5</v>
      </c>
      <c r="J128" s="1">
        <v>24</v>
      </c>
      <c r="K128" s="1" t="str" cm="1">
        <f t="array" ref="K128">_xlfn.IFS(a.nike.original.man[[#This Row],[Reviews]]&lt;=7, "Below Average", a.nike.original.man[[#This Row],[Reviews]]&gt;=8, "Average +")</f>
        <v>Average +</v>
      </c>
      <c r="L128" s="11" t="s">
        <v>1531</v>
      </c>
      <c r="M128" s="1" t="s">
        <v>1470</v>
      </c>
    </row>
    <row r="129" spans="1:13" x14ac:dyDescent="0.2">
      <c r="A129" s="1" t="s">
        <v>372</v>
      </c>
      <c r="B129" s="1" t="s">
        <v>373</v>
      </c>
      <c r="C129" s="330">
        <v>0</v>
      </c>
      <c r="D129" s="330">
        <v>80</v>
      </c>
      <c r="E129" s="116">
        <v>0</v>
      </c>
      <c r="F129" s="1" t="s">
        <v>9</v>
      </c>
      <c r="G129" s="1" t="s">
        <v>374</v>
      </c>
      <c r="H129" s="1">
        <v>5</v>
      </c>
      <c r="I129" s="1" t="str" cm="1">
        <f t="array" ref="I129">_xlfn.IFS(a.nike.original.man[[#This Row],[Rating]]&lt;=2.9, "0 - 2.9",a.nike.original.man[[#This Row],[Rating]]&lt;=3.9,"3 - 3.9", a.nike.original.man[[#This Row],[Rating]]&lt;=5,"4 - 5")</f>
        <v>4 - 5</v>
      </c>
      <c r="J129" s="1">
        <v>3</v>
      </c>
      <c r="K129" s="1" t="str" cm="1">
        <f t="array" ref="K129">_xlfn.IFS(a.nike.original.man[[#This Row],[Reviews]]&lt;=7, "Below Average", a.nike.original.man[[#This Row],[Reviews]]&gt;=8, "Average +")</f>
        <v>Below Average</v>
      </c>
      <c r="L129" s="11" t="s">
        <v>1532</v>
      </c>
      <c r="M129" s="1" t="s">
        <v>1470</v>
      </c>
    </row>
    <row r="130" spans="1:13" x14ac:dyDescent="0.2">
      <c r="A130" s="2" t="s">
        <v>132</v>
      </c>
      <c r="B130" s="2" t="s">
        <v>364</v>
      </c>
      <c r="C130" s="331">
        <v>0</v>
      </c>
      <c r="D130" s="331">
        <v>130</v>
      </c>
      <c r="E130" s="116">
        <v>0</v>
      </c>
      <c r="F130" s="2" t="s">
        <v>9</v>
      </c>
      <c r="G130" s="2" t="s">
        <v>365</v>
      </c>
      <c r="H130" s="2">
        <v>4</v>
      </c>
      <c r="I130" s="2" t="str" cm="1">
        <f t="array" ref="I130">_xlfn.IFS(a.nike.original.man[[#This Row],[Rating]]&lt;=2.9, "0 - 2.9",a.nike.original.man[[#This Row],[Rating]]&lt;=3.9,"3 - 3.9", a.nike.original.man[[#This Row],[Rating]]&lt;=5,"4 - 5")</f>
        <v>4 - 5</v>
      </c>
      <c r="J130" s="2">
        <v>1</v>
      </c>
      <c r="K130" s="2" t="str" cm="1">
        <f t="array" ref="K130">_xlfn.IFS(a.nike.original.man[[#This Row],[Reviews]]&lt;=7, "Below Average", a.nike.original.man[[#This Row],[Reviews]]&gt;=8, "Average +")</f>
        <v>Below Average</v>
      </c>
      <c r="L130" s="12" t="s">
        <v>1532</v>
      </c>
      <c r="M130" s="2" t="s">
        <v>1470</v>
      </c>
    </row>
    <row r="131" spans="1:13" x14ac:dyDescent="0.2">
      <c r="A131" s="1" t="s">
        <v>366</v>
      </c>
      <c r="B131" s="1" t="s">
        <v>367</v>
      </c>
      <c r="C131" s="330">
        <v>119.95</v>
      </c>
      <c r="D131" s="330">
        <v>84</v>
      </c>
      <c r="E131" s="116">
        <v>0.3</v>
      </c>
      <c r="F131" s="1" t="s">
        <v>9</v>
      </c>
      <c r="G131" s="1" t="s">
        <v>368</v>
      </c>
      <c r="H131" s="1">
        <v>0</v>
      </c>
      <c r="I131" s="1" t="str" cm="1">
        <f t="array" ref="I131">_xlfn.IFS(a.nike.original.man[[#This Row],[Rating]]&lt;=2.9, "0 - 2.9",a.nike.original.man[[#This Row],[Rating]]&lt;=3.9,"3 - 3.9", a.nike.original.man[[#This Row],[Rating]]&lt;=5,"4 - 5")</f>
        <v>0 - 2.9</v>
      </c>
      <c r="J131" s="1">
        <v>0</v>
      </c>
      <c r="K131" s="1" t="str" cm="1">
        <f t="array" ref="K131">_xlfn.IFS(a.nike.original.man[[#This Row],[Reviews]]&lt;=7, "Below Average", a.nike.original.man[[#This Row],[Reviews]]&gt;=8, "Average +")</f>
        <v>Below Average</v>
      </c>
      <c r="L131" s="11" t="s">
        <v>1532</v>
      </c>
      <c r="M131" s="1" t="s">
        <v>1470</v>
      </c>
    </row>
    <row r="132" spans="1:13" x14ac:dyDescent="0.2">
      <c r="A132" s="2" t="s">
        <v>369</v>
      </c>
      <c r="B132" s="2" t="s">
        <v>370</v>
      </c>
      <c r="C132" s="331">
        <v>0</v>
      </c>
      <c r="D132" s="331">
        <v>90</v>
      </c>
      <c r="E132" s="116">
        <v>0</v>
      </c>
      <c r="F132" s="2" t="s">
        <v>9</v>
      </c>
      <c r="G132" s="2" t="s">
        <v>371</v>
      </c>
      <c r="H132" s="2">
        <v>0</v>
      </c>
      <c r="I132" s="2" t="str" cm="1">
        <f t="array" ref="I132">_xlfn.IFS(a.nike.original.man[[#This Row],[Rating]]&lt;=2.9, "0 - 2.9",a.nike.original.man[[#This Row],[Rating]]&lt;=3.9,"3 - 3.9", a.nike.original.man[[#This Row],[Rating]]&lt;=5,"4 - 5")</f>
        <v>0 - 2.9</v>
      </c>
      <c r="J132" s="2">
        <v>0</v>
      </c>
      <c r="K132" s="2" t="str" cm="1">
        <f t="array" ref="K132">_xlfn.IFS(a.nike.original.man[[#This Row],[Reviews]]&lt;=7, "Below Average", a.nike.original.man[[#This Row],[Reviews]]&gt;=8, "Average +")</f>
        <v>Below Average</v>
      </c>
      <c r="L132" s="12" t="s">
        <v>1532</v>
      </c>
      <c r="M132" s="2" t="s">
        <v>1470</v>
      </c>
    </row>
    <row r="133" spans="1:13" x14ac:dyDescent="0.2">
      <c r="A133" s="2" t="s">
        <v>56</v>
      </c>
      <c r="B133" s="2" t="s">
        <v>375</v>
      </c>
      <c r="C133" s="331">
        <v>0</v>
      </c>
      <c r="D133" s="331">
        <v>160</v>
      </c>
      <c r="E133" s="116">
        <v>0</v>
      </c>
      <c r="F133" s="2" t="s">
        <v>9</v>
      </c>
      <c r="G133" s="2" t="s">
        <v>376</v>
      </c>
      <c r="H133" s="2">
        <v>5</v>
      </c>
      <c r="I133" s="2" t="str" cm="1">
        <f t="array" ref="I133">_xlfn.IFS(a.nike.original.man[[#This Row],[Rating]]&lt;=2.9, "0 - 2.9",a.nike.original.man[[#This Row],[Rating]]&lt;=3.9,"3 - 3.9", a.nike.original.man[[#This Row],[Rating]]&lt;=5,"4 - 5")</f>
        <v>4 - 5</v>
      </c>
      <c r="J133" s="2">
        <v>1</v>
      </c>
      <c r="K133" s="2" t="str" cm="1">
        <f t="array" ref="K133">_xlfn.IFS(a.nike.original.man[[#This Row],[Reviews]]&lt;=7, "Below Average", a.nike.original.man[[#This Row],[Reviews]]&gt;=8, "Average +")</f>
        <v>Below Average</v>
      </c>
      <c r="L133" s="12" t="s">
        <v>1533</v>
      </c>
      <c r="M133" s="2" t="s">
        <v>1470</v>
      </c>
    </row>
    <row r="134" spans="1:13" x14ac:dyDescent="0.2">
      <c r="A134" s="1" t="s">
        <v>383</v>
      </c>
      <c r="B134" s="1" t="s">
        <v>384</v>
      </c>
      <c r="C134" s="330">
        <v>0</v>
      </c>
      <c r="D134" s="330">
        <v>160</v>
      </c>
      <c r="E134" s="116">
        <v>0</v>
      </c>
      <c r="F134" s="1" t="s">
        <v>9</v>
      </c>
      <c r="G134" s="1" t="s">
        <v>385</v>
      </c>
      <c r="H134" s="1">
        <v>4.4000000000000004</v>
      </c>
      <c r="I134" s="1" t="str" cm="1">
        <f t="array" ref="I134">_xlfn.IFS(a.nike.original.man[[#This Row],[Rating]]&lt;=2.9, "0 - 2.9",a.nike.original.man[[#This Row],[Rating]]&lt;=3.9,"3 - 3.9", a.nike.original.man[[#This Row],[Rating]]&lt;=5,"4 - 5")</f>
        <v>4 - 5</v>
      </c>
      <c r="J134" s="1">
        <v>5</v>
      </c>
      <c r="K134" s="1" t="str" cm="1">
        <f t="array" ref="K134">_xlfn.IFS(a.nike.original.man[[#This Row],[Reviews]]&lt;=7, "Below Average", a.nike.original.man[[#This Row],[Reviews]]&gt;=8, "Average +")</f>
        <v>Below Average</v>
      </c>
      <c r="L134" s="11" t="s">
        <v>1534</v>
      </c>
      <c r="M134" s="1" t="s">
        <v>1470</v>
      </c>
    </row>
    <row r="135" spans="1:13" x14ac:dyDescent="0.2">
      <c r="A135" s="1" t="s">
        <v>377</v>
      </c>
      <c r="B135" s="1" t="s">
        <v>378</v>
      </c>
      <c r="C135" s="330">
        <v>49.95</v>
      </c>
      <c r="D135" s="330">
        <v>40</v>
      </c>
      <c r="E135" s="116">
        <v>0.2</v>
      </c>
      <c r="F135" s="1" t="s">
        <v>9</v>
      </c>
      <c r="G135" s="1" t="s">
        <v>379</v>
      </c>
      <c r="H135" s="1">
        <v>0</v>
      </c>
      <c r="I135" s="1" t="str" cm="1">
        <f t="array" ref="I135">_xlfn.IFS(a.nike.original.man[[#This Row],[Rating]]&lt;=2.9, "0 - 2.9",a.nike.original.man[[#This Row],[Rating]]&lt;=3.9,"3 - 3.9", a.nike.original.man[[#This Row],[Rating]]&lt;=5,"4 - 5")</f>
        <v>0 - 2.9</v>
      </c>
      <c r="J135" s="1">
        <v>0</v>
      </c>
      <c r="K135" s="1" t="str" cm="1">
        <f t="array" ref="K135">_xlfn.IFS(a.nike.original.man[[#This Row],[Reviews]]&lt;=7, "Below Average", a.nike.original.man[[#This Row],[Reviews]]&gt;=8, "Average +")</f>
        <v>Below Average</v>
      </c>
      <c r="L135" s="11" t="s">
        <v>1534</v>
      </c>
      <c r="M135" s="1" t="s">
        <v>1470</v>
      </c>
    </row>
    <row r="136" spans="1:13" x14ac:dyDescent="0.2">
      <c r="A136" s="2" t="s">
        <v>380</v>
      </c>
      <c r="B136" s="2" t="s">
        <v>381</v>
      </c>
      <c r="C136" s="331">
        <v>0</v>
      </c>
      <c r="D136" s="331">
        <v>150</v>
      </c>
      <c r="E136" s="116">
        <v>0</v>
      </c>
      <c r="F136" s="2" t="s">
        <v>9</v>
      </c>
      <c r="G136" s="2" t="s">
        <v>382</v>
      </c>
      <c r="H136" s="2">
        <v>0</v>
      </c>
      <c r="I136" s="2" t="str" cm="1">
        <f t="array" ref="I136">_xlfn.IFS(a.nike.original.man[[#This Row],[Rating]]&lt;=2.9, "0 - 2.9",a.nike.original.man[[#This Row],[Rating]]&lt;=3.9,"3 - 3.9", a.nike.original.man[[#This Row],[Rating]]&lt;=5,"4 - 5")</f>
        <v>0 - 2.9</v>
      </c>
      <c r="J136" s="2">
        <v>0</v>
      </c>
      <c r="K136" s="2" t="str" cm="1">
        <f t="array" ref="K136">_xlfn.IFS(a.nike.original.man[[#This Row],[Reviews]]&lt;=7, "Below Average", a.nike.original.man[[#This Row],[Reviews]]&gt;=8, "Average +")</f>
        <v>Below Average</v>
      </c>
      <c r="L136" s="12" t="s">
        <v>1534</v>
      </c>
      <c r="M136" s="2" t="s">
        <v>1470</v>
      </c>
    </row>
    <row r="137" spans="1:13" x14ac:dyDescent="0.2">
      <c r="A137" s="2" t="s">
        <v>386</v>
      </c>
      <c r="B137" s="2" t="s">
        <v>387</v>
      </c>
      <c r="C137" s="331">
        <v>0</v>
      </c>
      <c r="D137" s="331">
        <v>120</v>
      </c>
      <c r="E137" s="116">
        <v>0</v>
      </c>
      <c r="F137" s="2" t="s">
        <v>9</v>
      </c>
      <c r="G137" s="2" t="s">
        <v>388</v>
      </c>
      <c r="H137" s="2">
        <v>3.9</v>
      </c>
      <c r="I137" s="2" t="str" cm="1">
        <f t="array" ref="I137">_xlfn.IFS(a.nike.original.man[[#This Row],[Rating]]&lt;=2.9, "0 - 2.9",a.nike.original.man[[#This Row],[Rating]]&lt;=3.9,"3 - 3.9", a.nike.original.man[[#This Row],[Rating]]&lt;=5,"4 - 5")</f>
        <v>3 - 3.9</v>
      </c>
      <c r="J137" s="2">
        <v>17</v>
      </c>
      <c r="K137" s="2" t="str" cm="1">
        <f t="array" ref="K137">_xlfn.IFS(a.nike.original.man[[#This Row],[Reviews]]&lt;=7, "Below Average", a.nike.original.man[[#This Row],[Reviews]]&gt;=8, "Average +")</f>
        <v>Average +</v>
      </c>
      <c r="L137" s="12" t="s">
        <v>1535</v>
      </c>
      <c r="M137" s="2" t="s">
        <v>1470</v>
      </c>
    </row>
    <row r="138" spans="1:13" x14ac:dyDescent="0.2">
      <c r="A138" s="1" t="s">
        <v>389</v>
      </c>
      <c r="B138" s="1" t="s">
        <v>390</v>
      </c>
      <c r="C138" s="330">
        <v>0</v>
      </c>
      <c r="D138" s="330">
        <v>55</v>
      </c>
      <c r="E138" s="116">
        <v>0</v>
      </c>
      <c r="F138" s="1" t="s">
        <v>9</v>
      </c>
      <c r="G138" s="1" t="s">
        <v>391</v>
      </c>
      <c r="H138" s="1">
        <v>0</v>
      </c>
      <c r="I138" s="1" t="str" cm="1">
        <f t="array" ref="I138">_xlfn.IFS(a.nike.original.man[[#This Row],[Rating]]&lt;=2.9, "0 - 2.9",a.nike.original.man[[#This Row],[Rating]]&lt;=3.9,"3 - 3.9", a.nike.original.man[[#This Row],[Rating]]&lt;=5,"4 - 5")</f>
        <v>0 - 2.9</v>
      </c>
      <c r="J138" s="1">
        <v>0</v>
      </c>
      <c r="K138" s="1" t="str" cm="1">
        <f t="array" ref="K138">_xlfn.IFS(a.nike.original.man[[#This Row],[Reviews]]&lt;=7, "Below Average", a.nike.original.man[[#This Row],[Reviews]]&gt;=8, "Average +")</f>
        <v>Below Average</v>
      </c>
      <c r="L138" s="11" t="s">
        <v>1535</v>
      </c>
      <c r="M138" s="1" t="s">
        <v>1470</v>
      </c>
    </row>
    <row r="139" spans="1:13" x14ac:dyDescent="0.2">
      <c r="A139" s="1" t="s">
        <v>102</v>
      </c>
      <c r="B139" s="1" t="s">
        <v>393</v>
      </c>
      <c r="C139" s="330">
        <v>0</v>
      </c>
      <c r="D139" s="330">
        <v>140</v>
      </c>
      <c r="E139" s="116">
        <v>0</v>
      </c>
      <c r="F139" s="1" t="s">
        <v>9</v>
      </c>
      <c r="G139" s="1" t="s">
        <v>394</v>
      </c>
      <c r="H139" s="1">
        <v>4.5</v>
      </c>
      <c r="I139" s="1" t="str" cm="1">
        <f t="array" ref="I139">_xlfn.IFS(a.nike.original.man[[#This Row],[Rating]]&lt;=2.9, "0 - 2.9",a.nike.original.man[[#This Row],[Rating]]&lt;=3.9,"3 - 3.9", a.nike.original.man[[#This Row],[Rating]]&lt;=5,"4 - 5")</f>
        <v>4 - 5</v>
      </c>
      <c r="J139" s="1">
        <v>2</v>
      </c>
      <c r="K139" s="1" t="str" cm="1">
        <f t="array" ref="K139">_xlfn.IFS(a.nike.original.man[[#This Row],[Reviews]]&lt;=7, "Below Average", a.nike.original.man[[#This Row],[Reviews]]&gt;=8, "Average +")</f>
        <v>Below Average</v>
      </c>
      <c r="L139" s="11" t="s">
        <v>1536</v>
      </c>
      <c r="M139" s="1" t="s">
        <v>1470</v>
      </c>
    </row>
    <row r="140" spans="1:13" x14ac:dyDescent="0.2">
      <c r="A140" s="2" t="s">
        <v>322</v>
      </c>
      <c r="B140" s="2" t="s">
        <v>392</v>
      </c>
      <c r="C140" s="331">
        <v>0</v>
      </c>
      <c r="D140" s="331">
        <v>80</v>
      </c>
      <c r="E140" s="116">
        <v>0</v>
      </c>
      <c r="F140" s="2" t="s">
        <v>9</v>
      </c>
      <c r="G140" s="2" t="s">
        <v>324</v>
      </c>
      <c r="H140" s="2">
        <v>0</v>
      </c>
      <c r="I140" s="2" t="str" cm="1">
        <f t="array" ref="I140">_xlfn.IFS(a.nike.original.man[[#This Row],[Rating]]&lt;=2.9, "0 - 2.9",a.nike.original.man[[#This Row],[Rating]]&lt;=3.9,"3 - 3.9", a.nike.original.man[[#This Row],[Rating]]&lt;=5,"4 - 5")</f>
        <v>0 - 2.9</v>
      </c>
      <c r="J140" s="2">
        <v>0</v>
      </c>
      <c r="K140" s="2" t="str" cm="1">
        <f t="array" ref="K140">_xlfn.IFS(a.nike.original.man[[#This Row],[Reviews]]&lt;=7, "Below Average", a.nike.original.man[[#This Row],[Reviews]]&gt;=8, "Average +")</f>
        <v>Below Average</v>
      </c>
      <c r="L140" s="12" t="s">
        <v>1536</v>
      </c>
      <c r="M140" s="2" t="s">
        <v>1470</v>
      </c>
    </row>
    <row r="141" spans="1:13" x14ac:dyDescent="0.2">
      <c r="A141" s="2" t="s">
        <v>395</v>
      </c>
      <c r="B141" s="2" t="s">
        <v>396</v>
      </c>
      <c r="C141" s="331">
        <v>0</v>
      </c>
      <c r="D141" s="331">
        <v>100</v>
      </c>
      <c r="E141" s="116">
        <v>0</v>
      </c>
      <c r="F141" s="2" t="s">
        <v>9</v>
      </c>
      <c r="G141" s="2" t="s">
        <v>397</v>
      </c>
      <c r="H141" s="2">
        <v>0</v>
      </c>
      <c r="I141" s="2" t="str" cm="1">
        <f t="array" ref="I141">_xlfn.IFS(a.nike.original.man[[#This Row],[Rating]]&lt;=2.9, "0 - 2.9",a.nike.original.man[[#This Row],[Rating]]&lt;=3.9,"3 - 3.9", a.nike.original.man[[#This Row],[Rating]]&lt;=5,"4 - 5")</f>
        <v>0 - 2.9</v>
      </c>
      <c r="J141" s="2">
        <v>0</v>
      </c>
      <c r="K141" s="2" t="str" cm="1">
        <f t="array" ref="K141">_xlfn.IFS(a.nike.original.man[[#This Row],[Reviews]]&lt;=7, "Below Average", a.nike.original.man[[#This Row],[Reviews]]&gt;=8, "Average +")</f>
        <v>Below Average</v>
      </c>
      <c r="L141" s="12" t="s">
        <v>1536</v>
      </c>
      <c r="M141" s="2" t="s">
        <v>1470</v>
      </c>
    </row>
    <row r="142" spans="1:13" x14ac:dyDescent="0.2">
      <c r="A142" s="2" t="s">
        <v>400</v>
      </c>
      <c r="B142" s="2" t="s">
        <v>401</v>
      </c>
      <c r="C142" s="331">
        <v>109.95</v>
      </c>
      <c r="D142" s="331">
        <v>77</v>
      </c>
      <c r="E142" s="116">
        <v>0.3</v>
      </c>
      <c r="F142" s="2" t="s">
        <v>9</v>
      </c>
      <c r="G142" s="2" t="s">
        <v>402</v>
      </c>
      <c r="H142" s="2">
        <v>4.7</v>
      </c>
      <c r="I142" s="2" t="str" cm="1">
        <f t="array" ref="I142">_xlfn.IFS(a.nike.original.man[[#This Row],[Rating]]&lt;=2.9, "0 - 2.9",a.nike.original.man[[#This Row],[Rating]]&lt;=3.9,"3 - 3.9", a.nike.original.man[[#This Row],[Rating]]&lt;=5,"4 - 5")</f>
        <v>4 - 5</v>
      </c>
      <c r="J142" s="2">
        <v>3</v>
      </c>
      <c r="K142" s="2" t="str" cm="1">
        <f t="array" ref="K142">_xlfn.IFS(a.nike.original.man[[#This Row],[Reviews]]&lt;=7, "Below Average", a.nike.original.man[[#This Row],[Reviews]]&gt;=8, "Average +")</f>
        <v>Below Average</v>
      </c>
      <c r="L142" s="12" t="s">
        <v>1537</v>
      </c>
      <c r="M142" s="2" t="s">
        <v>1470</v>
      </c>
    </row>
    <row r="143" spans="1:13" x14ac:dyDescent="0.2">
      <c r="A143" s="2" t="s">
        <v>108</v>
      </c>
      <c r="B143" s="2" t="s">
        <v>405</v>
      </c>
      <c r="C143" s="331">
        <v>0</v>
      </c>
      <c r="D143" s="331">
        <v>80</v>
      </c>
      <c r="E143" s="116">
        <v>0</v>
      </c>
      <c r="F143" s="2" t="s">
        <v>9</v>
      </c>
      <c r="G143" s="2" t="s">
        <v>406</v>
      </c>
      <c r="H143" s="2">
        <v>5</v>
      </c>
      <c r="I143" s="2" t="str" cm="1">
        <f t="array" ref="I143">_xlfn.IFS(a.nike.original.man[[#This Row],[Rating]]&lt;=2.9, "0 - 2.9",a.nike.original.man[[#This Row],[Rating]]&lt;=3.9,"3 - 3.9", a.nike.original.man[[#This Row],[Rating]]&lt;=5,"4 - 5")</f>
        <v>4 - 5</v>
      </c>
      <c r="J143" s="2">
        <v>3</v>
      </c>
      <c r="K143" s="2" t="str" cm="1">
        <f t="array" ref="K143">_xlfn.IFS(a.nike.original.man[[#This Row],[Reviews]]&lt;=7, "Below Average", a.nike.original.man[[#This Row],[Reviews]]&gt;=8, "Average +")</f>
        <v>Below Average</v>
      </c>
      <c r="L143" s="12" t="s">
        <v>1537</v>
      </c>
      <c r="M143" s="2" t="s">
        <v>1470</v>
      </c>
    </row>
    <row r="144" spans="1:13" x14ac:dyDescent="0.2">
      <c r="A144" s="1" t="s">
        <v>150</v>
      </c>
      <c r="B144" s="1" t="s">
        <v>398</v>
      </c>
      <c r="C144" s="330">
        <v>0</v>
      </c>
      <c r="D144" s="330">
        <v>90</v>
      </c>
      <c r="E144" s="116">
        <v>0</v>
      </c>
      <c r="F144" s="1" t="s">
        <v>9</v>
      </c>
      <c r="G144" s="1" t="s">
        <v>399</v>
      </c>
      <c r="H144" s="1">
        <v>4.5</v>
      </c>
      <c r="I144" s="1" t="str" cm="1">
        <f t="array" ref="I144">_xlfn.IFS(a.nike.original.man[[#This Row],[Rating]]&lt;=2.9, "0 - 2.9",a.nike.original.man[[#This Row],[Rating]]&lt;=3.9,"3 - 3.9", a.nike.original.man[[#This Row],[Rating]]&lt;=5,"4 - 5")</f>
        <v>4 - 5</v>
      </c>
      <c r="J144" s="1">
        <v>2</v>
      </c>
      <c r="K144" s="1" t="str" cm="1">
        <f t="array" ref="K144">_xlfn.IFS(a.nike.original.man[[#This Row],[Reviews]]&lt;=7, "Below Average", a.nike.original.man[[#This Row],[Reviews]]&gt;=8, "Average +")</f>
        <v>Below Average</v>
      </c>
      <c r="L144" s="11" t="s">
        <v>1537</v>
      </c>
      <c r="M144" s="1" t="s">
        <v>1470</v>
      </c>
    </row>
    <row r="145" spans="1:13" x14ac:dyDescent="0.2">
      <c r="A145" s="1" t="s">
        <v>182</v>
      </c>
      <c r="B145" s="1" t="s">
        <v>403</v>
      </c>
      <c r="C145" s="330">
        <v>0</v>
      </c>
      <c r="D145" s="330">
        <v>120</v>
      </c>
      <c r="E145" s="116">
        <v>0</v>
      </c>
      <c r="F145" s="1" t="s">
        <v>9</v>
      </c>
      <c r="G145" s="1" t="s">
        <v>404</v>
      </c>
      <c r="H145" s="1">
        <v>0</v>
      </c>
      <c r="I145" s="1" t="str" cm="1">
        <f t="array" ref="I145">_xlfn.IFS(a.nike.original.man[[#This Row],[Rating]]&lt;=2.9, "0 - 2.9",a.nike.original.man[[#This Row],[Rating]]&lt;=3.9,"3 - 3.9", a.nike.original.man[[#This Row],[Rating]]&lt;=5,"4 - 5")</f>
        <v>0 - 2.9</v>
      </c>
      <c r="J145" s="1">
        <v>0</v>
      </c>
      <c r="K145" s="1" t="str" cm="1">
        <f t="array" ref="K145">_xlfn.IFS(a.nike.original.man[[#This Row],[Reviews]]&lt;=7, "Below Average", a.nike.original.man[[#This Row],[Reviews]]&gt;=8, "Average +")</f>
        <v>Below Average</v>
      </c>
      <c r="L145" s="11" t="s">
        <v>1537</v>
      </c>
      <c r="M145" s="1" t="s">
        <v>1470</v>
      </c>
    </row>
    <row r="146" spans="1:13" x14ac:dyDescent="0.2">
      <c r="A146" s="1" t="s">
        <v>407</v>
      </c>
      <c r="B146" s="1" t="s">
        <v>408</v>
      </c>
      <c r="C146" s="330">
        <v>0</v>
      </c>
      <c r="D146" s="330">
        <v>110</v>
      </c>
      <c r="E146" s="116">
        <v>0</v>
      </c>
      <c r="F146" s="1" t="s">
        <v>9</v>
      </c>
      <c r="G146" s="1" t="s">
        <v>409</v>
      </c>
      <c r="H146" s="1">
        <v>0</v>
      </c>
      <c r="I146" s="1" t="str" cm="1">
        <f t="array" ref="I146">_xlfn.IFS(a.nike.original.man[[#This Row],[Rating]]&lt;=2.9, "0 - 2.9",a.nike.original.man[[#This Row],[Rating]]&lt;=3.9,"3 - 3.9", a.nike.original.man[[#This Row],[Rating]]&lt;=5,"4 - 5")</f>
        <v>0 - 2.9</v>
      </c>
      <c r="J146" s="1">
        <v>0</v>
      </c>
      <c r="K146" s="1" t="str" cm="1">
        <f t="array" ref="K146">_xlfn.IFS(a.nike.original.man[[#This Row],[Reviews]]&lt;=7, "Below Average", a.nike.original.man[[#This Row],[Reviews]]&gt;=8, "Average +")</f>
        <v>Below Average</v>
      </c>
      <c r="L146" s="11" t="s">
        <v>1538</v>
      </c>
      <c r="M146" s="1" t="s">
        <v>1470</v>
      </c>
    </row>
    <row r="147" spans="1:13" x14ac:dyDescent="0.2">
      <c r="A147" s="2" t="s">
        <v>48</v>
      </c>
      <c r="B147" s="2" t="s">
        <v>410</v>
      </c>
      <c r="C147" s="331">
        <v>0</v>
      </c>
      <c r="D147" s="331">
        <v>170</v>
      </c>
      <c r="E147" s="116">
        <v>0</v>
      </c>
      <c r="F147" s="2" t="s">
        <v>9</v>
      </c>
      <c r="G147" s="2" t="s">
        <v>411</v>
      </c>
      <c r="H147" s="2">
        <v>3.7</v>
      </c>
      <c r="I147" s="2" t="str" cm="1">
        <f t="array" ref="I147">_xlfn.IFS(a.nike.original.man[[#This Row],[Rating]]&lt;=2.9, "0 - 2.9",a.nike.original.man[[#This Row],[Rating]]&lt;=3.9,"3 - 3.9", a.nike.original.man[[#This Row],[Rating]]&lt;=5,"4 - 5")</f>
        <v>3 - 3.9</v>
      </c>
      <c r="J147" s="2">
        <v>50</v>
      </c>
      <c r="K147" s="2" t="str" cm="1">
        <f t="array" ref="K147">_xlfn.IFS(a.nike.original.man[[#This Row],[Reviews]]&lt;=7, "Below Average", a.nike.original.man[[#This Row],[Reviews]]&gt;=8, "Average +")</f>
        <v>Average +</v>
      </c>
      <c r="L147" s="12" t="s">
        <v>1539</v>
      </c>
      <c r="M147" s="2" t="s">
        <v>1470</v>
      </c>
    </row>
    <row r="148" spans="1:13" x14ac:dyDescent="0.2">
      <c r="A148" s="1" t="s">
        <v>20</v>
      </c>
      <c r="B148" s="1" t="s">
        <v>412</v>
      </c>
      <c r="C148" s="330">
        <v>0</v>
      </c>
      <c r="D148" s="330">
        <v>100</v>
      </c>
      <c r="E148" s="116">
        <v>0</v>
      </c>
      <c r="F148" s="1" t="s">
        <v>9</v>
      </c>
      <c r="G148" s="1" t="s">
        <v>413</v>
      </c>
      <c r="H148" s="1">
        <v>5</v>
      </c>
      <c r="I148" s="1" t="str" cm="1">
        <f t="array" ref="I148">_xlfn.IFS(a.nike.original.man[[#This Row],[Rating]]&lt;=2.9, "0 - 2.9",a.nike.original.man[[#This Row],[Rating]]&lt;=3.9,"3 - 3.9", a.nike.original.man[[#This Row],[Rating]]&lt;=5,"4 - 5")</f>
        <v>4 - 5</v>
      </c>
      <c r="J148" s="1">
        <v>2</v>
      </c>
      <c r="K148" s="1" t="str" cm="1">
        <f t="array" ref="K148">_xlfn.IFS(a.nike.original.man[[#This Row],[Reviews]]&lt;=7, "Below Average", a.nike.original.man[[#This Row],[Reviews]]&gt;=8, "Average +")</f>
        <v>Below Average</v>
      </c>
      <c r="L148" s="11" t="s">
        <v>1539</v>
      </c>
      <c r="M148" s="1" t="s">
        <v>1470</v>
      </c>
    </row>
    <row r="149" spans="1:13" x14ac:dyDescent="0.2">
      <c r="A149" s="2" t="s">
        <v>414</v>
      </c>
      <c r="B149" s="2" t="s">
        <v>415</v>
      </c>
      <c r="C149" s="331">
        <v>0</v>
      </c>
      <c r="D149" s="331">
        <v>90</v>
      </c>
      <c r="E149" s="116">
        <v>0</v>
      </c>
      <c r="F149" s="2" t="s">
        <v>9</v>
      </c>
      <c r="G149" s="2" t="s">
        <v>416</v>
      </c>
      <c r="H149" s="2">
        <v>4.8</v>
      </c>
      <c r="I149" s="2" t="str" cm="1">
        <f t="array" ref="I149">_xlfn.IFS(a.nike.original.man[[#This Row],[Rating]]&lt;=2.9, "0 - 2.9",a.nike.original.man[[#This Row],[Rating]]&lt;=3.9,"3 - 3.9", a.nike.original.man[[#This Row],[Rating]]&lt;=5,"4 - 5")</f>
        <v>4 - 5</v>
      </c>
      <c r="J149" s="2">
        <v>20</v>
      </c>
      <c r="K149" s="2" t="str" cm="1">
        <f t="array" ref="K149">_xlfn.IFS(a.nike.original.man[[#This Row],[Reviews]]&lt;=7, "Below Average", a.nike.original.man[[#This Row],[Reviews]]&gt;=8, "Average +")</f>
        <v>Average +</v>
      </c>
      <c r="L149" s="12" t="s">
        <v>1540</v>
      </c>
      <c r="M149" s="2" t="s">
        <v>1470</v>
      </c>
    </row>
    <row r="150" spans="1:13" x14ac:dyDescent="0.2">
      <c r="A150" s="1" t="s">
        <v>422</v>
      </c>
      <c r="B150" s="1" t="s">
        <v>423</v>
      </c>
      <c r="C150" s="330">
        <v>89.95</v>
      </c>
      <c r="D150" s="330">
        <v>72</v>
      </c>
      <c r="E150" s="116">
        <v>0.2</v>
      </c>
      <c r="F150" s="1" t="s">
        <v>9</v>
      </c>
      <c r="G150" s="1" t="s">
        <v>424</v>
      </c>
      <c r="H150" s="1">
        <v>3</v>
      </c>
      <c r="I150" s="1" t="str" cm="1">
        <f t="array" ref="I150">_xlfn.IFS(a.nike.original.man[[#This Row],[Rating]]&lt;=2.9, "0 - 2.9",a.nike.original.man[[#This Row],[Rating]]&lt;=3.9,"3 - 3.9", a.nike.original.man[[#This Row],[Rating]]&lt;=5,"4 - 5")</f>
        <v>3 - 3.9</v>
      </c>
      <c r="J150" s="1">
        <v>1</v>
      </c>
      <c r="K150" s="1" t="str" cm="1">
        <f t="array" ref="K150">_xlfn.IFS(a.nike.original.man[[#This Row],[Reviews]]&lt;=7, "Below Average", a.nike.original.man[[#This Row],[Reviews]]&gt;=8, "Average +")</f>
        <v>Below Average</v>
      </c>
      <c r="L150" s="11" t="s">
        <v>1540</v>
      </c>
      <c r="M150" s="1" t="s">
        <v>1470</v>
      </c>
    </row>
    <row r="151" spans="1:13" x14ac:dyDescent="0.2">
      <c r="A151" s="2" t="s">
        <v>419</v>
      </c>
      <c r="B151" s="2" t="s">
        <v>420</v>
      </c>
      <c r="C151" s="331">
        <v>0</v>
      </c>
      <c r="D151" s="331">
        <v>80</v>
      </c>
      <c r="E151" s="116">
        <v>0</v>
      </c>
      <c r="F151" s="2" t="s">
        <v>9</v>
      </c>
      <c r="G151" s="2" t="s">
        <v>421</v>
      </c>
      <c r="H151" s="2">
        <v>3.9</v>
      </c>
      <c r="I151" s="2" t="str" cm="1">
        <f t="array" ref="I151">_xlfn.IFS(a.nike.original.man[[#This Row],[Rating]]&lt;=2.9, "0 - 2.9",a.nike.original.man[[#This Row],[Rating]]&lt;=3.9,"3 - 3.9", a.nike.original.man[[#This Row],[Rating]]&lt;=5,"4 - 5")</f>
        <v>3 - 3.9</v>
      </c>
      <c r="J151" s="2">
        <v>17</v>
      </c>
      <c r="K151" s="2" t="str" cm="1">
        <f t="array" ref="K151">_xlfn.IFS(a.nike.original.man[[#This Row],[Reviews]]&lt;=7, "Below Average", a.nike.original.man[[#This Row],[Reviews]]&gt;=8, "Average +")</f>
        <v>Average +</v>
      </c>
      <c r="L151" s="12" t="s">
        <v>1540</v>
      </c>
      <c r="M151" s="2" t="s">
        <v>1470</v>
      </c>
    </row>
    <row r="152" spans="1:13" x14ac:dyDescent="0.2">
      <c r="A152" s="1" t="s">
        <v>20</v>
      </c>
      <c r="B152" s="1" t="s">
        <v>417</v>
      </c>
      <c r="C152" s="330">
        <v>0</v>
      </c>
      <c r="D152" s="330">
        <v>110</v>
      </c>
      <c r="E152" s="116">
        <v>0</v>
      </c>
      <c r="F152" s="1" t="s">
        <v>9</v>
      </c>
      <c r="G152" s="1" t="s">
        <v>418</v>
      </c>
      <c r="H152" s="1">
        <v>0</v>
      </c>
      <c r="I152" s="1" t="str" cm="1">
        <f t="array" ref="I152">_xlfn.IFS(a.nike.original.man[[#This Row],[Rating]]&lt;=2.9, "0 - 2.9",a.nike.original.man[[#This Row],[Rating]]&lt;=3.9,"3 - 3.9", a.nike.original.man[[#This Row],[Rating]]&lt;=5,"4 - 5")</f>
        <v>0 - 2.9</v>
      </c>
      <c r="J152" s="1">
        <v>0</v>
      </c>
      <c r="K152" s="1" t="str" cm="1">
        <f t="array" ref="K152">_xlfn.IFS(a.nike.original.man[[#This Row],[Reviews]]&lt;=7, "Below Average", a.nike.original.man[[#This Row],[Reviews]]&gt;=8, "Average +")</f>
        <v>Below Average</v>
      </c>
      <c r="L152" s="11" t="s">
        <v>1540</v>
      </c>
      <c r="M152" s="1" t="s">
        <v>1470</v>
      </c>
    </row>
    <row r="153" spans="1:13" x14ac:dyDescent="0.2">
      <c r="A153" s="2" t="s">
        <v>425</v>
      </c>
      <c r="B153" s="2" t="s">
        <v>426</v>
      </c>
      <c r="C153" s="331">
        <v>159.94999999999999</v>
      </c>
      <c r="D153" s="331">
        <v>112</v>
      </c>
      <c r="E153" s="116">
        <v>0.3</v>
      </c>
      <c r="F153" s="2" t="s">
        <v>9</v>
      </c>
      <c r="G153" s="2" t="s">
        <v>427</v>
      </c>
      <c r="H153" s="2">
        <v>5</v>
      </c>
      <c r="I153" s="2" t="str" cm="1">
        <f t="array" ref="I153">_xlfn.IFS(a.nike.original.man[[#This Row],[Rating]]&lt;=2.9, "0 - 2.9",a.nike.original.man[[#This Row],[Rating]]&lt;=3.9,"3 - 3.9", a.nike.original.man[[#This Row],[Rating]]&lt;=5,"4 - 5")</f>
        <v>4 - 5</v>
      </c>
      <c r="J153" s="2">
        <v>2</v>
      </c>
      <c r="K153" s="2" t="str" cm="1">
        <f t="array" ref="K153">_xlfn.IFS(a.nike.original.man[[#This Row],[Reviews]]&lt;=7, "Below Average", a.nike.original.man[[#This Row],[Reviews]]&gt;=8, "Average +")</f>
        <v>Below Average</v>
      </c>
      <c r="L153" s="12" t="s">
        <v>1541</v>
      </c>
      <c r="M153" s="2" t="s">
        <v>1470</v>
      </c>
    </row>
    <row r="154" spans="1:13" x14ac:dyDescent="0.2">
      <c r="A154" s="1" t="s">
        <v>428</v>
      </c>
      <c r="B154" s="1" t="s">
        <v>429</v>
      </c>
      <c r="C154" s="330">
        <v>0</v>
      </c>
      <c r="D154" s="330">
        <v>70</v>
      </c>
      <c r="E154" s="1">
        <v>0</v>
      </c>
      <c r="F154" s="1" t="s">
        <v>9</v>
      </c>
      <c r="G154" s="1" t="s">
        <v>430</v>
      </c>
      <c r="H154" s="1">
        <v>4.9000000000000004</v>
      </c>
      <c r="I154" s="1" t="str" cm="1">
        <f t="array" ref="I154">_xlfn.IFS(a.nike.original.man[[#This Row],[Rating]]&lt;=2.9, "0 - 2.9",a.nike.original.man[[#This Row],[Rating]]&lt;=3.9,"3 - 3.9", a.nike.original.man[[#This Row],[Rating]]&lt;=5,"4 - 5")</f>
        <v>4 - 5</v>
      </c>
      <c r="J154" s="1">
        <v>8</v>
      </c>
      <c r="K154" s="1" t="str" cm="1">
        <f t="array" ref="K154">_xlfn.IFS(a.nike.original.man[[#This Row],[Reviews]]&lt;=7, "Below Average", a.nike.original.man[[#This Row],[Reviews]]&gt;=8, "Average +")</f>
        <v>Average +</v>
      </c>
      <c r="L154" s="11" t="s">
        <v>1541</v>
      </c>
      <c r="M154" s="1" t="s">
        <v>1470</v>
      </c>
    </row>
    <row r="155" spans="1:13" x14ac:dyDescent="0.2">
      <c r="A155" s="1" t="s">
        <v>432</v>
      </c>
      <c r="B155" s="1" t="s">
        <v>433</v>
      </c>
      <c r="C155" s="330">
        <v>0</v>
      </c>
      <c r="D155" s="330">
        <v>16</v>
      </c>
      <c r="E155" s="116">
        <v>0</v>
      </c>
      <c r="F155" s="1" t="s">
        <v>9</v>
      </c>
      <c r="G155" s="1" t="s">
        <v>434</v>
      </c>
      <c r="H155" s="1">
        <v>4.5</v>
      </c>
      <c r="I155" s="1" t="str" cm="1">
        <f t="array" ref="I155">_xlfn.IFS(a.nike.original.man[[#This Row],[Rating]]&lt;=2.9, "0 - 2.9",a.nike.original.man[[#This Row],[Rating]]&lt;=3.9,"3 - 3.9", a.nike.original.man[[#This Row],[Rating]]&lt;=5,"4 - 5")</f>
        <v>4 - 5</v>
      </c>
      <c r="J155" s="1">
        <v>6</v>
      </c>
      <c r="K155" s="1" t="str" cm="1">
        <f t="array" ref="K155">_xlfn.IFS(a.nike.original.man[[#This Row],[Reviews]]&lt;=7, "Below Average", a.nike.original.man[[#This Row],[Reviews]]&gt;=8, "Average +")</f>
        <v>Below Average</v>
      </c>
      <c r="L155" s="11" t="s">
        <v>1542</v>
      </c>
      <c r="M155" s="1" t="s">
        <v>1470</v>
      </c>
    </row>
    <row r="156" spans="1:13" x14ac:dyDescent="0.2">
      <c r="A156" s="2" t="s">
        <v>31</v>
      </c>
      <c r="B156" s="2" t="s">
        <v>431</v>
      </c>
      <c r="C156" s="331">
        <v>0</v>
      </c>
      <c r="D156" s="331">
        <v>160</v>
      </c>
      <c r="E156" s="116">
        <v>0</v>
      </c>
      <c r="F156" s="2" t="s">
        <v>9</v>
      </c>
      <c r="G156" s="2" t="s">
        <v>33</v>
      </c>
      <c r="H156" s="2">
        <v>3.1</v>
      </c>
      <c r="I156" s="2" t="str" cm="1">
        <f t="array" ref="I156">_xlfn.IFS(a.nike.original.man[[#This Row],[Rating]]&lt;=2.9, "0 - 2.9",a.nike.original.man[[#This Row],[Rating]]&lt;=3.9,"3 - 3.9", a.nike.original.man[[#This Row],[Rating]]&lt;=5,"4 - 5")</f>
        <v>3 - 3.9</v>
      </c>
      <c r="J156" s="2">
        <v>54</v>
      </c>
      <c r="K156" s="2" t="str" cm="1">
        <f t="array" ref="K156">_xlfn.IFS(a.nike.original.man[[#This Row],[Reviews]]&lt;=7, "Below Average", a.nike.original.man[[#This Row],[Reviews]]&gt;=8, "Average +")</f>
        <v>Average +</v>
      </c>
      <c r="L156" s="12" t="s">
        <v>1542</v>
      </c>
      <c r="M156" s="2" t="s">
        <v>1470</v>
      </c>
    </row>
    <row r="157" spans="1:13" x14ac:dyDescent="0.2">
      <c r="A157" s="2" t="s">
        <v>435</v>
      </c>
      <c r="B157" s="2" t="s">
        <v>436</v>
      </c>
      <c r="C157" s="331">
        <v>0</v>
      </c>
      <c r="D157" s="331">
        <v>140</v>
      </c>
      <c r="E157" s="116">
        <v>0</v>
      </c>
      <c r="F157" s="2" t="s">
        <v>9</v>
      </c>
      <c r="G157" s="2" t="s">
        <v>1465</v>
      </c>
      <c r="H157" s="2">
        <v>4.5999999999999996</v>
      </c>
      <c r="I157" s="2" t="str" cm="1">
        <f t="array" ref="I157">_xlfn.IFS(a.nike.original.man[[#This Row],[Rating]]&lt;=2.9, "0 - 2.9",a.nike.original.man[[#This Row],[Rating]]&lt;=3.9,"3 - 3.9", a.nike.original.man[[#This Row],[Rating]]&lt;=5,"4 - 5")</f>
        <v>4 - 5</v>
      </c>
      <c r="J157" s="2">
        <v>68</v>
      </c>
      <c r="K157" s="2" t="str" cm="1">
        <f t="array" ref="K157">_xlfn.IFS(a.nike.original.man[[#This Row],[Reviews]]&lt;=7, "Below Average", a.nike.original.man[[#This Row],[Reviews]]&gt;=8, "Average +")</f>
        <v>Average +</v>
      </c>
      <c r="L157" s="12" t="s">
        <v>1543</v>
      </c>
      <c r="M157" s="2" t="s">
        <v>1470</v>
      </c>
    </row>
    <row r="158" spans="1:13" x14ac:dyDescent="0.2">
      <c r="A158" s="1" t="s">
        <v>437</v>
      </c>
      <c r="B158" s="1" t="s">
        <v>438</v>
      </c>
      <c r="C158" s="330">
        <v>189.95</v>
      </c>
      <c r="D158" s="330">
        <v>152</v>
      </c>
      <c r="E158" s="116">
        <v>0.2</v>
      </c>
      <c r="F158" s="1" t="s">
        <v>9</v>
      </c>
      <c r="G158" s="1" t="s">
        <v>439</v>
      </c>
      <c r="H158" s="1">
        <v>4.0999999999999996</v>
      </c>
      <c r="I158" s="1" t="str" cm="1">
        <f t="array" ref="I158">_xlfn.IFS(a.nike.original.man[[#This Row],[Rating]]&lt;=2.9, "0 - 2.9",a.nike.original.man[[#This Row],[Rating]]&lt;=3.9,"3 - 3.9", a.nike.original.man[[#This Row],[Rating]]&lt;=5,"4 - 5")</f>
        <v>4 - 5</v>
      </c>
      <c r="J158" s="1">
        <v>17</v>
      </c>
      <c r="K158" s="1" t="str" cm="1">
        <f t="array" ref="K158">_xlfn.IFS(a.nike.original.man[[#This Row],[Reviews]]&lt;=7, "Below Average", a.nike.original.man[[#This Row],[Reviews]]&gt;=8, "Average +")</f>
        <v>Average +</v>
      </c>
      <c r="L158" s="11" t="s">
        <v>1543</v>
      </c>
      <c r="M158" s="1" t="s">
        <v>1470</v>
      </c>
    </row>
    <row r="159" spans="1:13" x14ac:dyDescent="0.2">
      <c r="A159" s="2" t="s">
        <v>440</v>
      </c>
      <c r="B159" s="2" t="s">
        <v>441</v>
      </c>
      <c r="C159" s="331">
        <v>119.95</v>
      </c>
      <c r="D159" s="331">
        <v>96</v>
      </c>
      <c r="E159" s="116">
        <v>0.2</v>
      </c>
      <c r="F159" s="2" t="s">
        <v>9</v>
      </c>
      <c r="G159" s="2" t="s">
        <v>442</v>
      </c>
      <c r="H159" s="2">
        <v>4.4000000000000004</v>
      </c>
      <c r="I159" s="2" t="str" cm="1">
        <f t="array" ref="I159">_xlfn.IFS(a.nike.original.man[[#This Row],[Rating]]&lt;=2.9, "0 - 2.9",a.nike.original.man[[#This Row],[Rating]]&lt;=3.9,"3 - 3.9", a.nike.original.man[[#This Row],[Rating]]&lt;=5,"4 - 5")</f>
        <v>4 - 5</v>
      </c>
      <c r="J159" s="2">
        <v>27</v>
      </c>
      <c r="K159" s="2" t="str" cm="1">
        <f t="array" ref="K159">_xlfn.IFS(a.nike.original.man[[#This Row],[Reviews]]&lt;=7, "Below Average", a.nike.original.man[[#This Row],[Reviews]]&gt;=8, "Average +")</f>
        <v>Average +</v>
      </c>
      <c r="L159" s="12" t="s">
        <v>1544</v>
      </c>
      <c r="M159" s="2" t="s">
        <v>1470</v>
      </c>
    </row>
    <row r="160" spans="1:13" x14ac:dyDescent="0.2">
      <c r="A160" s="1" t="s">
        <v>443</v>
      </c>
      <c r="B160" s="1" t="s">
        <v>444</v>
      </c>
      <c r="C160" s="330">
        <v>0</v>
      </c>
      <c r="D160" s="330">
        <v>130</v>
      </c>
      <c r="E160" s="116">
        <v>0</v>
      </c>
      <c r="F160" s="1" t="s">
        <v>9</v>
      </c>
      <c r="G160" s="1" t="s">
        <v>445</v>
      </c>
      <c r="H160" s="1">
        <v>0</v>
      </c>
      <c r="I160" s="1" t="str" cm="1">
        <f t="array" ref="I160">_xlfn.IFS(a.nike.original.man[[#This Row],[Rating]]&lt;=2.9, "0 - 2.9",a.nike.original.man[[#This Row],[Rating]]&lt;=3.9,"3 - 3.9", a.nike.original.man[[#This Row],[Rating]]&lt;=5,"4 - 5")</f>
        <v>0 - 2.9</v>
      </c>
      <c r="J160" s="1">
        <v>0</v>
      </c>
      <c r="K160" s="1" t="str" cm="1">
        <f t="array" ref="K160">_xlfn.IFS(a.nike.original.man[[#This Row],[Reviews]]&lt;=7, "Below Average", a.nike.original.man[[#This Row],[Reviews]]&gt;=8, "Average +")</f>
        <v>Below Average</v>
      </c>
      <c r="L160" s="11" t="s">
        <v>1544</v>
      </c>
      <c r="M160" s="1" t="s">
        <v>1470</v>
      </c>
    </row>
    <row r="161" spans="1:13" x14ac:dyDescent="0.2">
      <c r="A161" s="2" t="s">
        <v>446</v>
      </c>
      <c r="B161" s="2" t="s">
        <v>447</v>
      </c>
      <c r="C161" s="331">
        <v>159.94999999999999</v>
      </c>
      <c r="D161" s="331">
        <v>120</v>
      </c>
      <c r="E161" s="116">
        <v>0.25</v>
      </c>
      <c r="F161" s="2" t="s">
        <v>9</v>
      </c>
      <c r="G161" s="2" t="s">
        <v>448</v>
      </c>
      <c r="H161" s="2">
        <v>0</v>
      </c>
      <c r="I161" s="2" t="str" cm="1">
        <f t="array" ref="I161">_xlfn.IFS(a.nike.original.man[[#This Row],[Rating]]&lt;=2.9, "0 - 2.9",a.nike.original.man[[#This Row],[Rating]]&lt;=3.9,"3 - 3.9", a.nike.original.man[[#This Row],[Rating]]&lt;=5,"4 - 5")</f>
        <v>0 - 2.9</v>
      </c>
      <c r="J161" s="2">
        <v>0</v>
      </c>
      <c r="K161" s="2" t="str" cm="1">
        <f t="array" ref="K161">_xlfn.IFS(a.nike.original.man[[#This Row],[Reviews]]&lt;=7, "Below Average", a.nike.original.man[[#This Row],[Reviews]]&gt;=8, "Average +")</f>
        <v>Below Average</v>
      </c>
      <c r="L161" s="12" t="s">
        <v>1545</v>
      </c>
      <c r="M161" s="2" t="s">
        <v>1470</v>
      </c>
    </row>
    <row r="162" spans="1:13" x14ac:dyDescent="0.2">
      <c r="A162" s="1" t="s">
        <v>449</v>
      </c>
      <c r="B162" s="1" t="s">
        <v>450</v>
      </c>
      <c r="C162" s="330">
        <v>0</v>
      </c>
      <c r="D162" s="330">
        <v>80</v>
      </c>
      <c r="E162" s="116">
        <v>0</v>
      </c>
      <c r="F162" s="1" t="s">
        <v>9</v>
      </c>
      <c r="G162" s="1" t="s">
        <v>451</v>
      </c>
      <c r="H162" s="1">
        <v>0</v>
      </c>
      <c r="I162" s="1" t="str" cm="1">
        <f t="array" ref="I162">_xlfn.IFS(a.nike.original.man[[#This Row],[Rating]]&lt;=2.9, "0 - 2.9",a.nike.original.man[[#This Row],[Rating]]&lt;=3.9,"3 - 3.9", a.nike.original.man[[#This Row],[Rating]]&lt;=5,"4 - 5")</f>
        <v>0 - 2.9</v>
      </c>
      <c r="J162" s="1">
        <v>0</v>
      </c>
      <c r="K162" s="1" t="str" cm="1">
        <f t="array" ref="K162">_xlfn.IFS(a.nike.original.man[[#This Row],[Reviews]]&lt;=7, "Below Average", a.nike.original.man[[#This Row],[Reviews]]&gt;=8, "Average +")</f>
        <v>Below Average</v>
      </c>
      <c r="L162" s="11" t="s">
        <v>1545</v>
      </c>
      <c r="M162" s="1" t="s">
        <v>1470</v>
      </c>
    </row>
    <row r="163" spans="1:13" x14ac:dyDescent="0.2">
      <c r="A163" s="1" t="s">
        <v>454</v>
      </c>
      <c r="B163" s="1" t="s">
        <v>455</v>
      </c>
      <c r="C163" s="330">
        <v>169.95</v>
      </c>
      <c r="D163" s="330">
        <v>136</v>
      </c>
      <c r="E163" s="116">
        <v>0.2</v>
      </c>
      <c r="F163" s="1" t="s">
        <v>9</v>
      </c>
      <c r="G163" s="1" t="s">
        <v>456</v>
      </c>
      <c r="H163" s="1">
        <v>4.4000000000000004</v>
      </c>
      <c r="I163" s="1" t="str" cm="1">
        <f t="array" ref="I163">_xlfn.IFS(a.nike.original.man[[#This Row],[Rating]]&lt;=2.9, "0 - 2.9",a.nike.original.man[[#This Row],[Rating]]&lt;=3.9,"3 - 3.9", a.nike.original.man[[#This Row],[Rating]]&lt;=5,"4 - 5")</f>
        <v>4 - 5</v>
      </c>
      <c r="J163" s="1">
        <v>7</v>
      </c>
      <c r="K163" s="1" t="str" cm="1">
        <f t="array" ref="K163">_xlfn.IFS(a.nike.original.man[[#This Row],[Reviews]]&lt;=7, "Below Average", a.nike.original.man[[#This Row],[Reviews]]&gt;=8, "Average +")</f>
        <v>Below Average</v>
      </c>
      <c r="L163" s="11" t="s">
        <v>1546</v>
      </c>
      <c r="M163" s="1" t="s">
        <v>1470</v>
      </c>
    </row>
    <row r="164" spans="1:13" x14ac:dyDescent="0.2">
      <c r="A164" s="2" t="s">
        <v>72</v>
      </c>
      <c r="B164" s="2" t="s">
        <v>452</v>
      </c>
      <c r="C164" s="331">
        <v>0</v>
      </c>
      <c r="D164" s="331">
        <v>110</v>
      </c>
      <c r="E164" s="116">
        <v>0</v>
      </c>
      <c r="F164" s="2" t="s">
        <v>9</v>
      </c>
      <c r="G164" s="2" t="s">
        <v>453</v>
      </c>
      <c r="H164" s="2">
        <v>3.7</v>
      </c>
      <c r="I164" s="2" t="str" cm="1">
        <f t="array" ref="I164">_xlfn.IFS(a.nike.original.man[[#This Row],[Rating]]&lt;=2.9, "0 - 2.9",a.nike.original.man[[#This Row],[Rating]]&lt;=3.9,"3 - 3.9", a.nike.original.man[[#This Row],[Rating]]&lt;=5,"4 - 5")</f>
        <v>3 - 3.9</v>
      </c>
      <c r="J164" s="2">
        <v>31</v>
      </c>
      <c r="K164" s="2" t="str" cm="1">
        <f t="array" ref="K164">_xlfn.IFS(a.nike.original.man[[#This Row],[Reviews]]&lt;=7, "Below Average", a.nike.original.man[[#This Row],[Reviews]]&gt;=8, "Average +")</f>
        <v>Average +</v>
      </c>
      <c r="L164" s="12" t="s">
        <v>1546</v>
      </c>
      <c r="M164" s="2" t="s">
        <v>1470</v>
      </c>
    </row>
    <row r="165" spans="1:13" x14ac:dyDescent="0.2">
      <c r="A165" s="2" t="s">
        <v>83</v>
      </c>
      <c r="B165" s="2" t="s">
        <v>457</v>
      </c>
      <c r="C165" s="331">
        <v>0</v>
      </c>
      <c r="D165" s="331">
        <v>190</v>
      </c>
      <c r="E165" s="116">
        <v>0</v>
      </c>
      <c r="F165" s="2" t="s">
        <v>9</v>
      </c>
      <c r="G165" s="2" t="s">
        <v>458</v>
      </c>
      <c r="H165" s="2">
        <v>0</v>
      </c>
      <c r="I165" s="2" t="str" cm="1">
        <f t="array" ref="I165">_xlfn.IFS(a.nike.original.man[[#This Row],[Rating]]&lt;=2.9, "0 - 2.9",a.nike.original.man[[#This Row],[Rating]]&lt;=3.9,"3 - 3.9", a.nike.original.man[[#This Row],[Rating]]&lt;=5,"4 - 5")</f>
        <v>0 - 2.9</v>
      </c>
      <c r="J165" s="2">
        <v>0</v>
      </c>
      <c r="K165" s="2" t="str" cm="1">
        <f t="array" ref="K165">_xlfn.IFS(a.nike.original.man[[#This Row],[Reviews]]&lt;=7, "Below Average", a.nike.original.man[[#This Row],[Reviews]]&gt;=8, "Average +")</f>
        <v>Below Average</v>
      </c>
      <c r="L165" s="12" t="s">
        <v>1546</v>
      </c>
      <c r="M165" s="2" t="s">
        <v>1470</v>
      </c>
    </row>
    <row r="166" spans="1:13" x14ac:dyDescent="0.2">
      <c r="A166" s="1" t="s">
        <v>468</v>
      </c>
      <c r="B166" s="1" t="s">
        <v>469</v>
      </c>
      <c r="C166" s="330">
        <v>89.95</v>
      </c>
      <c r="D166" s="330">
        <v>72</v>
      </c>
      <c r="E166" s="116">
        <v>0.2</v>
      </c>
      <c r="F166" s="1" t="s">
        <v>9</v>
      </c>
      <c r="G166" s="1" t="s">
        <v>470</v>
      </c>
      <c r="H166" s="1">
        <v>4.4000000000000004</v>
      </c>
      <c r="I166" s="1" t="str" cm="1">
        <f t="array" ref="I166">_xlfn.IFS(a.nike.original.man[[#This Row],[Rating]]&lt;=2.9, "0 - 2.9",a.nike.original.man[[#This Row],[Rating]]&lt;=3.9,"3 - 3.9", a.nike.original.man[[#This Row],[Rating]]&lt;=5,"4 - 5")</f>
        <v>4 - 5</v>
      </c>
      <c r="J166" s="1">
        <v>7</v>
      </c>
      <c r="K166" s="1" t="str" cm="1">
        <f t="array" ref="K166">_xlfn.IFS(a.nike.original.man[[#This Row],[Reviews]]&lt;=7, "Below Average", a.nike.original.man[[#This Row],[Reviews]]&gt;=8, "Average +")</f>
        <v>Below Average</v>
      </c>
      <c r="L166" s="11" t="s">
        <v>1547</v>
      </c>
      <c r="M166" s="1" t="s">
        <v>1470</v>
      </c>
    </row>
    <row r="167" spans="1:13" x14ac:dyDescent="0.2">
      <c r="A167" s="2" t="s">
        <v>462</v>
      </c>
      <c r="B167" s="2" t="s">
        <v>463</v>
      </c>
      <c r="C167" s="331">
        <v>0</v>
      </c>
      <c r="D167" s="331">
        <v>90</v>
      </c>
      <c r="E167" s="116">
        <v>0</v>
      </c>
      <c r="F167" s="2" t="s">
        <v>9</v>
      </c>
      <c r="G167" s="2" t="s">
        <v>464</v>
      </c>
      <c r="H167" s="2">
        <v>4.8</v>
      </c>
      <c r="I167" s="2" t="str" cm="1">
        <f t="array" ref="I167">_xlfn.IFS(a.nike.original.man[[#This Row],[Rating]]&lt;=2.9, "0 - 2.9",a.nike.original.man[[#This Row],[Rating]]&lt;=3.9,"3 - 3.9", a.nike.original.man[[#This Row],[Rating]]&lt;=5,"4 - 5")</f>
        <v>4 - 5</v>
      </c>
      <c r="J167" s="2">
        <v>4</v>
      </c>
      <c r="K167" s="2" t="str" cm="1">
        <f t="array" ref="K167">_xlfn.IFS(a.nike.original.man[[#This Row],[Reviews]]&lt;=7, "Below Average", a.nike.original.man[[#This Row],[Reviews]]&gt;=8, "Average +")</f>
        <v>Below Average</v>
      </c>
      <c r="L167" s="12" t="s">
        <v>1547</v>
      </c>
      <c r="M167" s="2" t="s">
        <v>1470</v>
      </c>
    </row>
    <row r="168" spans="1:13" x14ac:dyDescent="0.2">
      <c r="A168" s="1" t="s">
        <v>459</v>
      </c>
      <c r="B168" s="1" t="s">
        <v>460</v>
      </c>
      <c r="C168" s="330">
        <v>0</v>
      </c>
      <c r="D168" s="330">
        <v>65</v>
      </c>
      <c r="E168" s="116">
        <v>0</v>
      </c>
      <c r="F168" s="1" t="s">
        <v>9</v>
      </c>
      <c r="G168" s="1" t="s">
        <v>461</v>
      </c>
      <c r="H168" s="1">
        <v>2</v>
      </c>
      <c r="I168" s="1" t="str" cm="1">
        <f t="array" ref="I168">_xlfn.IFS(a.nike.original.man[[#This Row],[Rating]]&lt;=2.9, "0 - 2.9",a.nike.original.man[[#This Row],[Rating]]&lt;=3.9,"3 - 3.9", a.nike.original.man[[#This Row],[Rating]]&lt;=5,"4 - 5")</f>
        <v>0 - 2.9</v>
      </c>
      <c r="J168" s="1">
        <v>2</v>
      </c>
      <c r="K168" s="1" t="str" cm="1">
        <f t="array" ref="K168">_xlfn.IFS(a.nike.original.man[[#This Row],[Reviews]]&lt;=7, "Below Average", a.nike.original.man[[#This Row],[Reviews]]&gt;=8, "Average +")</f>
        <v>Below Average</v>
      </c>
      <c r="L168" s="11" t="s">
        <v>1547</v>
      </c>
      <c r="M168" s="1" t="s">
        <v>1470</v>
      </c>
    </row>
    <row r="169" spans="1:13" x14ac:dyDescent="0.2">
      <c r="A169" s="2" t="s">
        <v>162</v>
      </c>
      <c r="B169" s="2" t="s">
        <v>163</v>
      </c>
      <c r="C169" s="331">
        <v>0</v>
      </c>
      <c r="D169" s="331">
        <v>120</v>
      </c>
      <c r="E169" s="116">
        <v>0</v>
      </c>
      <c r="F169" s="2" t="s">
        <v>9</v>
      </c>
      <c r="G169" s="2" t="s">
        <v>164</v>
      </c>
      <c r="H169" s="2">
        <v>5</v>
      </c>
      <c r="I169" s="2" t="str" cm="1">
        <f t="array" ref="I169">_xlfn.IFS(a.nike.original.man[[#This Row],[Rating]]&lt;=2.9, "0 - 2.9",a.nike.original.man[[#This Row],[Rating]]&lt;=3.9,"3 - 3.9", a.nike.original.man[[#This Row],[Rating]]&lt;=5,"4 - 5")</f>
        <v>4 - 5</v>
      </c>
      <c r="J169" s="2">
        <v>2</v>
      </c>
      <c r="K169" s="2" t="str" cm="1">
        <f t="array" ref="K169">_xlfn.IFS(a.nike.original.man[[#This Row],[Reviews]]&lt;=7, "Below Average", a.nike.original.man[[#This Row],[Reviews]]&gt;=8, "Average +")</f>
        <v>Below Average</v>
      </c>
      <c r="L169" s="12" t="s">
        <v>1547</v>
      </c>
      <c r="M169" s="2" t="s">
        <v>1470</v>
      </c>
    </row>
    <row r="170" spans="1:13" x14ac:dyDescent="0.2">
      <c r="A170" s="1" t="s">
        <v>465</v>
      </c>
      <c r="B170" s="1" t="s">
        <v>466</v>
      </c>
      <c r="C170" s="330">
        <v>0</v>
      </c>
      <c r="D170" s="330">
        <v>100</v>
      </c>
      <c r="E170" s="116">
        <v>0</v>
      </c>
      <c r="F170" s="1" t="s">
        <v>9</v>
      </c>
      <c r="G170" s="1" t="s">
        <v>467</v>
      </c>
      <c r="H170" s="1">
        <v>4</v>
      </c>
      <c r="I170" s="1" t="str" cm="1">
        <f t="array" ref="I170">_xlfn.IFS(a.nike.original.man[[#This Row],[Rating]]&lt;=2.9, "0 - 2.9",a.nike.original.man[[#This Row],[Rating]]&lt;=3.9,"3 - 3.9", a.nike.original.man[[#This Row],[Rating]]&lt;=5,"4 - 5")</f>
        <v>4 - 5</v>
      </c>
      <c r="J170" s="1">
        <v>1</v>
      </c>
      <c r="K170" s="1" t="str" cm="1">
        <f t="array" ref="K170">_xlfn.IFS(a.nike.original.man[[#This Row],[Reviews]]&lt;=7, "Below Average", a.nike.original.man[[#This Row],[Reviews]]&gt;=8, "Average +")</f>
        <v>Below Average</v>
      </c>
      <c r="L170" s="11" t="s">
        <v>1547</v>
      </c>
      <c r="M170" s="1" t="s">
        <v>1470</v>
      </c>
    </row>
    <row r="171" spans="1:13" x14ac:dyDescent="0.2">
      <c r="A171" s="2" t="s">
        <v>471</v>
      </c>
      <c r="B171" s="2" t="s">
        <v>472</v>
      </c>
      <c r="C171" s="331">
        <v>0</v>
      </c>
      <c r="D171" s="331">
        <v>130</v>
      </c>
      <c r="E171" s="116">
        <v>0</v>
      </c>
      <c r="F171" s="2" t="s">
        <v>9</v>
      </c>
      <c r="G171" s="2" t="s">
        <v>473</v>
      </c>
      <c r="H171" s="2">
        <v>5</v>
      </c>
      <c r="I171" s="2" t="str" cm="1">
        <f t="array" ref="I171">_xlfn.IFS(a.nike.original.man[[#This Row],[Rating]]&lt;=2.9, "0 - 2.9",a.nike.original.man[[#This Row],[Rating]]&lt;=3.9,"3 - 3.9", a.nike.original.man[[#This Row],[Rating]]&lt;=5,"4 - 5")</f>
        <v>4 - 5</v>
      </c>
      <c r="J171" s="2">
        <v>1</v>
      </c>
      <c r="K171" s="2" t="str" cm="1">
        <f t="array" ref="K171">_xlfn.IFS(a.nike.original.man[[#This Row],[Reviews]]&lt;=7, "Below Average", a.nike.original.man[[#This Row],[Reviews]]&gt;=8, "Average +")</f>
        <v>Below Average</v>
      </c>
      <c r="L171" s="12" t="s">
        <v>1547</v>
      </c>
      <c r="M171" s="2" t="s">
        <v>1470</v>
      </c>
    </row>
    <row r="172" spans="1:13" x14ac:dyDescent="0.2">
      <c r="A172" s="2" t="s">
        <v>386</v>
      </c>
      <c r="B172" s="2" t="s">
        <v>477</v>
      </c>
      <c r="C172" s="331">
        <v>119.95</v>
      </c>
      <c r="D172" s="331">
        <v>72</v>
      </c>
      <c r="E172" s="116">
        <v>0.4</v>
      </c>
      <c r="F172" s="2" t="s">
        <v>9</v>
      </c>
      <c r="G172" s="2" t="s">
        <v>478</v>
      </c>
      <c r="H172" s="2">
        <v>3.7</v>
      </c>
      <c r="I172" s="2" t="str" cm="1">
        <f t="array" ref="I172">_xlfn.IFS(a.nike.original.man[[#This Row],[Rating]]&lt;=2.9, "0 - 2.9",a.nike.original.man[[#This Row],[Rating]]&lt;=3.9,"3 - 3.9", a.nike.original.man[[#This Row],[Rating]]&lt;=5,"4 - 5")</f>
        <v>3 - 3.9</v>
      </c>
      <c r="J172" s="2">
        <v>31</v>
      </c>
      <c r="K172" s="2" t="str" cm="1">
        <f t="array" ref="K172">_xlfn.IFS(a.nike.original.man[[#This Row],[Reviews]]&lt;=7, "Below Average", a.nike.original.man[[#This Row],[Reviews]]&gt;=8, "Average +")</f>
        <v>Average +</v>
      </c>
      <c r="L172" s="12" t="s">
        <v>1548</v>
      </c>
      <c r="M172" s="2" t="s">
        <v>1470</v>
      </c>
    </row>
    <row r="173" spans="1:13" x14ac:dyDescent="0.2">
      <c r="A173" s="1" t="s">
        <v>479</v>
      </c>
      <c r="B173" s="1" t="s">
        <v>480</v>
      </c>
      <c r="C173" s="330">
        <v>0</v>
      </c>
      <c r="D173" s="330">
        <v>110</v>
      </c>
      <c r="E173" s="116">
        <v>0</v>
      </c>
      <c r="F173" s="1" t="s">
        <v>9</v>
      </c>
      <c r="G173" s="1" t="s">
        <v>481</v>
      </c>
      <c r="H173" s="1">
        <v>4.5</v>
      </c>
      <c r="I173" s="1" t="str" cm="1">
        <f t="array" ref="I173">_xlfn.IFS(a.nike.original.man[[#This Row],[Rating]]&lt;=2.9, "0 - 2.9",a.nike.original.man[[#This Row],[Rating]]&lt;=3.9,"3 - 3.9", a.nike.original.man[[#This Row],[Rating]]&lt;=5,"4 - 5")</f>
        <v>4 - 5</v>
      </c>
      <c r="J173" s="1">
        <v>2</v>
      </c>
      <c r="K173" s="1" t="str" cm="1">
        <f t="array" ref="K173">_xlfn.IFS(a.nike.original.man[[#This Row],[Reviews]]&lt;=7, "Below Average", a.nike.original.man[[#This Row],[Reviews]]&gt;=8, "Average +")</f>
        <v>Below Average</v>
      </c>
      <c r="L173" s="11" t="s">
        <v>1548</v>
      </c>
      <c r="M173" s="1" t="s">
        <v>1470</v>
      </c>
    </row>
    <row r="174" spans="1:13" x14ac:dyDescent="0.2">
      <c r="A174" s="1" t="s">
        <v>474</v>
      </c>
      <c r="B174" s="1" t="s">
        <v>475</v>
      </c>
      <c r="C174" s="330">
        <v>159.94999999999999</v>
      </c>
      <c r="D174" s="330">
        <v>128</v>
      </c>
      <c r="E174" s="116">
        <v>0.2</v>
      </c>
      <c r="F174" s="1" t="s">
        <v>9</v>
      </c>
      <c r="G174" s="1" t="s">
        <v>476</v>
      </c>
      <c r="H174" s="1">
        <v>3.8</v>
      </c>
      <c r="I174" s="1" t="str" cm="1">
        <f t="array" ref="I174">_xlfn.IFS(a.nike.original.man[[#This Row],[Rating]]&lt;=2.9, "0 - 2.9",a.nike.original.man[[#This Row],[Rating]]&lt;=3.9,"3 - 3.9", a.nike.original.man[[#This Row],[Rating]]&lt;=5,"4 - 5")</f>
        <v>3 - 3.9</v>
      </c>
      <c r="J174" s="1">
        <v>24</v>
      </c>
      <c r="K174" s="1" t="str" cm="1">
        <f t="array" ref="K174">_xlfn.IFS(a.nike.original.man[[#This Row],[Reviews]]&lt;=7, "Below Average", a.nike.original.man[[#This Row],[Reviews]]&gt;=8, "Average +")</f>
        <v>Average +</v>
      </c>
      <c r="L174" s="11" t="s">
        <v>1548</v>
      </c>
      <c r="M174" s="1" t="s">
        <v>1470</v>
      </c>
    </row>
    <row r="175" spans="1:13" x14ac:dyDescent="0.2">
      <c r="A175" s="2" t="s">
        <v>494</v>
      </c>
      <c r="B175" s="2" t="s">
        <v>495</v>
      </c>
      <c r="C175" s="331">
        <v>0</v>
      </c>
      <c r="D175" s="331">
        <v>120</v>
      </c>
      <c r="E175" s="116">
        <v>0</v>
      </c>
      <c r="F175" s="2" t="s">
        <v>9</v>
      </c>
      <c r="G175" s="2" t="s">
        <v>496</v>
      </c>
      <c r="H175" s="2">
        <v>4.2</v>
      </c>
      <c r="I175" s="2" t="str" cm="1">
        <f t="array" ref="I175">_xlfn.IFS(a.nike.original.man[[#This Row],[Rating]]&lt;=2.9, "0 - 2.9",a.nike.original.man[[#This Row],[Rating]]&lt;=3.9,"3 - 3.9", a.nike.original.man[[#This Row],[Rating]]&lt;=5,"4 - 5")</f>
        <v>4 - 5</v>
      </c>
      <c r="J175" s="2">
        <v>23</v>
      </c>
      <c r="K175" s="2" t="str" cm="1">
        <f t="array" ref="K175">_xlfn.IFS(a.nike.original.man[[#This Row],[Reviews]]&lt;=7, "Below Average", a.nike.original.man[[#This Row],[Reviews]]&gt;=8, "Average +")</f>
        <v>Average +</v>
      </c>
      <c r="L175" s="12" t="s">
        <v>1549</v>
      </c>
      <c r="M175" s="2" t="s">
        <v>1470</v>
      </c>
    </row>
    <row r="176" spans="1:13" x14ac:dyDescent="0.2">
      <c r="A176" s="2" t="s">
        <v>482</v>
      </c>
      <c r="B176" s="2" t="s">
        <v>483</v>
      </c>
      <c r="C176" s="331">
        <v>0</v>
      </c>
      <c r="D176" s="331">
        <v>135</v>
      </c>
      <c r="E176" s="116">
        <v>0</v>
      </c>
      <c r="F176" s="2" t="s">
        <v>9</v>
      </c>
      <c r="G176" s="2" t="s">
        <v>484</v>
      </c>
      <c r="H176" s="2">
        <v>3.6</v>
      </c>
      <c r="I176" s="2" t="str" cm="1">
        <f t="array" ref="I176">_xlfn.IFS(a.nike.original.man[[#This Row],[Rating]]&lt;=2.9, "0 - 2.9",a.nike.original.man[[#This Row],[Rating]]&lt;=3.9,"3 - 3.9", a.nike.original.man[[#This Row],[Rating]]&lt;=5,"4 - 5")</f>
        <v>3 - 3.9</v>
      </c>
      <c r="J176" s="2">
        <v>20</v>
      </c>
      <c r="K176" s="2" t="str" cm="1">
        <f t="array" ref="K176">_xlfn.IFS(a.nike.original.man[[#This Row],[Reviews]]&lt;=7, "Below Average", a.nike.original.man[[#This Row],[Reviews]]&gt;=8, "Average +")</f>
        <v>Average +</v>
      </c>
      <c r="L176" s="12" t="s">
        <v>1549</v>
      </c>
      <c r="M176" s="2" t="s">
        <v>1470</v>
      </c>
    </row>
    <row r="177" spans="1:13" x14ac:dyDescent="0.2">
      <c r="A177" s="1" t="s">
        <v>491</v>
      </c>
      <c r="B177" s="1" t="s">
        <v>492</v>
      </c>
      <c r="C177" s="330">
        <v>0</v>
      </c>
      <c r="D177" s="330">
        <v>150</v>
      </c>
      <c r="E177" s="116">
        <v>0</v>
      </c>
      <c r="F177" s="1" t="s">
        <v>9</v>
      </c>
      <c r="G177" s="1" t="s">
        <v>493</v>
      </c>
      <c r="H177" s="1">
        <v>4.5999999999999996</v>
      </c>
      <c r="I177" s="1" t="str" cm="1">
        <f t="array" ref="I177">_xlfn.IFS(a.nike.original.man[[#This Row],[Rating]]&lt;=2.9, "0 - 2.9",a.nike.original.man[[#This Row],[Rating]]&lt;=3.9,"3 - 3.9", a.nike.original.man[[#This Row],[Rating]]&lt;=5,"4 - 5")</f>
        <v>4 - 5</v>
      </c>
      <c r="J177" s="1">
        <v>15</v>
      </c>
      <c r="K177" s="1" t="str" cm="1">
        <f t="array" ref="K177">_xlfn.IFS(a.nike.original.man[[#This Row],[Reviews]]&lt;=7, "Below Average", a.nike.original.man[[#This Row],[Reviews]]&gt;=8, "Average +")</f>
        <v>Average +</v>
      </c>
      <c r="L177" s="11" t="s">
        <v>1549</v>
      </c>
      <c r="M177" s="1" t="s">
        <v>1470</v>
      </c>
    </row>
    <row r="178" spans="1:13" x14ac:dyDescent="0.2">
      <c r="A178" s="2" t="s">
        <v>488</v>
      </c>
      <c r="B178" s="2" t="s">
        <v>489</v>
      </c>
      <c r="C178" s="331">
        <v>0</v>
      </c>
      <c r="D178" s="331">
        <v>80</v>
      </c>
      <c r="E178" s="116">
        <v>0</v>
      </c>
      <c r="F178" s="2" t="s">
        <v>9</v>
      </c>
      <c r="G178" s="2" t="s">
        <v>490</v>
      </c>
      <c r="H178" s="2">
        <v>3.6</v>
      </c>
      <c r="I178" s="2" t="str" cm="1">
        <f t="array" ref="I178">_xlfn.IFS(a.nike.original.man[[#This Row],[Rating]]&lt;=2.9, "0 - 2.9",a.nike.original.man[[#This Row],[Rating]]&lt;=3.9,"3 - 3.9", a.nike.original.man[[#This Row],[Rating]]&lt;=5,"4 - 5")</f>
        <v>3 - 3.9</v>
      </c>
      <c r="J178" s="2">
        <v>14</v>
      </c>
      <c r="K178" s="2" t="str" cm="1">
        <f t="array" ref="K178">_xlfn.IFS(a.nike.original.man[[#This Row],[Reviews]]&lt;=7, "Below Average", a.nike.original.man[[#This Row],[Reviews]]&gt;=8, "Average +")</f>
        <v>Average +</v>
      </c>
      <c r="L178" s="12" t="s">
        <v>1549</v>
      </c>
      <c r="M178" s="2" t="s">
        <v>1470</v>
      </c>
    </row>
    <row r="179" spans="1:13" x14ac:dyDescent="0.2">
      <c r="A179" s="1" t="s">
        <v>485</v>
      </c>
      <c r="B179" s="1" t="s">
        <v>486</v>
      </c>
      <c r="C179" s="330">
        <v>0</v>
      </c>
      <c r="D179" s="330">
        <v>130</v>
      </c>
      <c r="E179" s="116">
        <v>0</v>
      </c>
      <c r="F179" s="1" t="s">
        <v>9</v>
      </c>
      <c r="G179" s="1" t="s">
        <v>487</v>
      </c>
      <c r="H179" s="1">
        <v>0</v>
      </c>
      <c r="I179" s="1" t="str" cm="1">
        <f t="array" ref="I179">_xlfn.IFS(a.nike.original.man[[#This Row],[Rating]]&lt;=2.9, "0 - 2.9",a.nike.original.man[[#This Row],[Rating]]&lt;=3.9,"3 - 3.9", a.nike.original.man[[#This Row],[Rating]]&lt;=5,"4 - 5")</f>
        <v>0 - 2.9</v>
      </c>
      <c r="J179" s="1">
        <v>0</v>
      </c>
      <c r="K179" s="1" t="str" cm="1">
        <f t="array" ref="K179">_xlfn.IFS(a.nike.original.man[[#This Row],[Reviews]]&lt;=7, "Below Average", a.nike.original.man[[#This Row],[Reviews]]&gt;=8, "Average +")</f>
        <v>Below Average</v>
      </c>
      <c r="L179" s="11" t="s">
        <v>1549</v>
      </c>
      <c r="M179" s="1" t="s">
        <v>1470</v>
      </c>
    </row>
    <row r="180" spans="1:13" x14ac:dyDescent="0.2">
      <c r="A180" s="1" t="s">
        <v>111</v>
      </c>
      <c r="B180" s="1" t="s">
        <v>497</v>
      </c>
      <c r="C180" s="330">
        <v>0</v>
      </c>
      <c r="D180" s="330">
        <v>160</v>
      </c>
      <c r="E180" s="116">
        <v>0</v>
      </c>
      <c r="F180" s="1" t="s">
        <v>9</v>
      </c>
      <c r="G180" s="1" t="s">
        <v>498</v>
      </c>
      <c r="H180" s="1">
        <v>0</v>
      </c>
      <c r="I180" s="1" t="str" cm="1">
        <f t="array" ref="I180">_xlfn.IFS(a.nike.original.man[[#This Row],[Rating]]&lt;=2.9, "0 - 2.9",a.nike.original.man[[#This Row],[Rating]]&lt;=3.9,"3 - 3.9", a.nike.original.man[[#This Row],[Rating]]&lt;=5,"4 - 5")</f>
        <v>0 - 2.9</v>
      </c>
      <c r="J180" s="1">
        <v>0</v>
      </c>
      <c r="K180" s="1" t="str" cm="1">
        <f t="array" ref="K180">_xlfn.IFS(a.nike.original.man[[#This Row],[Reviews]]&lt;=7, "Below Average", a.nike.original.man[[#This Row],[Reviews]]&gt;=8, "Average +")</f>
        <v>Below Average</v>
      </c>
      <c r="L180" s="11" t="s">
        <v>1549</v>
      </c>
      <c r="M180" s="1" t="s">
        <v>1470</v>
      </c>
    </row>
    <row r="181" spans="1:13" x14ac:dyDescent="0.2">
      <c r="A181" s="2" t="s">
        <v>499</v>
      </c>
      <c r="B181" s="2" t="s">
        <v>500</v>
      </c>
      <c r="C181" s="331">
        <v>74.95</v>
      </c>
      <c r="D181" s="331">
        <v>52</v>
      </c>
      <c r="E181" s="116">
        <v>0.3</v>
      </c>
      <c r="F181" s="2" t="s">
        <v>9</v>
      </c>
      <c r="G181" s="2" t="s">
        <v>501</v>
      </c>
      <c r="H181" s="2">
        <v>0</v>
      </c>
      <c r="I181" s="2" t="str" cm="1">
        <f t="array" ref="I181">_xlfn.IFS(a.nike.original.man[[#This Row],[Rating]]&lt;=2.9, "0 - 2.9",a.nike.original.man[[#This Row],[Rating]]&lt;=3.9,"3 - 3.9", a.nike.original.man[[#This Row],[Rating]]&lt;=5,"4 - 5")</f>
        <v>0 - 2.9</v>
      </c>
      <c r="J181" s="2">
        <v>0</v>
      </c>
      <c r="K181" s="2" t="str" cm="1">
        <f t="array" ref="K181">_xlfn.IFS(a.nike.original.man[[#This Row],[Reviews]]&lt;=7, "Below Average", a.nike.original.man[[#This Row],[Reviews]]&gt;=8, "Average +")</f>
        <v>Below Average</v>
      </c>
      <c r="L181" s="12" t="s">
        <v>1549</v>
      </c>
      <c r="M181" s="2" t="s">
        <v>1470</v>
      </c>
    </row>
    <row r="182" spans="1:13" x14ac:dyDescent="0.2">
      <c r="A182" s="1" t="s">
        <v>502</v>
      </c>
      <c r="B182" s="1" t="s">
        <v>503</v>
      </c>
      <c r="C182" s="330">
        <v>0</v>
      </c>
      <c r="D182" s="330">
        <v>145</v>
      </c>
      <c r="E182" s="116">
        <v>0</v>
      </c>
      <c r="F182" s="1" t="s">
        <v>9</v>
      </c>
      <c r="G182" s="1" t="s">
        <v>504</v>
      </c>
      <c r="H182" s="1">
        <v>4.3</v>
      </c>
      <c r="I182" s="1" t="str" cm="1">
        <f t="array" ref="I182">_xlfn.IFS(a.nike.original.man[[#This Row],[Rating]]&lt;=2.9, "0 - 2.9",a.nike.original.man[[#This Row],[Rating]]&lt;=3.9,"3 - 3.9", a.nike.original.man[[#This Row],[Rating]]&lt;=5,"4 - 5")</f>
        <v>4 - 5</v>
      </c>
      <c r="J182" s="1">
        <v>105</v>
      </c>
      <c r="K182" s="1" t="str" cm="1">
        <f t="array" ref="K182">_xlfn.IFS(a.nike.original.man[[#This Row],[Reviews]]&lt;=7, "Below Average", a.nike.original.man[[#This Row],[Reviews]]&gt;=8, "Average +")</f>
        <v>Average +</v>
      </c>
      <c r="L182" s="11" t="s">
        <v>1550</v>
      </c>
      <c r="M182" s="1" t="s">
        <v>1470</v>
      </c>
    </row>
    <row r="183" spans="1:13" x14ac:dyDescent="0.2">
      <c r="A183" s="1" t="s">
        <v>508</v>
      </c>
      <c r="B183" s="1" t="s">
        <v>509</v>
      </c>
      <c r="C183" s="330">
        <v>0</v>
      </c>
      <c r="D183" s="330">
        <v>110</v>
      </c>
      <c r="E183" s="116">
        <v>0</v>
      </c>
      <c r="F183" s="1" t="s">
        <v>9</v>
      </c>
      <c r="G183" s="1" t="s">
        <v>510</v>
      </c>
      <c r="H183" s="1">
        <v>3.9</v>
      </c>
      <c r="I183" s="1" t="str" cm="1">
        <f t="array" ref="I183">_xlfn.IFS(a.nike.original.man[[#This Row],[Rating]]&lt;=2.9, "0 - 2.9",a.nike.original.man[[#This Row],[Rating]]&lt;=3.9,"3 - 3.9", a.nike.original.man[[#This Row],[Rating]]&lt;=5,"4 - 5")</f>
        <v>3 - 3.9</v>
      </c>
      <c r="J183" s="1">
        <v>61</v>
      </c>
      <c r="K183" s="1" t="str" cm="1">
        <f t="array" ref="K183">_xlfn.IFS(a.nike.original.man[[#This Row],[Reviews]]&lt;=7, "Below Average", a.nike.original.man[[#This Row],[Reviews]]&gt;=8, "Average +")</f>
        <v>Average +</v>
      </c>
      <c r="L183" s="11" t="s">
        <v>1550</v>
      </c>
      <c r="M183" s="1" t="s">
        <v>1470</v>
      </c>
    </row>
    <row r="184" spans="1:13" x14ac:dyDescent="0.2">
      <c r="A184" s="2" t="s">
        <v>505</v>
      </c>
      <c r="B184" s="2" t="s">
        <v>506</v>
      </c>
      <c r="C184" s="331">
        <v>0</v>
      </c>
      <c r="D184" s="331">
        <v>140</v>
      </c>
      <c r="E184" s="116">
        <v>0</v>
      </c>
      <c r="F184" s="2" t="s">
        <v>9</v>
      </c>
      <c r="G184" s="2" t="s">
        <v>507</v>
      </c>
      <c r="H184" s="2">
        <v>4</v>
      </c>
      <c r="I184" s="2" t="str" cm="1">
        <f t="array" ref="I184">_xlfn.IFS(a.nike.original.man[[#This Row],[Rating]]&lt;=2.9, "0 - 2.9",a.nike.original.man[[#This Row],[Rating]]&lt;=3.9,"3 - 3.9", a.nike.original.man[[#This Row],[Rating]]&lt;=5,"4 - 5")</f>
        <v>4 - 5</v>
      </c>
      <c r="J184" s="2">
        <v>30</v>
      </c>
      <c r="K184" s="2" t="str" cm="1">
        <f t="array" ref="K184">_xlfn.IFS(a.nike.original.man[[#This Row],[Reviews]]&lt;=7, "Below Average", a.nike.original.man[[#This Row],[Reviews]]&gt;=8, "Average +")</f>
        <v>Average +</v>
      </c>
      <c r="L184" s="12" t="s">
        <v>1550</v>
      </c>
      <c r="M184" s="2" t="s">
        <v>1470</v>
      </c>
    </row>
    <row r="185" spans="1:13" x14ac:dyDescent="0.2">
      <c r="A185" s="2" t="s">
        <v>511</v>
      </c>
      <c r="B185" s="2" t="s">
        <v>512</v>
      </c>
      <c r="C185" s="331">
        <v>0</v>
      </c>
      <c r="D185" s="331">
        <v>110</v>
      </c>
      <c r="E185" s="116">
        <v>0</v>
      </c>
      <c r="F185" s="2" t="s">
        <v>9</v>
      </c>
      <c r="G185" s="2" t="s">
        <v>513</v>
      </c>
      <c r="H185" s="2">
        <v>4.5999999999999996</v>
      </c>
      <c r="I185" s="2" t="str" cm="1">
        <f t="array" ref="I185">_xlfn.IFS(a.nike.original.man[[#This Row],[Rating]]&lt;=2.9, "0 - 2.9",a.nike.original.man[[#This Row],[Rating]]&lt;=3.9,"3 - 3.9", a.nike.original.man[[#This Row],[Rating]]&lt;=5,"4 - 5")</f>
        <v>4 - 5</v>
      </c>
      <c r="J185" s="2">
        <v>12</v>
      </c>
      <c r="K185" s="2" t="str" cm="1">
        <f t="array" ref="K185">_xlfn.IFS(a.nike.original.man[[#This Row],[Reviews]]&lt;=7, "Below Average", a.nike.original.man[[#This Row],[Reviews]]&gt;=8, "Average +")</f>
        <v>Average +</v>
      </c>
      <c r="L185" s="12" t="s">
        <v>1550</v>
      </c>
      <c r="M185" s="2" t="s">
        <v>1470</v>
      </c>
    </row>
    <row r="186" spans="1:13" x14ac:dyDescent="0.2">
      <c r="A186" s="1" t="s">
        <v>514</v>
      </c>
      <c r="B186" s="1" t="s">
        <v>515</v>
      </c>
      <c r="C186" s="330">
        <v>0</v>
      </c>
      <c r="D186" s="330">
        <v>130</v>
      </c>
      <c r="E186" s="116">
        <v>0</v>
      </c>
      <c r="F186" s="1" t="s">
        <v>9</v>
      </c>
      <c r="G186" s="1" t="s">
        <v>516</v>
      </c>
      <c r="H186" s="1">
        <v>0</v>
      </c>
      <c r="I186" s="1" t="str" cm="1">
        <f t="array" ref="I186">_xlfn.IFS(a.nike.original.man[[#This Row],[Rating]]&lt;=2.9, "0 - 2.9",a.nike.original.man[[#This Row],[Rating]]&lt;=3.9,"3 - 3.9", a.nike.original.man[[#This Row],[Rating]]&lt;=5,"4 - 5")</f>
        <v>0 - 2.9</v>
      </c>
      <c r="J186" s="1">
        <v>0</v>
      </c>
      <c r="K186" s="1" t="str" cm="1">
        <f t="array" ref="K186">_xlfn.IFS(a.nike.original.man[[#This Row],[Reviews]]&lt;=7, "Below Average", a.nike.original.man[[#This Row],[Reviews]]&gt;=8, "Average +")</f>
        <v>Below Average</v>
      </c>
      <c r="L186" s="11" t="s">
        <v>1550</v>
      </c>
      <c r="M186" s="1" t="s">
        <v>1470</v>
      </c>
    </row>
    <row r="187" spans="1:13" x14ac:dyDescent="0.2">
      <c r="A187" s="1" t="s">
        <v>520</v>
      </c>
      <c r="B187" s="1" t="s">
        <v>521</v>
      </c>
      <c r="C187" s="330">
        <v>0</v>
      </c>
      <c r="D187" s="330">
        <v>53</v>
      </c>
      <c r="E187" s="116">
        <v>0</v>
      </c>
      <c r="F187" s="1" t="s">
        <v>9</v>
      </c>
      <c r="G187" s="1" t="s">
        <v>522</v>
      </c>
      <c r="H187" s="1">
        <v>4.0999999999999996</v>
      </c>
      <c r="I187" s="1" t="str" cm="1">
        <f t="array" ref="I187">_xlfn.IFS(a.nike.original.man[[#This Row],[Rating]]&lt;=2.9, "0 - 2.9",a.nike.original.man[[#This Row],[Rating]]&lt;=3.9,"3 - 3.9", a.nike.original.man[[#This Row],[Rating]]&lt;=5,"4 - 5")</f>
        <v>4 - 5</v>
      </c>
      <c r="J187" s="1">
        <v>94</v>
      </c>
      <c r="K187" s="1" t="str" cm="1">
        <f t="array" ref="K187">_xlfn.IFS(a.nike.original.man[[#This Row],[Reviews]]&lt;=7, "Below Average", a.nike.original.man[[#This Row],[Reviews]]&gt;=8, "Average +")</f>
        <v>Average +</v>
      </c>
      <c r="L187" s="11" t="s">
        <v>1551</v>
      </c>
      <c r="M187" s="1" t="s">
        <v>1470</v>
      </c>
    </row>
    <row r="188" spans="1:13" x14ac:dyDescent="0.2">
      <c r="A188" s="2" t="s">
        <v>529</v>
      </c>
      <c r="B188" s="2" t="s">
        <v>530</v>
      </c>
      <c r="C188" s="331">
        <v>0</v>
      </c>
      <c r="D188" s="331">
        <v>90</v>
      </c>
      <c r="E188" s="116">
        <v>0</v>
      </c>
      <c r="F188" s="2" t="s">
        <v>9</v>
      </c>
      <c r="G188" s="2" t="s">
        <v>531</v>
      </c>
      <c r="H188" s="2">
        <v>4.5999999999999996</v>
      </c>
      <c r="I188" s="2" t="str" cm="1">
        <f t="array" ref="I188">_xlfn.IFS(a.nike.original.man[[#This Row],[Rating]]&lt;=2.9, "0 - 2.9",a.nike.original.man[[#This Row],[Rating]]&lt;=3.9,"3 - 3.9", a.nike.original.man[[#This Row],[Rating]]&lt;=5,"4 - 5")</f>
        <v>4 - 5</v>
      </c>
      <c r="J188" s="2">
        <v>34</v>
      </c>
      <c r="K188" s="2" t="str" cm="1">
        <f t="array" ref="K188">_xlfn.IFS(a.nike.original.man[[#This Row],[Reviews]]&lt;=7, "Below Average", a.nike.original.man[[#This Row],[Reviews]]&gt;=8, "Average +")</f>
        <v>Average +</v>
      </c>
      <c r="L188" s="12" t="s">
        <v>1551</v>
      </c>
      <c r="M188" s="2" t="s">
        <v>1470</v>
      </c>
    </row>
    <row r="189" spans="1:13" x14ac:dyDescent="0.2">
      <c r="A189" s="2" t="s">
        <v>523</v>
      </c>
      <c r="B189" s="2" t="s">
        <v>524</v>
      </c>
      <c r="C189" s="331">
        <v>0</v>
      </c>
      <c r="D189" s="331">
        <v>100</v>
      </c>
      <c r="E189" s="116">
        <v>0</v>
      </c>
      <c r="F189" s="2" t="s">
        <v>9</v>
      </c>
      <c r="G189" s="2" t="s">
        <v>525</v>
      </c>
      <c r="H189" s="2">
        <v>4.2</v>
      </c>
      <c r="I189" s="2" t="str" cm="1">
        <f t="array" ref="I189">_xlfn.IFS(a.nike.original.man[[#This Row],[Rating]]&lt;=2.9, "0 - 2.9",a.nike.original.man[[#This Row],[Rating]]&lt;=3.9,"3 - 3.9", a.nike.original.man[[#This Row],[Rating]]&lt;=5,"4 - 5")</f>
        <v>4 - 5</v>
      </c>
      <c r="J189" s="2">
        <v>30</v>
      </c>
      <c r="K189" s="2" t="str" cm="1">
        <f t="array" ref="K189">_xlfn.IFS(a.nike.original.man[[#This Row],[Reviews]]&lt;=7, "Below Average", a.nike.original.man[[#This Row],[Reviews]]&gt;=8, "Average +")</f>
        <v>Average +</v>
      </c>
      <c r="L189" s="12" t="s">
        <v>1551</v>
      </c>
      <c r="M189" s="2" t="s">
        <v>1470</v>
      </c>
    </row>
    <row r="190" spans="1:13" x14ac:dyDescent="0.2">
      <c r="A190" s="2" t="s">
        <v>517</v>
      </c>
      <c r="B190" s="2" t="s">
        <v>518</v>
      </c>
      <c r="C190" s="331">
        <v>59.95</v>
      </c>
      <c r="D190" s="331">
        <v>45</v>
      </c>
      <c r="E190" s="116">
        <v>0.25</v>
      </c>
      <c r="F190" s="2" t="s">
        <v>9</v>
      </c>
      <c r="G190" s="2" t="s">
        <v>519</v>
      </c>
      <c r="H190" s="2">
        <v>5</v>
      </c>
      <c r="I190" s="2" t="str" cm="1">
        <f t="array" ref="I190">_xlfn.IFS(a.nike.original.man[[#This Row],[Rating]]&lt;=2.9, "0 - 2.9",a.nike.original.man[[#This Row],[Rating]]&lt;=3.9,"3 - 3.9", a.nike.original.man[[#This Row],[Rating]]&lt;=5,"4 - 5")</f>
        <v>4 - 5</v>
      </c>
      <c r="J190" s="2">
        <v>1</v>
      </c>
      <c r="K190" s="2" t="str" cm="1">
        <f t="array" ref="K190">_xlfn.IFS(a.nike.original.man[[#This Row],[Reviews]]&lt;=7, "Below Average", a.nike.original.man[[#This Row],[Reviews]]&gt;=8, "Average +")</f>
        <v>Below Average</v>
      </c>
      <c r="L190" s="12" t="s">
        <v>1551</v>
      </c>
      <c r="M190" s="2" t="s">
        <v>1470</v>
      </c>
    </row>
    <row r="191" spans="1:13" x14ac:dyDescent="0.2">
      <c r="A191" s="1" t="s">
        <v>526</v>
      </c>
      <c r="B191" s="1" t="s">
        <v>527</v>
      </c>
      <c r="C191" s="330">
        <v>0</v>
      </c>
      <c r="D191" s="330">
        <v>85</v>
      </c>
      <c r="E191" s="116">
        <v>0</v>
      </c>
      <c r="F191" s="1" t="s">
        <v>9</v>
      </c>
      <c r="G191" s="1" t="s">
        <v>528</v>
      </c>
      <c r="H191" s="1">
        <v>5</v>
      </c>
      <c r="I191" s="1" t="str" cm="1">
        <f t="array" ref="I191">_xlfn.IFS(a.nike.original.man[[#This Row],[Rating]]&lt;=2.9, "0 - 2.9",a.nike.original.man[[#This Row],[Rating]]&lt;=3.9,"3 - 3.9", a.nike.original.man[[#This Row],[Rating]]&lt;=5,"4 - 5")</f>
        <v>4 - 5</v>
      </c>
      <c r="J191" s="1">
        <v>1</v>
      </c>
      <c r="K191" s="1" t="str" cm="1">
        <f t="array" ref="K191">_xlfn.IFS(a.nike.original.man[[#This Row],[Reviews]]&lt;=7, "Below Average", a.nike.original.man[[#This Row],[Reviews]]&gt;=8, "Average +")</f>
        <v>Below Average</v>
      </c>
      <c r="L191" s="11" t="s">
        <v>1551</v>
      </c>
      <c r="M191" s="1" t="s">
        <v>1470</v>
      </c>
    </row>
    <row r="192" spans="1:13" x14ac:dyDescent="0.2">
      <c r="A192" s="1" t="s">
        <v>532</v>
      </c>
      <c r="B192" s="1" t="s">
        <v>533</v>
      </c>
      <c r="C192" s="330">
        <v>0</v>
      </c>
      <c r="D192" s="330">
        <v>170</v>
      </c>
      <c r="E192" s="116">
        <v>0</v>
      </c>
      <c r="F192" s="1" t="s">
        <v>9</v>
      </c>
      <c r="G192" s="1" t="s">
        <v>534</v>
      </c>
      <c r="H192" s="1">
        <v>0</v>
      </c>
      <c r="I192" s="1" t="str" cm="1">
        <f t="array" ref="I192">_xlfn.IFS(a.nike.original.man[[#This Row],[Rating]]&lt;=2.9, "0 - 2.9",a.nike.original.man[[#This Row],[Rating]]&lt;=3.9,"3 - 3.9", a.nike.original.man[[#This Row],[Rating]]&lt;=5,"4 - 5")</f>
        <v>0 - 2.9</v>
      </c>
      <c r="J192" s="1">
        <v>0</v>
      </c>
      <c r="K192" s="1" t="str" cm="1">
        <f t="array" ref="K192">_xlfn.IFS(a.nike.original.man[[#This Row],[Reviews]]&lt;=7, "Below Average", a.nike.original.man[[#This Row],[Reviews]]&gt;=8, "Average +")</f>
        <v>Below Average</v>
      </c>
      <c r="L192" s="11" t="s">
        <v>1551</v>
      </c>
      <c r="M192" s="1" t="s">
        <v>1470</v>
      </c>
    </row>
    <row r="193" spans="1:13" x14ac:dyDescent="0.2">
      <c r="A193" s="2" t="s">
        <v>535</v>
      </c>
      <c r="B193" s="2" t="s">
        <v>536</v>
      </c>
      <c r="C193" s="331">
        <v>79.95</v>
      </c>
      <c r="D193" s="331">
        <v>48</v>
      </c>
      <c r="E193" s="116">
        <v>0.4</v>
      </c>
      <c r="F193" s="2" t="s">
        <v>9</v>
      </c>
      <c r="G193" s="2" t="s">
        <v>537</v>
      </c>
      <c r="H193" s="2">
        <v>0</v>
      </c>
      <c r="I193" s="2" t="str" cm="1">
        <f t="array" ref="I193">_xlfn.IFS(a.nike.original.man[[#This Row],[Rating]]&lt;=2.9, "0 - 2.9",a.nike.original.man[[#This Row],[Rating]]&lt;=3.9,"3 - 3.9", a.nike.original.man[[#This Row],[Rating]]&lt;=5,"4 - 5")</f>
        <v>0 - 2.9</v>
      </c>
      <c r="J193" s="2">
        <v>0</v>
      </c>
      <c r="K193" s="2" t="str" cm="1">
        <f t="array" ref="K193">_xlfn.IFS(a.nike.original.man[[#This Row],[Reviews]]&lt;=7, "Below Average", a.nike.original.man[[#This Row],[Reviews]]&gt;=8, "Average +")</f>
        <v>Below Average</v>
      </c>
      <c r="L193" s="12" t="s">
        <v>1551</v>
      </c>
      <c r="M193" s="2" t="s">
        <v>1470</v>
      </c>
    </row>
    <row r="194" spans="1:13" x14ac:dyDescent="0.2">
      <c r="A194" s="2" t="s">
        <v>111</v>
      </c>
      <c r="B194" s="2" t="s">
        <v>546</v>
      </c>
      <c r="C194" s="331">
        <v>159.94999999999999</v>
      </c>
      <c r="D194" s="331">
        <v>128</v>
      </c>
      <c r="E194" s="116">
        <v>0.2</v>
      </c>
      <c r="F194" s="2" t="s">
        <v>9</v>
      </c>
      <c r="G194" s="2" t="s">
        <v>547</v>
      </c>
      <c r="H194" s="2">
        <v>4.2</v>
      </c>
      <c r="I194" s="2" t="str" cm="1">
        <f t="array" ref="I194">_xlfn.IFS(a.nike.original.man[[#This Row],[Rating]]&lt;=2.9, "0 - 2.9",a.nike.original.man[[#This Row],[Rating]]&lt;=3.9,"3 - 3.9", a.nike.original.man[[#This Row],[Rating]]&lt;=5,"4 - 5")</f>
        <v>4 - 5</v>
      </c>
      <c r="J194" s="2">
        <v>62</v>
      </c>
      <c r="K194" s="2" t="str" cm="1">
        <f t="array" ref="K194">_xlfn.IFS(a.nike.original.man[[#This Row],[Reviews]]&lt;=7, "Below Average", a.nike.original.man[[#This Row],[Reviews]]&gt;=8, "Average +")</f>
        <v>Average +</v>
      </c>
      <c r="L194" s="12" t="s">
        <v>1552</v>
      </c>
      <c r="M194" s="2" t="s">
        <v>1470</v>
      </c>
    </row>
    <row r="195" spans="1:13" x14ac:dyDescent="0.2">
      <c r="A195" s="1" t="s">
        <v>538</v>
      </c>
      <c r="B195" s="1" t="s">
        <v>539</v>
      </c>
      <c r="C195" s="330">
        <v>0</v>
      </c>
      <c r="D195" s="330">
        <v>220</v>
      </c>
      <c r="E195" s="116">
        <v>0</v>
      </c>
      <c r="F195" s="1" t="s">
        <v>9</v>
      </c>
      <c r="G195" s="1" t="s">
        <v>540</v>
      </c>
      <c r="H195" s="1">
        <v>3.5</v>
      </c>
      <c r="I195" s="1" t="str" cm="1">
        <f t="array" ref="I195">_xlfn.IFS(a.nike.original.man[[#This Row],[Rating]]&lt;=2.9, "0 - 2.9",a.nike.original.man[[#This Row],[Rating]]&lt;=3.9,"3 - 3.9", a.nike.original.man[[#This Row],[Rating]]&lt;=5,"4 - 5")</f>
        <v>3 - 3.9</v>
      </c>
      <c r="J195" s="1">
        <v>4</v>
      </c>
      <c r="K195" s="1" t="str" cm="1">
        <f t="array" ref="K195">_xlfn.IFS(a.nike.original.man[[#This Row],[Reviews]]&lt;=7, "Below Average", a.nike.original.man[[#This Row],[Reviews]]&gt;=8, "Average +")</f>
        <v>Below Average</v>
      </c>
      <c r="L195" s="11" t="s">
        <v>1552</v>
      </c>
      <c r="M195" s="1" t="s">
        <v>1470</v>
      </c>
    </row>
    <row r="196" spans="1:13" x14ac:dyDescent="0.2">
      <c r="A196" s="1" t="s">
        <v>548</v>
      </c>
      <c r="B196" s="1" t="s">
        <v>549</v>
      </c>
      <c r="C196" s="330">
        <v>0</v>
      </c>
      <c r="D196" s="330">
        <v>130</v>
      </c>
      <c r="E196" s="116">
        <v>0</v>
      </c>
      <c r="F196" s="1" t="s">
        <v>9</v>
      </c>
      <c r="G196" s="1" t="s">
        <v>550</v>
      </c>
      <c r="H196" s="1">
        <v>4.5999999999999996</v>
      </c>
      <c r="I196" s="1" t="str" cm="1">
        <f t="array" ref="I196">_xlfn.IFS(a.nike.original.man[[#This Row],[Rating]]&lt;=2.9, "0 - 2.9",a.nike.original.man[[#This Row],[Rating]]&lt;=3.9,"3 - 3.9", a.nike.original.man[[#This Row],[Rating]]&lt;=5,"4 - 5")</f>
        <v>4 - 5</v>
      </c>
      <c r="J196" s="1">
        <v>18</v>
      </c>
      <c r="K196" s="1" t="str" cm="1">
        <f t="array" ref="K196">_xlfn.IFS(a.nike.original.man[[#This Row],[Reviews]]&lt;=7, "Below Average", a.nike.original.man[[#This Row],[Reviews]]&gt;=8, "Average +")</f>
        <v>Average +</v>
      </c>
      <c r="L196" s="11" t="s">
        <v>1552</v>
      </c>
      <c r="M196" s="1" t="s">
        <v>1470</v>
      </c>
    </row>
    <row r="197" spans="1:13" x14ac:dyDescent="0.2">
      <c r="A197" s="1" t="s">
        <v>83</v>
      </c>
      <c r="B197" s="1" t="s">
        <v>544</v>
      </c>
      <c r="C197" s="330">
        <v>0</v>
      </c>
      <c r="D197" s="330">
        <v>190</v>
      </c>
      <c r="E197" s="116">
        <v>0</v>
      </c>
      <c r="F197" s="1" t="s">
        <v>9</v>
      </c>
      <c r="G197" s="1" t="s">
        <v>545</v>
      </c>
      <c r="H197" s="1">
        <v>4.0999999999999996</v>
      </c>
      <c r="I197" s="1" t="str" cm="1">
        <f t="array" ref="I197">_xlfn.IFS(a.nike.original.man[[#This Row],[Rating]]&lt;=2.9, "0 - 2.9",a.nike.original.man[[#This Row],[Rating]]&lt;=3.9,"3 - 3.9", a.nike.original.man[[#This Row],[Rating]]&lt;=5,"4 - 5")</f>
        <v>4 - 5</v>
      </c>
      <c r="J197" s="1">
        <v>10</v>
      </c>
      <c r="K197" s="1" t="str" cm="1">
        <f t="array" ref="K197">_xlfn.IFS(a.nike.original.man[[#This Row],[Reviews]]&lt;=7, "Below Average", a.nike.original.man[[#This Row],[Reviews]]&gt;=8, "Average +")</f>
        <v>Average +</v>
      </c>
      <c r="L197" s="11" t="s">
        <v>1552</v>
      </c>
      <c r="M197" s="1" t="s">
        <v>1470</v>
      </c>
    </row>
    <row r="198" spans="1:13" x14ac:dyDescent="0.2">
      <c r="A198" s="2" t="s">
        <v>541</v>
      </c>
      <c r="B198" s="2" t="s">
        <v>542</v>
      </c>
      <c r="C198" s="331">
        <v>0</v>
      </c>
      <c r="D198" s="331">
        <v>80</v>
      </c>
      <c r="E198" s="116">
        <v>0</v>
      </c>
      <c r="F198" s="2" t="s">
        <v>9</v>
      </c>
      <c r="G198" s="2" t="s">
        <v>543</v>
      </c>
      <c r="H198" s="2">
        <v>0</v>
      </c>
      <c r="I198" s="2" t="str" cm="1">
        <f t="array" ref="I198">_xlfn.IFS(a.nike.original.man[[#This Row],[Rating]]&lt;=2.9, "0 - 2.9",a.nike.original.man[[#This Row],[Rating]]&lt;=3.9,"3 - 3.9", a.nike.original.man[[#This Row],[Rating]]&lt;=5,"4 - 5")</f>
        <v>0 - 2.9</v>
      </c>
      <c r="J198" s="2">
        <v>0</v>
      </c>
      <c r="K198" s="2" t="str" cm="1">
        <f t="array" ref="K198">_xlfn.IFS(a.nike.original.man[[#This Row],[Reviews]]&lt;=7, "Below Average", a.nike.original.man[[#This Row],[Reviews]]&gt;=8, "Average +")</f>
        <v>Below Average</v>
      </c>
      <c r="L198" s="12" t="s">
        <v>1552</v>
      </c>
      <c r="M198" s="2" t="s">
        <v>1470</v>
      </c>
    </row>
    <row r="199" spans="1:13" x14ac:dyDescent="0.2">
      <c r="A199" s="2" t="s">
        <v>551</v>
      </c>
      <c r="B199" s="2" t="s">
        <v>552</v>
      </c>
      <c r="C199" s="331">
        <v>99.95</v>
      </c>
      <c r="D199" s="331">
        <v>80</v>
      </c>
      <c r="E199" s="116">
        <v>0.2</v>
      </c>
      <c r="F199" s="2" t="s">
        <v>9</v>
      </c>
      <c r="G199" s="2" t="s">
        <v>553</v>
      </c>
      <c r="H199" s="2">
        <v>3.4</v>
      </c>
      <c r="I199" s="2" t="str" cm="1">
        <f t="array" ref="I199">_xlfn.IFS(a.nike.original.man[[#This Row],[Rating]]&lt;=2.9, "0 - 2.9",a.nike.original.man[[#This Row],[Rating]]&lt;=3.9,"3 - 3.9", a.nike.original.man[[#This Row],[Rating]]&lt;=5,"4 - 5")</f>
        <v>3 - 3.9</v>
      </c>
      <c r="J199" s="2">
        <v>23</v>
      </c>
      <c r="K199" s="2" t="str" cm="1">
        <f t="array" ref="K199">_xlfn.IFS(a.nike.original.man[[#This Row],[Reviews]]&lt;=7, "Below Average", a.nike.original.man[[#This Row],[Reviews]]&gt;=8, "Average +")</f>
        <v>Average +</v>
      </c>
      <c r="L199" s="12" t="s">
        <v>1553</v>
      </c>
      <c r="M199" s="2" t="s">
        <v>1470</v>
      </c>
    </row>
    <row r="200" spans="1:13" x14ac:dyDescent="0.2">
      <c r="A200" s="1" t="s">
        <v>37</v>
      </c>
      <c r="B200" s="1" t="s">
        <v>554</v>
      </c>
      <c r="C200" s="330">
        <v>0</v>
      </c>
      <c r="D200" s="330">
        <v>100</v>
      </c>
      <c r="E200" s="116">
        <v>0</v>
      </c>
      <c r="F200" s="1" t="s">
        <v>9</v>
      </c>
      <c r="G200" s="1" t="s">
        <v>39</v>
      </c>
      <c r="H200" s="1">
        <v>4.7</v>
      </c>
      <c r="I200" s="1" t="str" cm="1">
        <f t="array" ref="I200">_xlfn.IFS(a.nike.original.man[[#This Row],[Rating]]&lt;=2.9, "0 - 2.9",a.nike.original.man[[#This Row],[Rating]]&lt;=3.9,"3 - 3.9", a.nike.original.man[[#This Row],[Rating]]&lt;=5,"4 - 5")</f>
        <v>4 - 5</v>
      </c>
      <c r="J200" s="1">
        <v>9</v>
      </c>
      <c r="K200" s="1" t="str" cm="1">
        <f t="array" ref="K200">_xlfn.IFS(a.nike.original.man[[#This Row],[Reviews]]&lt;=7, "Below Average", a.nike.original.man[[#This Row],[Reviews]]&gt;=8, "Average +")</f>
        <v>Average +</v>
      </c>
      <c r="L200" s="11" t="s">
        <v>1553</v>
      </c>
      <c r="M200" s="1" t="s">
        <v>1470</v>
      </c>
    </row>
    <row r="201" spans="1:13" x14ac:dyDescent="0.2">
      <c r="A201" s="2" t="s">
        <v>561</v>
      </c>
      <c r="B201" s="2" t="s">
        <v>562</v>
      </c>
      <c r="C201" s="331">
        <v>0</v>
      </c>
      <c r="D201" s="331">
        <v>80</v>
      </c>
      <c r="E201" s="116">
        <v>0</v>
      </c>
      <c r="F201" s="2" t="s">
        <v>9</v>
      </c>
      <c r="G201" s="2" t="s">
        <v>563</v>
      </c>
      <c r="H201" s="2">
        <v>1</v>
      </c>
      <c r="I201" s="2" t="str" cm="1">
        <f t="array" ref="I201">_xlfn.IFS(a.nike.original.man[[#This Row],[Rating]]&lt;=2.9, "0 - 2.9",a.nike.original.man[[#This Row],[Rating]]&lt;=3.9,"3 - 3.9", a.nike.original.man[[#This Row],[Rating]]&lt;=5,"4 - 5")</f>
        <v>0 - 2.9</v>
      </c>
      <c r="J201" s="2">
        <v>1</v>
      </c>
      <c r="K201" s="2" t="str" cm="1">
        <f t="array" ref="K201">_xlfn.IFS(a.nike.original.man[[#This Row],[Reviews]]&lt;=7, "Below Average", a.nike.original.man[[#This Row],[Reviews]]&gt;=8, "Average +")</f>
        <v>Below Average</v>
      </c>
      <c r="L201" s="12" t="s">
        <v>1554</v>
      </c>
      <c r="M201" s="2" t="s">
        <v>1470</v>
      </c>
    </row>
    <row r="202" spans="1:13" x14ac:dyDescent="0.2">
      <c r="A202" s="2" t="s">
        <v>555</v>
      </c>
      <c r="B202" s="2" t="s">
        <v>556</v>
      </c>
      <c r="C202" s="331">
        <v>0</v>
      </c>
      <c r="D202" s="331">
        <v>190</v>
      </c>
      <c r="E202" s="116">
        <v>0</v>
      </c>
      <c r="F202" s="2" t="s">
        <v>9</v>
      </c>
      <c r="G202" s="2" t="s">
        <v>557</v>
      </c>
      <c r="H202" s="2">
        <v>4.8</v>
      </c>
      <c r="I202" s="2" t="str" cm="1">
        <f t="array" ref="I202">_xlfn.IFS(a.nike.original.man[[#This Row],[Rating]]&lt;=2.9, "0 - 2.9",a.nike.original.man[[#This Row],[Rating]]&lt;=3.9,"3 - 3.9", a.nike.original.man[[#This Row],[Rating]]&lt;=5,"4 - 5")</f>
        <v>4 - 5</v>
      </c>
      <c r="J202" s="2">
        <v>11</v>
      </c>
      <c r="K202" s="2" t="str" cm="1">
        <f t="array" ref="K202">_xlfn.IFS(a.nike.original.man[[#This Row],[Reviews]]&lt;=7, "Below Average", a.nike.original.man[[#This Row],[Reviews]]&gt;=8, "Average +")</f>
        <v>Average +</v>
      </c>
      <c r="L202" s="12" t="s">
        <v>1554</v>
      </c>
      <c r="M202" s="2" t="s">
        <v>1470</v>
      </c>
    </row>
    <row r="203" spans="1:13" x14ac:dyDescent="0.2">
      <c r="A203" s="1" t="s">
        <v>558</v>
      </c>
      <c r="B203" s="1" t="s">
        <v>559</v>
      </c>
      <c r="C203" s="330">
        <v>139.94999999999999</v>
      </c>
      <c r="D203" s="330">
        <v>112</v>
      </c>
      <c r="E203" s="116">
        <v>0.2</v>
      </c>
      <c r="F203" s="1" t="s">
        <v>9</v>
      </c>
      <c r="G203" s="1" t="s">
        <v>560</v>
      </c>
      <c r="H203" s="1">
        <v>0</v>
      </c>
      <c r="I203" s="1" t="str" cm="1">
        <f t="array" ref="I203">_xlfn.IFS(a.nike.original.man[[#This Row],[Rating]]&lt;=2.9, "0 - 2.9",a.nike.original.man[[#This Row],[Rating]]&lt;=3.9,"3 - 3.9", a.nike.original.man[[#This Row],[Rating]]&lt;=5,"4 - 5")</f>
        <v>0 - 2.9</v>
      </c>
      <c r="J203" s="1">
        <v>0</v>
      </c>
      <c r="K203" s="1" t="str" cm="1">
        <f t="array" ref="K203">_xlfn.IFS(a.nike.original.man[[#This Row],[Reviews]]&lt;=7, "Below Average", a.nike.original.man[[#This Row],[Reviews]]&gt;=8, "Average +")</f>
        <v>Below Average</v>
      </c>
      <c r="L203" s="11" t="s">
        <v>1554</v>
      </c>
      <c r="M203" s="1" t="s">
        <v>1470</v>
      </c>
    </row>
    <row r="204" spans="1:13" x14ac:dyDescent="0.2">
      <c r="A204" s="1" t="s">
        <v>564</v>
      </c>
      <c r="B204" s="1" t="s">
        <v>565</v>
      </c>
      <c r="C204" s="330">
        <v>74.95</v>
      </c>
      <c r="D204" s="330">
        <v>52</v>
      </c>
      <c r="E204" s="116">
        <v>0.3</v>
      </c>
      <c r="F204" s="1" t="s">
        <v>9</v>
      </c>
      <c r="G204" s="1" t="s">
        <v>566</v>
      </c>
      <c r="H204" s="1">
        <v>0</v>
      </c>
      <c r="I204" s="1" t="str" cm="1">
        <f t="array" ref="I204">_xlfn.IFS(a.nike.original.man[[#This Row],[Rating]]&lt;=2.9, "0 - 2.9",a.nike.original.man[[#This Row],[Rating]]&lt;=3.9,"3 - 3.9", a.nike.original.man[[#This Row],[Rating]]&lt;=5,"4 - 5")</f>
        <v>0 - 2.9</v>
      </c>
      <c r="J204" s="1">
        <v>0</v>
      </c>
      <c r="K204" s="1" t="str" cm="1">
        <f t="array" ref="K204">_xlfn.IFS(a.nike.original.man[[#This Row],[Reviews]]&lt;=7, "Below Average", a.nike.original.man[[#This Row],[Reviews]]&gt;=8, "Average +")</f>
        <v>Below Average</v>
      </c>
      <c r="L204" s="11" t="s">
        <v>1554</v>
      </c>
      <c r="M204" s="1" t="s">
        <v>1470</v>
      </c>
    </row>
    <row r="205" spans="1:13" x14ac:dyDescent="0.2">
      <c r="A205" s="2" t="s">
        <v>132</v>
      </c>
      <c r="B205" s="2" t="s">
        <v>567</v>
      </c>
      <c r="C205" s="331">
        <v>149.94999999999999</v>
      </c>
      <c r="D205" s="331">
        <v>90</v>
      </c>
      <c r="E205" s="116">
        <v>0.4</v>
      </c>
      <c r="F205" s="2" t="s">
        <v>9</v>
      </c>
      <c r="G205" s="2" t="s">
        <v>568</v>
      </c>
      <c r="H205" s="2">
        <v>0</v>
      </c>
      <c r="I205" s="2" t="str" cm="1">
        <f t="array" ref="I205">_xlfn.IFS(a.nike.original.man[[#This Row],[Rating]]&lt;=2.9, "0 - 2.9",a.nike.original.man[[#This Row],[Rating]]&lt;=3.9,"3 - 3.9", a.nike.original.man[[#This Row],[Rating]]&lt;=5,"4 - 5")</f>
        <v>0 - 2.9</v>
      </c>
      <c r="J205" s="2">
        <v>0</v>
      </c>
      <c r="K205" s="2" t="str" cm="1">
        <f t="array" ref="K205">_xlfn.IFS(a.nike.original.man[[#This Row],[Reviews]]&lt;=7, "Below Average", a.nike.original.man[[#This Row],[Reviews]]&gt;=8, "Average +")</f>
        <v>Below Average</v>
      </c>
      <c r="L205" s="12" t="s">
        <v>1554</v>
      </c>
      <c r="M205" s="2" t="s">
        <v>1470</v>
      </c>
    </row>
    <row r="206" spans="1:13" x14ac:dyDescent="0.2">
      <c r="A206" s="1" t="s">
        <v>569</v>
      </c>
      <c r="B206" s="1" t="s">
        <v>570</v>
      </c>
      <c r="C206" s="330">
        <v>79.95</v>
      </c>
      <c r="D206" s="330">
        <v>64</v>
      </c>
      <c r="E206" s="116">
        <v>0.2</v>
      </c>
      <c r="F206" s="1" t="s">
        <v>9</v>
      </c>
      <c r="G206" s="1" t="s">
        <v>571</v>
      </c>
      <c r="H206" s="1">
        <v>5</v>
      </c>
      <c r="I206" s="1" t="str" cm="1">
        <f t="array" ref="I206">_xlfn.IFS(a.nike.original.man[[#This Row],[Rating]]&lt;=2.9, "0 - 2.9",a.nike.original.man[[#This Row],[Rating]]&lt;=3.9,"3 - 3.9", a.nike.original.man[[#This Row],[Rating]]&lt;=5,"4 - 5")</f>
        <v>4 - 5</v>
      </c>
      <c r="J206" s="1">
        <v>1</v>
      </c>
      <c r="K206" s="1" t="str" cm="1">
        <f t="array" ref="K206">_xlfn.IFS(a.nike.original.man[[#This Row],[Reviews]]&lt;=7, "Below Average", a.nike.original.man[[#This Row],[Reviews]]&gt;=8, "Average +")</f>
        <v>Below Average</v>
      </c>
      <c r="L206" s="11" t="s">
        <v>1555</v>
      </c>
      <c r="M206" s="1" t="s">
        <v>1470</v>
      </c>
    </row>
    <row r="207" spans="1:13" x14ac:dyDescent="0.2">
      <c r="A207" s="2" t="s">
        <v>572</v>
      </c>
      <c r="B207" s="2" t="s">
        <v>573</v>
      </c>
      <c r="C207" s="331">
        <v>0</v>
      </c>
      <c r="D207" s="331">
        <v>90</v>
      </c>
      <c r="E207" s="116">
        <v>0</v>
      </c>
      <c r="F207" s="2" t="s">
        <v>9</v>
      </c>
      <c r="G207" s="2" t="s">
        <v>574</v>
      </c>
      <c r="H207" s="2">
        <v>0</v>
      </c>
      <c r="I207" s="2" t="str" cm="1">
        <f t="array" ref="I207">_xlfn.IFS(a.nike.original.man[[#This Row],[Rating]]&lt;=2.9, "0 - 2.9",a.nike.original.man[[#This Row],[Rating]]&lt;=3.9,"3 - 3.9", a.nike.original.man[[#This Row],[Rating]]&lt;=5,"4 - 5")</f>
        <v>0 - 2.9</v>
      </c>
      <c r="J207" s="2">
        <v>0</v>
      </c>
      <c r="K207" s="2" t="str" cm="1">
        <f t="array" ref="K207">_xlfn.IFS(a.nike.original.man[[#This Row],[Reviews]]&lt;=7, "Below Average", a.nike.original.man[[#This Row],[Reviews]]&gt;=8, "Average +")</f>
        <v>Below Average</v>
      </c>
      <c r="L207" s="12" t="s">
        <v>1555</v>
      </c>
      <c r="M207" s="2" t="s">
        <v>1470</v>
      </c>
    </row>
    <row r="208" spans="1:13" x14ac:dyDescent="0.2">
      <c r="A208" s="1" t="s">
        <v>575</v>
      </c>
      <c r="B208" s="1" t="s">
        <v>576</v>
      </c>
      <c r="C208" s="330">
        <v>0</v>
      </c>
      <c r="D208" s="330">
        <v>100</v>
      </c>
      <c r="E208" s="116">
        <v>0</v>
      </c>
      <c r="F208" s="1" t="s">
        <v>9</v>
      </c>
      <c r="G208" s="1" t="s">
        <v>577</v>
      </c>
      <c r="H208" s="1">
        <v>3</v>
      </c>
      <c r="I208" s="1" t="str" cm="1">
        <f t="array" ref="I208">_xlfn.IFS(a.nike.original.man[[#This Row],[Rating]]&lt;=2.9, "0 - 2.9",a.nike.original.man[[#This Row],[Rating]]&lt;=3.9,"3 - 3.9", a.nike.original.man[[#This Row],[Rating]]&lt;=5,"4 - 5")</f>
        <v>3 - 3.9</v>
      </c>
      <c r="J208" s="1">
        <v>4</v>
      </c>
      <c r="K208" s="1" t="str" cm="1">
        <f t="array" ref="K208">_xlfn.IFS(a.nike.original.man[[#This Row],[Reviews]]&lt;=7, "Below Average", a.nike.original.man[[#This Row],[Reviews]]&gt;=8, "Average +")</f>
        <v>Below Average</v>
      </c>
      <c r="L208" s="11" t="s">
        <v>1556</v>
      </c>
      <c r="M208" s="1" t="s">
        <v>1470</v>
      </c>
    </row>
    <row r="209" spans="1:13" x14ac:dyDescent="0.2">
      <c r="A209" s="2" t="s">
        <v>578</v>
      </c>
      <c r="B209" s="2" t="s">
        <v>579</v>
      </c>
      <c r="C209" s="331">
        <v>179.95</v>
      </c>
      <c r="D209" s="331">
        <v>144</v>
      </c>
      <c r="E209" s="116">
        <v>0.2</v>
      </c>
      <c r="F209" s="2" t="s">
        <v>9</v>
      </c>
      <c r="G209" s="2" t="s">
        <v>580</v>
      </c>
      <c r="H209" s="2">
        <v>3</v>
      </c>
      <c r="I209" s="2" t="str" cm="1">
        <f t="array" ref="I209">_xlfn.IFS(a.nike.original.man[[#This Row],[Rating]]&lt;=2.9, "0 - 2.9",a.nike.original.man[[#This Row],[Rating]]&lt;=3.9,"3 - 3.9", a.nike.original.man[[#This Row],[Rating]]&lt;=5,"4 - 5")</f>
        <v>3 - 3.9</v>
      </c>
      <c r="J209" s="2">
        <v>4</v>
      </c>
      <c r="K209" s="2" t="str" cm="1">
        <f t="array" ref="K209">_xlfn.IFS(a.nike.original.man[[#This Row],[Reviews]]&lt;=7, "Below Average", a.nike.original.man[[#This Row],[Reviews]]&gt;=8, "Average +")</f>
        <v>Below Average</v>
      </c>
      <c r="L209" s="12" t="s">
        <v>1556</v>
      </c>
      <c r="M209" s="2" t="s">
        <v>1470</v>
      </c>
    </row>
    <row r="210" spans="1:13" x14ac:dyDescent="0.2">
      <c r="A210" s="1" t="s">
        <v>581</v>
      </c>
      <c r="B210" s="1" t="s">
        <v>582</v>
      </c>
      <c r="C210" s="330">
        <v>0</v>
      </c>
      <c r="D210" s="330">
        <v>120</v>
      </c>
      <c r="E210" s="116">
        <v>0</v>
      </c>
      <c r="F210" s="1" t="s">
        <v>9</v>
      </c>
      <c r="G210" s="1" t="s">
        <v>583</v>
      </c>
      <c r="H210" s="1">
        <v>0</v>
      </c>
      <c r="I210" s="1" t="str" cm="1">
        <f t="array" ref="I210">_xlfn.IFS(a.nike.original.man[[#This Row],[Rating]]&lt;=2.9, "0 - 2.9",a.nike.original.man[[#This Row],[Rating]]&lt;=3.9,"3 - 3.9", a.nike.original.man[[#This Row],[Rating]]&lt;=5,"4 - 5")</f>
        <v>0 - 2.9</v>
      </c>
      <c r="J210" s="1">
        <v>0</v>
      </c>
      <c r="K210" s="1" t="str" cm="1">
        <f t="array" ref="K210">_xlfn.IFS(a.nike.original.man[[#This Row],[Reviews]]&lt;=7, "Below Average", a.nike.original.man[[#This Row],[Reviews]]&gt;=8, "Average +")</f>
        <v>Below Average</v>
      </c>
      <c r="L210" s="11" t="s">
        <v>1556</v>
      </c>
      <c r="M210" s="1" t="s">
        <v>1470</v>
      </c>
    </row>
    <row r="211" spans="1:13" x14ac:dyDescent="0.2">
      <c r="A211" s="2" t="s">
        <v>34</v>
      </c>
      <c r="B211" s="2" t="s">
        <v>584</v>
      </c>
      <c r="C211" s="331">
        <v>0</v>
      </c>
      <c r="D211" s="331">
        <v>150</v>
      </c>
      <c r="E211" s="116">
        <v>0</v>
      </c>
      <c r="F211" s="2" t="s">
        <v>9</v>
      </c>
      <c r="G211" s="2" t="s">
        <v>585</v>
      </c>
      <c r="H211" s="2">
        <v>0</v>
      </c>
      <c r="I211" s="2" t="str" cm="1">
        <f t="array" ref="I211">_xlfn.IFS(a.nike.original.man[[#This Row],[Rating]]&lt;=2.9, "0 - 2.9",a.nike.original.man[[#This Row],[Rating]]&lt;=3.9,"3 - 3.9", a.nike.original.man[[#This Row],[Rating]]&lt;=5,"4 - 5")</f>
        <v>0 - 2.9</v>
      </c>
      <c r="J211" s="2">
        <v>0</v>
      </c>
      <c r="K211" s="2" t="str" cm="1">
        <f t="array" ref="K211">_xlfn.IFS(a.nike.original.man[[#This Row],[Reviews]]&lt;=7, "Below Average", a.nike.original.man[[#This Row],[Reviews]]&gt;=8, "Average +")</f>
        <v>Below Average</v>
      </c>
      <c r="L211" s="12" t="s">
        <v>1556</v>
      </c>
      <c r="M211" s="2" t="s">
        <v>1470</v>
      </c>
    </row>
    <row r="212" spans="1:13" x14ac:dyDescent="0.2">
      <c r="A212" s="2" t="s">
        <v>400</v>
      </c>
      <c r="B212" s="2" t="s">
        <v>589</v>
      </c>
      <c r="C212" s="331">
        <v>0</v>
      </c>
      <c r="D212" s="331">
        <v>100</v>
      </c>
      <c r="E212" s="116">
        <v>0</v>
      </c>
      <c r="F212" s="2" t="s">
        <v>9</v>
      </c>
      <c r="G212" s="2" t="s">
        <v>590</v>
      </c>
      <c r="H212" s="2">
        <v>3.6</v>
      </c>
      <c r="I212" s="2" t="str" cm="1">
        <f t="array" ref="I212">_xlfn.IFS(a.nike.original.man[[#This Row],[Rating]]&lt;=2.9, "0 - 2.9",a.nike.original.man[[#This Row],[Rating]]&lt;=3.9,"3 - 3.9", a.nike.original.man[[#This Row],[Rating]]&lt;=5,"4 - 5")</f>
        <v>3 - 3.9</v>
      </c>
      <c r="J212" s="2">
        <v>23</v>
      </c>
      <c r="K212" s="2" t="str" cm="1">
        <f t="array" ref="K212">_xlfn.IFS(a.nike.original.man[[#This Row],[Reviews]]&lt;=7, "Below Average", a.nike.original.man[[#This Row],[Reviews]]&gt;=8, "Average +")</f>
        <v>Average +</v>
      </c>
      <c r="L212" s="12" t="s">
        <v>1557</v>
      </c>
      <c r="M212" s="2" t="s">
        <v>1470</v>
      </c>
    </row>
    <row r="213" spans="1:13" x14ac:dyDescent="0.2">
      <c r="A213" s="1" t="s">
        <v>591</v>
      </c>
      <c r="B213" s="1" t="s">
        <v>592</v>
      </c>
      <c r="C213" s="330">
        <v>0</v>
      </c>
      <c r="D213" s="330">
        <v>170</v>
      </c>
      <c r="E213" s="116">
        <v>0</v>
      </c>
      <c r="F213" s="1" t="s">
        <v>9</v>
      </c>
      <c r="G213" s="1" t="s">
        <v>593</v>
      </c>
      <c r="H213" s="1">
        <v>5</v>
      </c>
      <c r="I213" s="1" t="str" cm="1">
        <f t="array" ref="I213">_xlfn.IFS(a.nike.original.man[[#This Row],[Rating]]&lt;=2.9, "0 - 2.9",a.nike.original.man[[#This Row],[Rating]]&lt;=3.9,"3 - 3.9", a.nike.original.man[[#This Row],[Rating]]&lt;=5,"4 - 5")</f>
        <v>4 - 5</v>
      </c>
      <c r="J213" s="1">
        <v>1</v>
      </c>
      <c r="K213" s="1" t="str" cm="1">
        <f t="array" ref="K213">_xlfn.IFS(a.nike.original.man[[#This Row],[Reviews]]&lt;=7, "Below Average", a.nike.original.man[[#This Row],[Reviews]]&gt;=8, "Average +")</f>
        <v>Below Average</v>
      </c>
      <c r="L213" s="11" t="s">
        <v>1557</v>
      </c>
      <c r="M213" s="1" t="s">
        <v>1470</v>
      </c>
    </row>
    <row r="214" spans="1:13" x14ac:dyDescent="0.2">
      <c r="A214" s="2" t="s">
        <v>425</v>
      </c>
      <c r="B214" s="2" t="s">
        <v>594</v>
      </c>
      <c r="C214" s="331">
        <v>0</v>
      </c>
      <c r="D214" s="331">
        <v>160</v>
      </c>
      <c r="E214" s="116">
        <v>0</v>
      </c>
      <c r="F214" s="2" t="s">
        <v>9</v>
      </c>
      <c r="G214" s="2" t="s">
        <v>595</v>
      </c>
      <c r="H214" s="2">
        <v>5</v>
      </c>
      <c r="I214" s="2" t="str" cm="1">
        <f t="array" ref="I214">_xlfn.IFS(a.nike.original.man[[#This Row],[Rating]]&lt;=2.9, "0 - 2.9",a.nike.original.man[[#This Row],[Rating]]&lt;=3.9,"3 - 3.9", a.nike.original.man[[#This Row],[Rating]]&lt;=5,"4 - 5")</f>
        <v>4 - 5</v>
      </c>
      <c r="J214" s="2">
        <v>1</v>
      </c>
      <c r="K214" s="2" t="str" cm="1">
        <f t="array" ref="K214">_xlfn.IFS(a.nike.original.man[[#This Row],[Reviews]]&lt;=7, "Below Average", a.nike.original.man[[#This Row],[Reviews]]&gt;=8, "Average +")</f>
        <v>Below Average</v>
      </c>
      <c r="L214" s="12" t="s">
        <v>1557</v>
      </c>
      <c r="M214" s="2" t="s">
        <v>1470</v>
      </c>
    </row>
    <row r="215" spans="1:13" x14ac:dyDescent="0.2">
      <c r="A215" s="1" t="s">
        <v>586</v>
      </c>
      <c r="B215" s="1" t="s">
        <v>587</v>
      </c>
      <c r="C215" s="330">
        <v>129.94999999999999</v>
      </c>
      <c r="D215" s="330">
        <v>78</v>
      </c>
      <c r="E215" s="116">
        <v>0.4</v>
      </c>
      <c r="F215" s="1" t="s">
        <v>9</v>
      </c>
      <c r="G215" s="1" t="s">
        <v>588</v>
      </c>
      <c r="H215" s="1">
        <v>4.4000000000000004</v>
      </c>
      <c r="I215" s="1" t="str" cm="1">
        <f t="array" ref="I215">_xlfn.IFS(a.nike.original.man[[#This Row],[Rating]]&lt;=2.9, "0 - 2.9",a.nike.original.man[[#This Row],[Rating]]&lt;=3.9,"3 - 3.9", a.nike.original.man[[#This Row],[Rating]]&lt;=5,"4 - 5")</f>
        <v>4 - 5</v>
      </c>
      <c r="J215" s="1">
        <v>12</v>
      </c>
      <c r="K215" s="1" t="str" cm="1">
        <f t="array" ref="K215">_xlfn.IFS(a.nike.original.man[[#This Row],[Reviews]]&lt;=7, "Below Average", a.nike.original.man[[#This Row],[Reviews]]&gt;=8, "Average +")</f>
        <v>Average +</v>
      </c>
      <c r="L215" s="11" t="s">
        <v>1557</v>
      </c>
      <c r="M215" s="1" t="s">
        <v>1470</v>
      </c>
    </row>
    <row r="216" spans="1:13" x14ac:dyDescent="0.2">
      <c r="A216" s="2" t="s">
        <v>599</v>
      </c>
      <c r="B216" s="2" t="s">
        <v>600</v>
      </c>
      <c r="C216" s="331">
        <v>169.95</v>
      </c>
      <c r="D216" s="331">
        <v>136</v>
      </c>
      <c r="E216" s="116">
        <v>0.2</v>
      </c>
      <c r="F216" s="2" t="s">
        <v>9</v>
      </c>
      <c r="G216" s="2" t="s">
        <v>601</v>
      </c>
      <c r="H216" s="2">
        <v>3.7</v>
      </c>
      <c r="I216" s="2" t="str" cm="1">
        <f t="array" ref="I216">_xlfn.IFS(a.nike.original.man[[#This Row],[Rating]]&lt;=2.9, "0 - 2.9",a.nike.original.man[[#This Row],[Rating]]&lt;=3.9,"3 - 3.9", a.nike.original.man[[#This Row],[Rating]]&lt;=5,"4 - 5")</f>
        <v>3 - 3.9</v>
      </c>
      <c r="J216" s="2">
        <v>3</v>
      </c>
      <c r="K216" s="2" t="str" cm="1">
        <f t="array" ref="K216">_xlfn.IFS(a.nike.original.man[[#This Row],[Reviews]]&lt;=7, "Below Average", a.nike.original.man[[#This Row],[Reviews]]&gt;=8, "Average +")</f>
        <v>Below Average</v>
      </c>
      <c r="L216" s="12" t="s">
        <v>1558</v>
      </c>
      <c r="M216" s="2" t="s">
        <v>1470</v>
      </c>
    </row>
    <row r="217" spans="1:13" x14ac:dyDescent="0.2">
      <c r="A217" s="1" t="s">
        <v>596</v>
      </c>
      <c r="B217" s="1" t="s">
        <v>597</v>
      </c>
      <c r="C217" s="330">
        <v>0</v>
      </c>
      <c r="D217" s="330">
        <v>40</v>
      </c>
      <c r="E217" s="116">
        <v>0</v>
      </c>
      <c r="F217" s="1" t="s">
        <v>9</v>
      </c>
      <c r="G217" s="1" t="s">
        <v>598</v>
      </c>
      <c r="H217" s="1">
        <v>4</v>
      </c>
      <c r="I217" s="1" t="str" cm="1">
        <f t="array" ref="I217">_xlfn.IFS(a.nike.original.man[[#This Row],[Rating]]&lt;=2.9, "0 - 2.9",a.nike.original.man[[#This Row],[Rating]]&lt;=3.9,"3 - 3.9", a.nike.original.man[[#This Row],[Rating]]&lt;=5,"4 - 5")</f>
        <v>4 - 5</v>
      </c>
      <c r="J217" s="1">
        <v>1</v>
      </c>
      <c r="K217" s="1" t="str" cm="1">
        <f t="array" ref="K217">_xlfn.IFS(a.nike.original.man[[#This Row],[Reviews]]&lt;=7, "Below Average", a.nike.original.man[[#This Row],[Reviews]]&gt;=8, "Average +")</f>
        <v>Below Average</v>
      </c>
      <c r="L217" s="11" t="s">
        <v>1558</v>
      </c>
      <c r="M217" s="1" t="s">
        <v>1470</v>
      </c>
    </row>
    <row r="218" spans="1:13" x14ac:dyDescent="0.2">
      <c r="A218" s="1" t="s">
        <v>607</v>
      </c>
      <c r="B218" s="1" t="s">
        <v>608</v>
      </c>
      <c r="C218" s="330">
        <v>99.95</v>
      </c>
      <c r="D218" s="330">
        <v>60</v>
      </c>
      <c r="E218" s="116">
        <v>0.4</v>
      </c>
      <c r="F218" s="1" t="s">
        <v>9</v>
      </c>
      <c r="G218" s="1" t="s">
        <v>609</v>
      </c>
      <c r="H218" s="1">
        <v>4.5</v>
      </c>
      <c r="I218" s="1" t="str" cm="1">
        <f t="array" ref="I218">_xlfn.IFS(a.nike.original.man[[#This Row],[Rating]]&lt;=2.9, "0 - 2.9",a.nike.original.man[[#This Row],[Rating]]&lt;=3.9,"3 - 3.9", a.nike.original.man[[#This Row],[Rating]]&lt;=5,"4 - 5")</f>
        <v>4 - 5</v>
      </c>
      <c r="J218" s="1">
        <v>13</v>
      </c>
      <c r="K218" s="1" t="str" cm="1">
        <f t="array" ref="K218">_xlfn.IFS(a.nike.original.man[[#This Row],[Reviews]]&lt;=7, "Below Average", a.nike.original.man[[#This Row],[Reviews]]&gt;=8, "Average +")</f>
        <v>Average +</v>
      </c>
      <c r="L218" s="11" t="s">
        <v>1558</v>
      </c>
      <c r="M218" s="1" t="s">
        <v>1470</v>
      </c>
    </row>
    <row r="219" spans="1:13" x14ac:dyDescent="0.2">
      <c r="A219" s="1" t="s">
        <v>602</v>
      </c>
      <c r="B219" s="1" t="s">
        <v>603</v>
      </c>
      <c r="C219" s="330">
        <v>0</v>
      </c>
      <c r="D219" s="330">
        <v>150</v>
      </c>
      <c r="E219" s="116">
        <v>0</v>
      </c>
      <c r="F219" s="1" t="s">
        <v>9</v>
      </c>
      <c r="G219" s="1" t="s">
        <v>604</v>
      </c>
      <c r="H219" s="1">
        <v>0</v>
      </c>
      <c r="I219" s="1" t="str" cm="1">
        <f t="array" ref="I219">_xlfn.IFS(a.nike.original.man[[#This Row],[Rating]]&lt;=2.9, "0 - 2.9",a.nike.original.man[[#This Row],[Rating]]&lt;=3.9,"3 - 3.9", a.nike.original.man[[#This Row],[Rating]]&lt;=5,"4 - 5")</f>
        <v>0 - 2.9</v>
      </c>
      <c r="J219" s="1">
        <v>0</v>
      </c>
      <c r="K219" s="1" t="str" cm="1">
        <f t="array" ref="K219">_xlfn.IFS(a.nike.original.man[[#This Row],[Reviews]]&lt;=7, "Below Average", a.nike.original.man[[#This Row],[Reviews]]&gt;=8, "Average +")</f>
        <v>Below Average</v>
      </c>
      <c r="L219" s="11" t="s">
        <v>1558</v>
      </c>
      <c r="M219" s="1" t="s">
        <v>1470</v>
      </c>
    </row>
    <row r="220" spans="1:13" x14ac:dyDescent="0.2">
      <c r="A220" s="2" t="s">
        <v>135</v>
      </c>
      <c r="B220" s="2" t="s">
        <v>605</v>
      </c>
      <c r="C220" s="331">
        <v>169.95</v>
      </c>
      <c r="D220" s="331">
        <v>102</v>
      </c>
      <c r="E220" s="116">
        <v>0.4</v>
      </c>
      <c r="F220" s="2" t="s">
        <v>9</v>
      </c>
      <c r="G220" s="2" t="s">
        <v>606</v>
      </c>
      <c r="H220" s="2">
        <v>4.0999999999999996</v>
      </c>
      <c r="I220" s="2" t="str" cm="1">
        <f t="array" ref="I220">_xlfn.IFS(a.nike.original.man[[#This Row],[Rating]]&lt;=2.9, "0 - 2.9",a.nike.original.man[[#This Row],[Rating]]&lt;=3.9,"3 - 3.9", a.nike.original.man[[#This Row],[Rating]]&lt;=5,"4 - 5")</f>
        <v>4 - 5</v>
      </c>
      <c r="J220" s="2">
        <v>9</v>
      </c>
      <c r="K220" s="2" t="str" cm="1">
        <f t="array" ref="K220">_xlfn.IFS(a.nike.original.man[[#This Row],[Reviews]]&lt;=7, "Below Average", a.nike.original.man[[#This Row],[Reviews]]&gt;=8, "Average +")</f>
        <v>Average +</v>
      </c>
      <c r="L220" s="12" t="s">
        <v>1558</v>
      </c>
      <c r="M220" s="2" t="s">
        <v>1470</v>
      </c>
    </row>
    <row r="221" spans="1:13" x14ac:dyDescent="0.2">
      <c r="A221" s="2" t="s">
        <v>37</v>
      </c>
      <c r="B221" s="2" t="s">
        <v>610</v>
      </c>
      <c r="C221" s="331">
        <v>0</v>
      </c>
      <c r="D221" s="331">
        <v>100</v>
      </c>
      <c r="E221" s="116">
        <v>0</v>
      </c>
      <c r="F221" s="2" t="s">
        <v>9</v>
      </c>
      <c r="G221" s="2" t="s">
        <v>611</v>
      </c>
      <c r="H221" s="2">
        <v>5</v>
      </c>
      <c r="I221" s="2" t="str" cm="1">
        <f t="array" ref="I221">_xlfn.IFS(a.nike.original.man[[#This Row],[Rating]]&lt;=2.9, "0 - 2.9",a.nike.original.man[[#This Row],[Rating]]&lt;=3.9,"3 - 3.9", a.nike.original.man[[#This Row],[Rating]]&lt;=5,"4 - 5")</f>
        <v>4 - 5</v>
      </c>
      <c r="J221" s="2">
        <v>1</v>
      </c>
      <c r="K221" s="2" t="str" cm="1">
        <f t="array" ref="K221">_xlfn.IFS(a.nike.original.man[[#This Row],[Reviews]]&lt;=7, "Below Average", a.nike.original.man[[#This Row],[Reviews]]&gt;=8, "Average +")</f>
        <v>Below Average</v>
      </c>
      <c r="L221" s="12" t="s">
        <v>1559</v>
      </c>
      <c r="M221" s="2" t="s">
        <v>1470</v>
      </c>
    </row>
    <row r="222" spans="1:13" x14ac:dyDescent="0.2">
      <c r="A222" s="1" t="s">
        <v>132</v>
      </c>
      <c r="B222" s="1" t="s">
        <v>612</v>
      </c>
      <c r="C222" s="330">
        <v>0</v>
      </c>
      <c r="D222" s="330">
        <v>130</v>
      </c>
      <c r="E222" s="116">
        <v>0</v>
      </c>
      <c r="F222" s="1" t="s">
        <v>9</v>
      </c>
      <c r="G222" s="1" t="s">
        <v>613</v>
      </c>
      <c r="H222" s="1">
        <v>0</v>
      </c>
      <c r="I222" s="1" t="str" cm="1">
        <f t="array" ref="I222">_xlfn.IFS(a.nike.original.man[[#This Row],[Rating]]&lt;=2.9, "0 - 2.9",a.nike.original.man[[#This Row],[Rating]]&lt;=3.9,"3 - 3.9", a.nike.original.man[[#This Row],[Rating]]&lt;=5,"4 - 5")</f>
        <v>0 - 2.9</v>
      </c>
      <c r="J222" s="1">
        <v>0</v>
      </c>
      <c r="K222" s="1" t="str" cm="1">
        <f t="array" ref="K222">_xlfn.IFS(a.nike.original.man[[#This Row],[Reviews]]&lt;=7, "Below Average", a.nike.original.man[[#This Row],[Reviews]]&gt;=8, "Average +")</f>
        <v>Below Average</v>
      </c>
      <c r="L222" s="11" t="s">
        <v>1559</v>
      </c>
      <c r="M222" s="1" t="s">
        <v>1470</v>
      </c>
    </row>
    <row r="223" spans="1:13" x14ac:dyDescent="0.2">
      <c r="A223" s="2" t="s">
        <v>614</v>
      </c>
      <c r="B223" s="2" t="s">
        <v>615</v>
      </c>
      <c r="C223" s="331">
        <v>0</v>
      </c>
      <c r="D223" s="331">
        <v>120</v>
      </c>
      <c r="E223" s="116">
        <v>0</v>
      </c>
      <c r="F223" s="2" t="s">
        <v>9</v>
      </c>
      <c r="G223" s="2" t="s">
        <v>616</v>
      </c>
      <c r="H223" s="2">
        <v>0</v>
      </c>
      <c r="I223" s="2" t="str" cm="1">
        <f t="array" ref="I223">_xlfn.IFS(a.nike.original.man[[#This Row],[Rating]]&lt;=2.9, "0 - 2.9",a.nike.original.man[[#This Row],[Rating]]&lt;=3.9,"3 - 3.9", a.nike.original.man[[#This Row],[Rating]]&lt;=5,"4 - 5")</f>
        <v>0 - 2.9</v>
      </c>
      <c r="J223" s="2">
        <v>0</v>
      </c>
      <c r="K223" s="2" t="str" cm="1">
        <f t="array" ref="K223">_xlfn.IFS(a.nike.original.man[[#This Row],[Reviews]]&lt;=7, "Below Average", a.nike.original.man[[#This Row],[Reviews]]&gt;=8, "Average +")</f>
        <v>Below Average</v>
      </c>
      <c r="L223" s="12" t="s">
        <v>1559</v>
      </c>
      <c r="M223" s="2" t="s">
        <v>1470</v>
      </c>
    </row>
    <row r="224" spans="1:13" x14ac:dyDescent="0.2">
      <c r="A224" s="2" t="s">
        <v>620</v>
      </c>
      <c r="B224" s="2" t="s">
        <v>621</v>
      </c>
      <c r="C224" s="331">
        <v>0</v>
      </c>
      <c r="D224" s="331">
        <v>110</v>
      </c>
      <c r="E224" s="116">
        <v>0</v>
      </c>
      <c r="F224" s="2" t="s">
        <v>9</v>
      </c>
      <c r="G224" s="2" t="s">
        <v>622</v>
      </c>
      <c r="H224" s="2">
        <v>5</v>
      </c>
      <c r="I224" s="2" t="str" cm="1">
        <f t="array" ref="I224">_xlfn.IFS(a.nike.original.man[[#This Row],[Rating]]&lt;=2.9, "0 - 2.9",a.nike.original.man[[#This Row],[Rating]]&lt;=3.9,"3 - 3.9", a.nike.original.man[[#This Row],[Rating]]&lt;=5,"4 - 5")</f>
        <v>4 - 5</v>
      </c>
      <c r="J224" s="2">
        <v>2</v>
      </c>
      <c r="K224" s="2" t="str" cm="1">
        <f t="array" ref="K224">_xlfn.IFS(a.nike.original.man[[#This Row],[Reviews]]&lt;=7, "Below Average", a.nike.original.man[[#This Row],[Reviews]]&gt;=8, "Average +")</f>
        <v>Below Average</v>
      </c>
      <c r="L224" s="12" t="s">
        <v>1560</v>
      </c>
      <c r="M224" s="2" t="s">
        <v>1470</v>
      </c>
    </row>
    <row r="225" spans="1:13" x14ac:dyDescent="0.2">
      <c r="A225" s="1" t="s">
        <v>623</v>
      </c>
      <c r="B225" s="1" t="s">
        <v>624</v>
      </c>
      <c r="C225" s="330">
        <v>159.94999999999999</v>
      </c>
      <c r="D225" s="330">
        <v>112</v>
      </c>
      <c r="E225" s="116">
        <v>0.3</v>
      </c>
      <c r="F225" s="1" t="s">
        <v>9</v>
      </c>
      <c r="G225" s="1" t="s">
        <v>625</v>
      </c>
      <c r="H225" s="1">
        <v>5</v>
      </c>
      <c r="I225" s="1" t="str" cm="1">
        <f t="array" ref="I225">_xlfn.IFS(a.nike.original.man[[#This Row],[Rating]]&lt;=2.9, "0 - 2.9",a.nike.original.man[[#This Row],[Rating]]&lt;=3.9,"3 - 3.9", a.nike.original.man[[#This Row],[Rating]]&lt;=5,"4 - 5")</f>
        <v>4 - 5</v>
      </c>
      <c r="J225" s="1">
        <v>1</v>
      </c>
      <c r="K225" s="1" t="str" cm="1">
        <f t="array" ref="K225">_xlfn.IFS(a.nike.original.man[[#This Row],[Reviews]]&lt;=7, "Below Average", a.nike.original.man[[#This Row],[Reviews]]&gt;=8, "Average +")</f>
        <v>Below Average</v>
      </c>
      <c r="L225" s="11" t="s">
        <v>1560</v>
      </c>
      <c r="M225" s="1" t="s">
        <v>1470</v>
      </c>
    </row>
    <row r="226" spans="1:13" x14ac:dyDescent="0.2">
      <c r="A226" s="1" t="s">
        <v>617</v>
      </c>
      <c r="B226" s="1" t="s">
        <v>618</v>
      </c>
      <c r="C226" s="330">
        <v>0</v>
      </c>
      <c r="D226" s="330">
        <v>45</v>
      </c>
      <c r="E226" s="116">
        <v>0</v>
      </c>
      <c r="F226" s="1" t="s">
        <v>9</v>
      </c>
      <c r="G226" s="1" t="s">
        <v>619</v>
      </c>
      <c r="H226" s="1">
        <v>0</v>
      </c>
      <c r="I226" s="1" t="str" cm="1">
        <f t="array" ref="I226">_xlfn.IFS(a.nike.original.man[[#This Row],[Rating]]&lt;=2.9, "0 - 2.9",a.nike.original.man[[#This Row],[Rating]]&lt;=3.9,"3 - 3.9", a.nike.original.man[[#This Row],[Rating]]&lt;=5,"4 - 5")</f>
        <v>0 - 2.9</v>
      </c>
      <c r="J226" s="1">
        <v>0</v>
      </c>
      <c r="K226" s="1" t="str" cm="1">
        <f t="array" ref="K226">_xlfn.IFS(a.nike.original.man[[#This Row],[Reviews]]&lt;=7, "Below Average", a.nike.original.man[[#This Row],[Reviews]]&gt;=8, "Average +")</f>
        <v>Below Average</v>
      </c>
      <c r="L226" s="11" t="s">
        <v>1560</v>
      </c>
      <c r="M226" s="1" t="s">
        <v>1470</v>
      </c>
    </row>
    <row r="227" spans="1:13" x14ac:dyDescent="0.2">
      <c r="A227" s="2" t="s">
        <v>626</v>
      </c>
      <c r="B227" s="2" t="s">
        <v>627</v>
      </c>
      <c r="C227" s="331">
        <v>0</v>
      </c>
      <c r="D227" s="331">
        <v>90</v>
      </c>
      <c r="E227" s="116">
        <v>0</v>
      </c>
      <c r="F227" s="2" t="s">
        <v>9</v>
      </c>
      <c r="G227" s="2" t="s">
        <v>628</v>
      </c>
      <c r="H227" s="2">
        <v>5</v>
      </c>
      <c r="I227" s="2" t="str" cm="1">
        <f t="array" ref="I227">_xlfn.IFS(a.nike.original.man[[#This Row],[Rating]]&lt;=2.9, "0 - 2.9",a.nike.original.man[[#This Row],[Rating]]&lt;=3.9,"3 - 3.9", a.nike.original.man[[#This Row],[Rating]]&lt;=5,"4 - 5")</f>
        <v>4 - 5</v>
      </c>
      <c r="J227" s="2">
        <v>2</v>
      </c>
      <c r="K227" s="2" t="str" cm="1">
        <f t="array" ref="K227">_xlfn.IFS(a.nike.original.man[[#This Row],[Reviews]]&lt;=7, "Below Average", a.nike.original.man[[#This Row],[Reviews]]&gt;=8, "Average +")</f>
        <v>Below Average</v>
      </c>
      <c r="L227" s="12" t="s">
        <v>1561</v>
      </c>
      <c r="M227" s="2" t="s">
        <v>1470</v>
      </c>
    </row>
    <row r="228" spans="1:13" x14ac:dyDescent="0.2">
      <c r="A228" s="1" t="s">
        <v>629</v>
      </c>
      <c r="B228" s="1" t="s">
        <v>630</v>
      </c>
      <c r="C228" s="330">
        <v>129.94999999999999</v>
      </c>
      <c r="D228" s="330">
        <v>78</v>
      </c>
      <c r="E228" s="116">
        <v>0.4</v>
      </c>
      <c r="F228" s="1" t="s">
        <v>9</v>
      </c>
      <c r="G228" s="1" t="s">
        <v>631</v>
      </c>
      <c r="H228" s="1">
        <v>3.7</v>
      </c>
      <c r="I228" s="1" t="str" cm="1">
        <f t="array" ref="I228">_xlfn.IFS(a.nike.original.man[[#This Row],[Rating]]&lt;=2.9, "0 - 2.9",a.nike.original.man[[#This Row],[Rating]]&lt;=3.9,"3 - 3.9", a.nike.original.man[[#This Row],[Rating]]&lt;=5,"4 - 5")</f>
        <v>3 - 3.9</v>
      </c>
      <c r="J228" s="1">
        <v>19</v>
      </c>
      <c r="K228" s="1" t="str" cm="1">
        <f t="array" ref="K228">_xlfn.IFS(a.nike.original.man[[#This Row],[Reviews]]&lt;=7, "Below Average", a.nike.original.man[[#This Row],[Reviews]]&gt;=8, "Average +")</f>
        <v>Average +</v>
      </c>
      <c r="L228" s="11" t="s">
        <v>1561</v>
      </c>
      <c r="M228" s="1" t="s">
        <v>1470</v>
      </c>
    </row>
    <row r="229" spans="1:13" x14ac:dyDescent="0.2">
      <c r="A229" s="2" t="s">
        <v>632</v>
      </c>
      <c r="B229" s="2" t="s">
        <v>633</v>
      </c>
      <c r="C229" s="331">
        <v>0</v>
      </c>
      <c r="D229" s="331">
        <v>160</v>
      </c>
      <c r="E229" s="116">
        <v>0</v>
      </c>
      <c r="F229" s="2" t="s">
        <v>9</v>
      </c>
      <c r="G229" s="2" t="s">
        <v>634</v>
      </c>
      <c r="H229" s="2">
        <v>0</v>
      </c>
      <c r="I229" s="2" t="str" cm="1">
        <f t="array" ref="I229">_xlfn.IFS(a.nike.original.man[[#This Row],[Rating]]&lt;=2.9, "0 - 2.9",a.nike.original.man[[#This Row],[Rating]]&lt;=3.9,"3 - 3.9", a.nike.original.man[[#This Row],[Rating]]&lt;=5,"4 - 5")</f>
        <v>0 - 2.9</v>
      </c>
      <c r="J229" s="2">
        <v>0</v>
      </c>
      <c r="K229" s="2" t="str" cm="1">
        <f t="array" ref="K229">_xlfn.IFS(a.nike.original.man[[#This Row],[Reviews]]&lt;=7, "Below Average", a.nike.original.man[[#This Row],[Reviews]]&gt;=8, "Average +")</f>
        <v>Below Average</v>
      </c>
      <c r="L229" s="12" t="s">
        <v>1561</v>
      </c>
      <c r="M229" s="2" t="s">
        <v>1470</v>
      </c>
    </row>
    <row r="230" spans="1:13" x14ac:dyDescent="0.2">
      <c r="A230" s="1" t="s">
        <v>7</v>
      </c>
      <c r="B230" s="1" t="s">
        <v>635</v>
      </c>
      <c r="C230" s="330">
        <v>79.95</v>
      </c>
      <c r="D230" s="330">
        <v>56</v>
      </c>
      <c r="E230" s="116">
        <v>0.3</v>
      </c>
      <c r="F230" s="1" t="s">
        <v>9</v>
      </c>
      <c r="G230" s="1" t="s">
        <v>636</v>
      </c>
      <c r="H230" s="1">
        <v>4.4000000000000004</v>
      </c>
      <c r="I230" s="1" t="str" cm="1">
        <f t="array" ref="I230">_xlfn.IFS(a.nike.original.man[[#This Row],[Rating]]&lt;=2.9, "0 - 2.9",a.nike.original.man[[#This Row],[Rating]]&lt;=3.9,"3 - 3.9", a.nike.original.man[[#This Row],[Rating]]&lt;=5,"4 - 5")</f>
        <v>4 - 5</v>
      </c>
      <c r="J230" s="1">
        <v>5</v>
      </c>
      <c r="K230" s="1" t="str" cm="1">
        <f t="array" ref="K230">_xlfn.IFS(a.nike.original.man[[#This Row],[Reviews]]&lt;=7, "Below Average", a.nike.original.man[[#This Row],[Reviews]]&gt;=8, "Average +")</f>
        <v>Below Average</v>
      </c>
      <c r="L230" s="11" t="s">
        <v>1562</v>
      </c>
      <c r="M230" s="1" t="s">
        <v>1470</v>
      </c>
    </row>
    <row r="231" spans="1:13" x14ac:dyDescent="0.2">
      <c r="A231" s="2" t="s">
        <v>637</v>
      </c>
      <c r="B231" s="2" t="s">
        <v>638</v>
      </c>
      <c r="C231" s="331">
        <v>0</v>
      </c>
      <c r="D231" s="331">
        <v>110</v>
      </c>
      <c r="E231" s="116">
        <v>0</v>
      </c>
      <c r="F231" s="2" t="s">
        <v>9</v>
      </c>
      <c r="G231" s="2" t="s">
        <v>639</v>
      </c>
      <c r="H231" s="2">
        <v>4.8</v>
      </c>
      <c r="I231" s="2" t="str" cm="1">
        <f t="array" ref="I231">_xlfn.IFS(a.nike.original.man[[#This Row],[Rating]]&lt;=2.9, "0 - 2.9",a.nike.original.man[[#This Row],[Rating]]&lt;=3.9,"3 - 3.9", a.nike.original.man[[#This Row],[Rating]]&lt;=5,"4 - 5")</f>
        <v>4 - 5</v>
      </c>
      <c r="J231" s="2">
        <v>5</v>
      </c>
      <c r="K231" s="2" t="str" cm="1">
        <f t="array" ref="K231">_xlfn.IFS(a.nike.original.man[[#This Row],[Reviews]]&lt;=7, "Below Average", a.nike.original.man[[#This Row],[Reviews]]&gt;=8, "Average +")</f>
        <v>Below Average</v>
      </c>
      <c r="L231" s="12" t="s">
        <v>1562</v>
      </c>
      <c r="M231" s="2" t="s">
        <v>1470</v>
      </c>
    </row>
    <row r="232" spans="1:13" x14ac:dyDescent="0.2">
      <c r="A232" s="1" t="s">
        <v>640</v>
      </c>
      <c r="B232" s="1" t="s">
        <v>641</v>
      </c>
      <c r="C232" s="330">
        <v>139.94999999999999</v>
      </c>
      <c r="D232" s="330">
        <v>112</v>
      </c>
      <c r="E232" s="116">
        <v>0.2</v>
      </c>
      <c r="F232" s="1" t="s">
        <v>9</v>
      </c>
      <c r="G232" s="1" t="s">
        <v>642</v>
      </c>
      <c r="H232" s="1">
        <v>4.5999999999999996</v>
      </c>
      <c r="I232" s="1" t="str" cm="1">
        <f t="array" ref="I232">_xlfn.IFS(a.nike.original.man[[#This Row],[Rating]]&lt;=2.9, "0 - 2.9",a.nike.original.man[[#This Row],[Rating]]&lt;=3.9,"3 - 3.9", a.nike.original.man[[#This Row],[Rating]]&lt;=5,"4 - 5")</f>
        <v>4 - 5</v>
      </c>
      <c r="J232" s="1">
        <v>5</v>
      </c>
      <c r="K232" s="1" t="str" cm="1">
        <f t="array" ref="K232">_xlfn.IFS(a.nike.original.man[[#This Row],[Reviews]]&lt;=7, "Below Average", a.nike.original.man[[#This Row],[Reviews]]&gt;=8, "Average +")</f>
        <v>Below Average</v>
      </c>
      <c r="L232" s="11" t="s">
        <v>1562</v>
      </c>
      <c r="M232" s="1" t="s">
        <v>1470</v>
      </c>
    </row>
    <row r="233" spans="1:13" x14ac:dyDescent="0.2">
      <c r="A233" s="2" t="s">
        <v>643</v>
      </c>
      <c r="B233" s="2" t="s">
        <v>644</v>
      </c>
      <c r="C233" s="331">
        <v>139.94999999999999</v>
      </c>
      <c r="D233" s="331">
        <v>84</v>
      </c>
      <c r="E233" s="116">
        <v>0.4</v>
      </c>
      <c r="F233" s="2" t="s">
        <v>9</v>
      </c>
      <c r="G233" s="2" t="s">
        <v>645</v>
      </c>
      <c r="H233" s="2">
        <v>0</v>
      </c>
      <c r="I233" s="2" t="str" cm="1">
        <f t="array" ref="I233">_xlfn.IFS(a.nike.original.man[[#This Row],[Rating]]&lt;=2.9, "0 - 2.9",a.nike.original.man[[#This Row],[Rating]]&lt;=3.9,"3 - 3.9", a.nike.original.man[[#This Row],[Rating]]&lt;=5,"4 - 5")</f>
        <v>0 - 2.9</v>
      </c>
      <c r="J233" s="2">
        <v>0</v>
      </c>
      <c r="K233" s="2" t="str" cm="1">
        <f t="array" ref="K233">_xlfn.IFS(a.nike.original.man[[#This Row],[Reviews]]&lt;=7, "Below Average", a.nike.original.man[[#This Row],[Reviews]]&gt;=8, "Average +")</f>
        <v>Below Average</v>
      </c>
      <c r="L233" s="12" t="s">
        <v>1563</v>
      </c>
      <c r="M233" s="2" t="s">
        <v>1470</v>
      </c>
    </row>
    <row r="234" spans="1:13" x14ac:dyDescent="0.2">
      <c r="A234" s="1" t="s">
        <v>646</v>
      </c>
      <c r="B234" s="1" t="s">
        <v>647</v>
      </c>
      <c r="C234" s="330">
        <v>0</v>
      </c>
      <c r="D234" s="330">
        <v>100</v>
      </c>
      <c r="E234" s="116">
        <v>0</v>
      </c>
      <c r="F234" s="1" t="s">
        <v>9</v>
      </c>
      <c r="G234" s="1" t="s">
        <v>648</v>
      </c>
      <c r="H234" s="1">
        <v>0</v>
      </c>
      <c r="I234" s="1" t="str" cm="1">
        <f t="array" ref="I234">_xlfn.IFS(a.nike.original.man[[#This Row],[Rating]]&lt;=2.9, "0 - 2.9",a.nike.original.man[[#This Row],[Rating]]&lt;=3.9,"3 - 3.9", a.nike.original.man[[#This Row],[Rating]]&lt;=5,"4 - 5")</f>
        <v>0 - 2.9</v>
      </c>
      <c r="J234" s="1">
        <v>0</v>
      </c>
      <c r="K234" s="1" t="str" cm="1">
        <f t="array" ref="K234">_xlfn.IFS(a.nike.original.man[[#This Row],[Reviews]]&lt;=7, "Below Average", a.nike.original.man[[#This Row],[Reviews]]&gt;=8, "Average +")</f>
        <v>Below Average</v>
      </c>
      <c r="L234" s="11" t="s">
        <v>1564</v>
      </c>
      <c r="M234" s="1" t="s">
        <v>1470</v>
      </c>
    </row>
    <row r="235" spans="1:13" x14ac:dyDescent="0.2">
      <c r="A235" s="2" t="s">
        <v>649</v>
      </c>
      <c r="B235" s="2" t="s">
        <v>650</v>
      </c>
      <c r="C235" s="331">
        <v>0</v>
      </c>
      <c r="D235" s="331">
        <v>150</v>
      </c>
      <c r="E235" s="116">
        <v>0</v>
      </c>
      <c r="F235" s="2" t="s">
        <v>9</v>
      </c>
      <c r="G235" s="2" t="s">
        <v>651</v>
      </c>
      <c r="H235" s="2">
        <v>3.3</v>
      </c>
      <c r="I235" s="2" t="str" cm="1">
        <f t="array" ref="I235">_xlfn.IFS(a.nike.original.man[[#This Row],[Rating]]&lt;=2.9, "0 - 2.9",a.nike.original.man[[#This Row],[Rating]]&lt;=3.9,"3 - 3.9", a.nike.original.man[[#This Row],[Rating]]&lt;=5,"4 - 5")</f>
        <v>3 - 3.9</v>
      </c>
      <c r="J235" s="2">
        <v>13</v>
      </c>
      <c r="K235" s="2" t="str" cm="1">
        <f t="array" ref="K235">_xlfn.IFS(a.nike.original.man[[#This Row],[Reviews]]&lt;=7, "Below Average", a.nike.original.man[[#This Row],[Reviews]]&gt;=8, "Average +")</f>
        <v>Average +</v>
      </c>
      <c r="L235" s="12" t="s">
        <v>1565</v>
      </c>
      <c r="M235" s="2" t="s">
        <v>1470</v>
      </c>
    </row>
    <row r="236" spans="1:13" x14ac:dyDescent="0.2">
      <c r="A236" s="1" t="s">
        <v>652</v>
      </c>
      <c r="B236" s="1" t="s">
        <v>653</v>
      </c>
      <c r="C236" s="330">
        <v>0</v>
      </c>
      <c r="D236" s="330">
        <v>20</v>
      </c>
      <c r="E236" s="116">
        <v>0</v>
      </c>
      <c r="F236" s="1" t="s">
        <v>9</v>
      </c>
      <c r="G236" s="1" t="s">
        <v>654</v>
      </c>
      <c r="H236" s="1">
        <v>0</v>
      </c>
      <c r="I236" s="1" t="str" cm="1">
        <f t="array" ref="I236">_xlfn.IFS(a.nike.original.man[[#This Row],[Rating]]&lt;=2.9, "0 - 2.9",a.nike.original.man[[#This Row],[Rating]]&lt;=3.9,"3 - 3.9", a.nike.original.man[[#This Row],[Rating]]&lt;=5,"4 - 5")</f>
        <v>0 - 2.9</v>
      </c>
      <c r="J236" s="1">
        <v>0</v>
      </c>
      <c r="K236" s="1" t="str" cm="1">
        <f t="array" ref="K236">_xlfn.IFS(a.nike.original.man[[#This Row],[Reviews]]&lt;=7, "Below Average", a.nike.original.man[[#This Row],[Reviews]]&gt;=8, "Average +")</f>
        <v>Below Average</v>
      </c>
      <c r="L236" s="11" t="s">
        <v>1565</v>
      </c>
      <c r="M236" s="1" t="s">
        <v>1470</v>
      </c>
    </row>
    <row r="237" spans="1:13" x14ac:dyDescent="0.2">
      <c r="A237" s="2" t="s">
        <v>655</v>
      </c>
      <c r="B237" s="2" t="s">
        <v>656</v>
      </c>
      <c r="C237" s="331">
        <v>0</v>
      </c>
      <c r="D237" s="331">
        <v>55</v>
      </c>
      <c r="E237" s="116">
        <v>0</v>
      </c>
      <c r="F237" s="2" t="s">
        <v>9</v>
      </c>
      <c r="G237" s="2" t="s">
        <v>657</v>
      </c>
      <c r="H237" s="2">
        <v>0</v>
      </c>
      <c r="I237" s="2" t="str" cm="1">
        <f t="array" ref="I237">_xlfn.IFS(a.nike.original.man[[#This Row],[Rating]]&lt;=2.9, "0 - 2.9",a.nike.original.man[[#This Row],[Rating]]&lt;=3.9,"3 - 3.9", a.nike.original.man[[#This Row],[Rating]]&lt;=5,"4 - 5")</f>
        <v>0 - 2.9</v>
      </c>
      <c r="J237" s="2">
        <v>0</v>
      </c>
      <c r="K237" s="2" t="str" cm="1">
        <f t="array" ref="K237">_xlfn.IFS(a.nike.original.man[[#This Row],[Reviews]]&lt;=7, "Below Average", a.nike.original.man[[#This Row],[Reviews]]&gt;=8, "Average +")</f>
        <v>Below Average</v>
      </c>
      <c r="L237" s="12" t="s">
        <v>1566</v>
      </c>
      <c r="M237" s="2" t="s">
        <v>1470</v>
      </c>
    </row>
    <row r="238" spans="1:13" x14ac:dyDescent="0.2">
      <c r="A238" s="1" t="s">
        <v>126</v>
      </c>
      <c r="B238" s="1" t="s">
        <v>127</v>
      </c>
      <c r="C238" s="330">
        <v>0</v>
      </c>
      <c r="D238" s="330">
        <v>55</v>
      </c>
      <c r="E238" s="116">
        <v>0</v>
      </c>
      <c r="F238" s="1" t="s">
        <v>9</v>
      </c>
      <c r="G238" s="1" t="s">
        <v>128</v>
      </c>
      <c r="H238" s="1">
        <v>0</v>
      </c>
      <c r="I238" s="1" t="str" cm="1">
        <f t="array" ref="I238">_xlfn.IFS(a.nike.original.man[[#This Row],[Rating]]&lt;=2.9, "0 - 2.9",a.nike.original.man[[#This Row],[Rating]]&lt;=3.9,"3 - 3.9", a.nike.original.man[[#This Row],[Rating]]&lt;=5,"4 - 5")</f>
        <v>0 - 2.9</v>
      </c>
      <c r="J238" s="1">
        <v>0</v>
      </c>
      <c r="K238" s="1" t="str" cm="1">
        <f t="array" ref="K238">_xlfn.IFS(a.nike.original.man[[#This Row],[Reviews]]&lt;=7, "Below Average", a.nike.original.man[[#This Row],[Reviews]]&gt;=8, "Average +")</f>
        <v>Below Average</v>
      </c>
      <c r="L238" s="11" t="s">
        <v>1566</v>
      </c>
      <c r="M238" s="1" t="s">
        <v>1470</v>
      </c>
    </row>
    <row r="239" spans="1:13" x14ac:dyDescent="0.2">
      <c r="A239" s="2" t="s">
        <v>147</v>
      </c>
      <c r="B239" s="2" t="s">
        <v>148</v>
      </c>
      <c r="C239" s="331">
        <v>0</v>
      </c>
      <c r="D239" s="331">
        <v>230</v>
      </c>
      <c r="E239" s="116">
        <v>0</v>
      </c>
      <c r="F239" s="2" t="s">
        <v>9</v>
      </c>
      <c r="G239" s="2" t="s">
        <v>149</v>
      </c>
      <c r="H239" s="2">
        <v>0</v>
      </c>
      <c r="I239" s="2" t="str" cm="1">
        <f t="array" ref="I239">_xlfn.IFS(a.nike.original.man[[#This Row],[Rating]]&lt;=2.9, "0 - 2.9",a.nike.original.man[[#This Row],[Rating]]&lt;=3.9,"3 - 3.9", a.nike.original.man[[#This Row],[Rating]]&lt;=5,"4 - 5")</f>
        <v>0 - 2.9</v>
      </c>
      <c r="J239" s="2">
        <v>0</v>
      </c>
      <c r="K239" s="2" t="str" cm="1">
        <f t="array" ref="K239">_xlfn.IFS(a.nike.original.man[[#This Row],[Reviews]]&lt;=7, "Below Average", a.nike.original.man[[#This Row],[Reviews]]&gt;=8, "Average +")</f>
        <v>Below Average</v>
      </c>
      <c r="L239" s="12" t="s">
        <v>1567</v>
      </c>
      <c r="M239" s="2" t="s">
        <v>1470</v>
      </c>
    </row>
    <row r="240" spans="1:13" x14ac:dyDescent="0.2">
      <c r="A240" s="1" t="s">
        <v>179</v>
      </c>
      <c r="B240" s="1" t="s">
        <v>180</v>
      </c>
      <c r="C240" s="330">
        <v>0</v>
      </c>
      <c r="D240" s="330">
        <v>80</v>
      </c>
      <c r="E240" s="116">
        <v>0</v>
      </c>
      <c r="F240" s="1" t="s">
        <v>9</v>
      </c>
      <c r="G240" s="1" t="s">
        <v>181</v>
      </c>
      <c r="H240" s="1">
        <v>0</v>
      </c>
      <c r="I240" s="1" t="str" cm="1">
        <f t="array" ref="I240">_xlfn.IFS(a.nike.original.man[[#This Row],[Rating]]&lt;=2.9, "0 - 2.9",a.nike.original.man[[#This Row],[Rating]]&lt;=3.9,"3 - 3.9", a.nike.original.man[[#This Row],[Rating]]&lt;=5,"4 - 5")</f>
        <v>0 - 2.9</v>
      </c>
      <c r="J240" s="1">
        <v>0</v>
      </c>
      <c r="K240" s="1" t="str" cm="1">
        <f t="array" ref="K240">_xlfn.IFS(a.nike.original.man[[#This Row],[Reviews]]&lt;=7, "Below Average", a.nike.original.man[[#This Row],[Reviews]]&gt;=8, "Average +")</f>
        <v>Below Average</v>
      </c>
      <c r="L240" s="11" t="s">
        <v>1568</v>
      </c>
      <c r="M240" s="1" t="s">
        <v>1470</v>
      </c>
    </row>
    <row r="241" spans="1:13" x14ac:dyDescent="0.2">
      <c r="A241" s="1" t="s">
        <v>188</v>
      </c>
      <c r="B241" s="1" t="s">
        <v>189</v>
      </c>
      <c r="C241" s="330">
        <v>0</v>
      </c>
      <c r="D241" s="330">
        <v>170</v>
      </c>
      <c r="E241" s="116">
        <v>0</v>
      </c>
      <c r="F241" s="1" t="s">
        <v>9</v>
      </c>
      <c r="G241" s="1" t="s">
        <v>190</v>
      </c>
      <c r="H241" s="1">
        <v>4.5</v>
      </c>
      <c r="I241" s="1" t="str" cm="1">
        <f t="array" ref="I241">_xlfn.IFS(a.nike.original.man[[#This Row],[Rating]]&lt;=2.9, "0 - 2.9",a.nike.original.man[[#This Row],[Rating]]&lt;=3.9,"3 - 3.9", a.nike.original.man[[#This Row],[Rating]]&lt;=5,"4 - 5")</f>
        <v>4 - 5</v>
      </c>
      <c r="J241" s="1">
        <v>47</v>
      </c>
      <c r="K241" s="1" t="str" cm="1">
        <f t="array" ref="K241">_xlfn.IFS(a.nike.original.man[[#This Row],[Reviews]]&lt;=7, "Below Average", a.nike.original.man[[#This Row],[Reviews]]&gt;=8, "Average +")</f>
        <v>Average +</v>
      </c>
      <c r="L241" s="11" t="s">
        <v>1569</v>
      </c>
      <c r="M241" s="1" t="s">
        <v>1470</v>
      </c>
    </row>
    <row r="242" spans="1:13" x14ac:dyDescent="0.2">
      <c r="A242" s="2" t="s">
        <v>331</v>
      </c>
      <c r="B242" s="2" t="s">
        <v>332</v>
      </c>
      <c r="C242" s="331">
        <v>0</v>
      </c>
      <c r="D242" s="331">
        <v>80</v>
      </c>
      <c r="E242" s="116">
        <v>0</v>
      </c>
      <c r="F242" s="2" t="s">
        <v>9</v>
      </c>
      <c r="G242" s="2" t="s">
        <v>333</v>
      </c>
      <c r="H242" s="2">
        <v>0</v>
      </c>
      <c r="I242" s="2" t="str" cm="1">
        <f t="array" ref="I242">_xlfn.IFS(a.nike.original.man[[#This Row],[Rating]]&lt;=2.9, "0 - 2.9",a.nike.original.man[[#This Row],[Rating]]&lt;=3.9,"3 - 3.9", a.nike.original.man[[#This Row],[Rating]]&lt;=5,"4 - 5")</f>
        <v>0 - 2.9</v>
      </c>
      <c r="J242" s="2">
        <v>0</v>
      </c>
      <c r="K242" s="2" t="str" cm="1">
        <f t="array" ref="K242">_xlfn.IFS(a.nike.original.man[[#This Row],[Reviews]]&lt;=7, "Below Average", a.nike.original.man[[#This Row],[Reviews]]&gt;=8, "Average +")</f>
        <v>Below Average</v>
      </c>
      <c r="L242" s="12" t="s">
        <v>1569</v>
      </c>
      <c r="M242" s="2" t="s">
        <v>1470</v>
      </c>
    </row>
    <row r="243" spans="1:13" x14ac:dyDescent="0.2">
      <c r="A243" s="2" t="s">
        <v>658</v>
      </c>
      <c r="B243" s="2" t="s">
        <v>659</v>
      </c>
      <c r="C243" s="331">
        <v>0</v>
      </c>
      <c r="D243" s="331">
        <v>25</v>
      </c>
      <c r="E243" s="116">
        <v>0</v>
      </c>
      <c r="F243" s="2" t="s">
        <v>9</v>
      </c>
      <c r="G243" s="2" t="s">
        <v>660</v>
      </c>
      <c r="H243" s="2">
        <v>4.3</v>
      </c>
      <c r="I243" s="2" t="str" cm="1">
        <f t="array" ref="I243">_xlfn.IFS(a.nike.original.man[[#This Row],[Rating]]&lt;=2.9, "0 - 2.9",a.nike.original.man[[#This Row],[Rating]]&lt;=3.9,"3 - 3.9", a.nike.original.man[[#This Row],[Rating]]&lt;=5,"4 - 5")</f>
        <v>4 - 5</v>
      </c>
      <c r="J243" s="2">
        <v>12</v>
      </c>
      <c r="K243" s="2" t="str" cm="1">
        <f t="array" ref="K243">_xlfn.IFS(a.nike.original.man[[#This Row],[Reviews]]&lt;=7, "Below Average", a.nike.original.man[[#This Row],[Reviews]]&gt;=8, "Average +")</f>
        <v>Average +</v>
      </c>
      <c r="L243" s="12" t="s">
        <v>1570</v>
      </c>
      <c r="M243" s="2" t="s">
        <v>1470</v>
      </c>
    </row>
    <row r="244" spans="1:13" x14ac:dyDescent="0.2">
      <c r="A244" s="2" t="s">
        <v>69</v>
      </c>
      <c r="B244" s="2" t="s">
        <v>70</v>
      </c>
      <c r="C244" s="331">
        <v>0</v>
      </c>
      <c r="D244" s="331">
        <v>150</v>
      </c>
      <c r="E244" s="116">
        <v>0</v>
      </c>
      <c r="F244" s="2" t="s">
        <v>9</v>
      </c>
      <c r="G244" s="2" t="s">
        <v>71</v>
      </c>
      <c r="H244" s="2">
        <v>5</v>
      </c>
      <c r="I244" s="2" t="str" cm="1">
        <f t="array" ref="I244">_xlfn.IFS(a.nike.original.man[[#This Row],[Rating]]&lt;=2.9, "0 - 2.9",a.nike.original.man[[#This Row],[Rating]]&lt;=3.9,"3 - 3.9", a.nike.original.man[[#This Row],[Rating]]&lt;=5,"4 - 5")</f>
        <v>4 - 5</v>
      </c>
      <c r="J244" s="2">
        <v>2</v>
      </c>
      <c r="K244" s="2" t="str" cm="1">
        <f t="array" ref="K244">_xlfn.IFS(a.nike.original.man[[#This Row],[Reviews]]&lt;=7, "Below Average", a.nike.original.man[[#This Row],[Reviews]]&gt;=8, "Average +")</f>
        <v>Below Average</v>
      </c>
      <c r="L244" s="12" t="s">
        <v>1571</v>
      </c>
      <c r="M244" s="2" t="s">
        <v>1470</v>
      </c>
    </row>
    <row r="245" spans="1:13" x14ac:dyDescent="0.2">
      <c r="A245" s="1" t="s">
        <v>661</v>
      </c>
      <c r="B245" s="1" t="s">
        <v>662</v>
      </c>
      <c r="C245" s="330">
        <v>89.95</v>
      </c>
      <c r="D245" s="330">
        <v>54</v>
      </c>
      <c r="E245" s="116">
        <v>0.4</v>
      </c>
      <c r="F245" s="1" t="s">
        <v>9</v>
      </c>
      <c r="G245" s="1" t="s">
        <v>663</v>
      </c>
      <c r="H245" s="1">
        <v>4.5999999999999996</v>
      </c>
      <c r="I245" s="1" t="str" cm="1">
        <f t="array" ref="I245">_xlfn.IFS(a.nike.original.man[[#This Row],[Rating]]&lt;=2.9, "0 - 2.9",a.nike.original.man[[#This Row],[Rating]]&lt;=3.9,"3 - 3.9", a.nike.original.man[[#This Row],[Rating]]&lt;=5,"4 - 5")</f>
        <v>4 - 5</v>
      </c>
      <c r="J245" s="1">
        <v>23</v>
      </c>
      <c r="K245" s="1" t="str" cm="1">
        <f t="array" ref="K245">_xlfn.IFS(a.nike.original.man[[#This Row],[Reviews]]&lt;=7, "Below Average", a.nike.original.man[[#This Row],[Reviews]]&gt;=8, "Average +")</f>
        <v>Average +</v>
      </c>
      <c r="L245" s="11" t="s">
        <v>1571</v>
      </c>
      <c r="M245" s="1" t="s">
        <v>1470</v>
      </c>
    </row>
    <row r="246" spans="1:13" x14ac:dyDescent="0.2">
      <c r="A246" s="2" t="s">
        <v>667</v>
      </c>
      <c r="B246" s="2" t="s">
        <v>668</v>
      </c>
      <c r="C246" s="331">
        <v>79.95</v>
      </c>
      <c r="D246" s="331">
        <v>64</v>
      </c>
      <c r="E246" s="116">
        <v>0.2</v>
      </c>
      <c r="F246" s="2" t="s">
        <v>9</v>
      </c>
      <c r="G246" s="2" t="s">
        <v>669</v>
      </c>
      <c r="H246" s="2">
        <v>3</v>
      </c>
      <c r="I246" s="2" t="str" cm="1">
        <f t="array" ref="I246">_xlfn.IFS(a.nike.original.man[[#This Row],[Rating]]&lt;=2.9, "0 - 2.9",a.nike.original.man[[#This Row],[Rating]]&lt;=3.9,"3 - 3.9", a.nike.original.man[[#This Row],[Rating]]&lt;=5,"4 - 5")</f>
        <v>3 - 3.9</v>
      </c>
      <c r="J246" s="2">
        <v>6</v>
      </c>
      <c r="K246" s="2" t="str" cm="1">
        <f t="array" ref="K246">_xlfn.IFS(a.nike.original.man[[#This Row],[Reviews]]&lt;=7, "Below Average", a.nike.original.man[[#This Row],[Reviews]]&gt;=8, "Average +")</f>
        <v>Below Average</v>
      </c>
      <c r="L246" s="12" t="s">
        <v>1572</v>
      </c>
      <c r="M246" s="2" t="s">
        <v>1470</v>
      </c>
    </row>
    <row r="247" spans="1:13" x14ac:dyDescent="0.2">
      <c r="A247" s="1" t="s">
        <v>664</v>
      </c>
      <c r="B247" s="1" t="s">
        <v>665</v>
      </c>
      <c r="C247" s="330">
        <v>0</v>
      </c>
      <c r="D247" s="330">
        <v>80</v>
      </c>
      <c r="E247" s="116">
        <v>0</v>
      </c>
      <c r="F247" s="1" t="s">
        <v>9</v>
      </c>
      <c r="G247" s="1" t="s">
        <v>666</v>
      </c>
      <c r="H247" s="1">
        <v>0</v>
      </c>
      <c r="I247" s="1" t="str" cm="1">
        <f t="array" ref="I247">_xlfn.IFS(a.nike.original.man[[#This Row],[Rating]]&lt;=2.9, "0 - 2.9",a.nike.original.man[[#This Row],[Rating]]&lt;=3.9,"3 - 3.9", a.nike.original.man[[#This Row],[Rating]]&lt;=5,"4 - 5")</f>
        <v>0 - 2.9</v>
      </c>
      <c r="J247" s="1">
        <v>0</v>
      </c>
      <c r="K247" s="1" t="str" cm="1">
        <f t="array" ref="K247">_xlfn.IFS(a.nike.original.man[[#This Row],[Reviews]]&lt;=7, "Below Average", a.nike.original.man[[#This Row],[Reviews]]&gt;=8, "Average +")</f>
        <v>Below Average</v>
      </c>
      <c r="L247" s="11" t="s">
        <v>1572</v>
      </c>
      <c r="M247" s="1" t="s">
        <v>1470</v>
      </c>
    </row>
    <row r="248" spans="1:13" x14ac:dyDescent="0.2">
      <c r="A248" s="1" t="s">
        <v>37</v>
      </c>
      <c r="B248" s="1" t="s">
        <v>670</v>
      </c>
      <c r="C248" s="330">
        <v>119.95</v>
      </c>
      <c r="D248" s="330">
        <v>72</v>
      </c>
      <c r="E248" s="116">
        <v>0.4</v>
      </c>
      <c r="F248" s="1" t="s">
        <v>9</v>
      </c>
      <c r="G248" s="1" t="s">
        <v>671</v>
      </c>
      <c r="H248" s="1">
        <v>3.2</v>
      </c>
      <c r="I248" s="1" t="str" cm="1">
        <f t="array" ref="I248">_xlfn.IFS(a.nike.original.man[[#This Row],[Rating]]&lt;=2.9, "0 - 2.9",a.nike.original.man[[#This Row],[Rating]]&lt;=3.9,"3 - 3.9", a.nike.original.man[[#This Row],[Rating]]&lt;=5,"4 - 5")</f>
        <v>3 - 3.9</v>
      </c>
      <c r="J248" s="1">
        <v>5</v>
      </c>
      <c r="K248" s="1" t="str" cm="1">
        <f t="array" ref="K248">_xlfn.IFS(a.nike.original.man[[#This Row],[Reviews]]&lt;=7, "Below Average", a.nike.original.man[[#This Row],[Reviews]]&gt;=8, "Average +")</f>
        <v>Below Average</v>
      </c>
      <c r="L248" s="11" t="s">
        <v>1573</v>
      </c>
      <c r="M248" s="1" t="s">
        <v>1470</v>
      </c>
    </row>
    <row r="249" spans="1:13" x14ac:dyDescent="0.2">
      <c r="A249" s="2" t="s">
        <v>672</v>
      </c>
      <c r="B249" s="2" t="s">
        <v>673</v>
      </c>
      <c r="C249" s="331">
        <v>99.95</v>
      </c>
      <c r="D249" s="331">
        <v>80</v>
      </c>
      <c r="E249" s="116">
        <v>0.2</v>
      </c>
      <c r="F249" s="2" t="s">
        <v>9</v>
      </c>
      <c r="G249" s="2" t="s">
        <v>674</v>
      </c>
      <c r="H249" s="2">
        <v>3.7</v>
      </c>
      <c r="I249" s="2" t="str" cm="1">
        <f t="array" ref="I249">_xlfn.IFS(a.nike.original.man[[#This Row],[Rating]]&lt;=2.9, "0 - 2.9",a.nike.original.man[[#This Row],[Rating]]&lt;=3.9,"3 - 3.9", a.nike.original.man[[#This Row],[Rating]]&lt;=5,"4 - 5")</f>
        <v>3 - 3.9</v>
      </c>
      <c r="J249" s="2">
        <v>11</v>
      </c>
      <c r="K249" s="2" t="str" cm="1">
        <f t="array" ref="K249">_xlfn.IFS(a.nike.original.man[[#This Row],[Reviews]]&lt;=7, "Below Average", a.nike.original.man[[#This Row],[Reviews]]&gt;=8, "Average +")</f>
        <v>Average +</v>
      </c>
      <c r="L249" s="12" t="s">
        <v>1573</v>
      </c>
      <c r="M249" s="2" t="s">
        <v>1470</v>
      </c>
    </row>
    <row r="250" spans="1:13" x14ac:dyDescent="0.2">
      <c r="A250" s="1" t="s">
        <v>675</v>
      </c>
      <c r="B250" s="1" t="s">
        <v>676</v>
      </c>
      <c r="C250" s="330">
        <v>0</v>
      </c>
      <c r="D250" s="330">
        <v>130</v>
      </c>
      <c r="E250" s="116">
        <v>0</v>
      </c>
      <c r="F250" s="1" t="s">
        <v>9</v>
      </c>
      <c r="G250" s="1" t="s">
        <v>677</v>
      </c>
      <c r="H250" s="1">
        <v>5</v>
      </c>
      <c r="I250" s="1" t="str" cm="1">
        <f t="array" ref="I250">_xlfn.IFS(a.nike.original.man[[#This Row],[Rating]]&lt;=2.9, "0 - 2.9",a.nike.original.man[[#This Row],[Rating]]&lt;=3.9,"3 - 3.9", a.nike.original.man[[#This Row],[Rating]]&lt;=5,"4 - 5")</f>
        <v>4 - 5</v>
      </c>
      <c r="J250" s="1">
        <v>2</v>
      </c>
      <c r="K250" s="1" t="str" cm="1">
        <f t="array" ref="K250">_xlfn.IFS(a.nike.original.man[[#This Row],[Reviews]]&lt;=7, "Below Average", a.nike.original.man[[#This Row],[Reviews]]&gt;=8, "Average +")</f>
        <v>Below Average</v>
      </c>
      <c r="L250" s="11" t="s">
        <v>1574</v>
      </c>
      <c r="M250" s="1" t="s">
        <v>1470</v>
      </c>
    </row>
    <row r="251" spans="1:13" x14ac:dyDescent="0.2">
      <c r="A251" s="2" t="s">
        <v>298</v>
      </c>
      <c r="B251" s="2" t="s">
        <v>678</v>
      </c>
      <c r="C251" s="331">
        <v>0</v>
      </c>
      <c r="D251" s="331">
        <v>110</v>
      </c>
      <c r="E251" s="116">
        <v>0</v>
      </c>
      <c r="F251" s="2" t="s">
        <v>9</v>
      </c>
      <c r="G251" s="2" t="s">
        <v>679</v>
      </c>
      <c r="H251" s="2">
        <v>5</v>
      </c>
      <c r="I251" s="2" t="str" cm="1">
        <f t="array" ref="I251">_xlfn.IFS(a.nike.original.man[[#This Row],[Rating]]&lt;=2.9, "0 - 2.9",a.nike.original.man[[#This Row],[Rating]]&lt;=3.9,"3 - 3.9", a.nike.original.man[[#This Row],[Rating]]&lt;=5,"4 - 5")</f>
        <v>4 - 5</v>
      </c>
      <c r="J251" s="2">
        <v>1</v>
      </c>
      <c r="K251" s="2" t="str" cm="1">
        <f t="array" ref="K251">_xlfn.IFS(a.nike.original.man[[#This Row],[Reviews]]&lt;=7, "Below Average", a.nike.original.man[[#This Row],[Reviews]]&gt;=8, "Average +")</f>
        <v>Below Average</v>
      </c>
      <c r="L251" s="12" t="s">
        <v>1575</v>
      </c>
      <c r="M251" s="2" t="s">
        <v>1470</v>
      </c>
    </row>
    <row r="252" spans="1:13" x14ac:dyDescent="0.2">
      <c r="A252" s="1" t="s">
        <v>680</v>
      </c>
      <c r="B252" s="1" t="s">
        <v>681</v>
      </c>
      <c r="C252" s="330">
        <v>79.95</v>
      </c>
      <c r="D252" s="330">
        <v>64</v>
      </c>
      <c r="E252" s="116">
        <v>0.2</v>
      </c>
      <c r="F252" s="1" t="s">
        <v>9</v>
      </c>
      <c r="G252" s="1" t="s">
        <v>682</v>
      </c>
      <c r="H252" s="1">
        <v>5</v>
      </c>
      <c r="I252" s="1" t="str" cm="1">
        <f t="array" ref="I252">_xlfn.IFS(a.nike.original.man[[#This Row],[Rating]]&lt;=2.9, "0 - 2.9",a.nike.original.man[[#This Row],[Rating]]&lt;=3.9,"3 - 3.9", a.nike.original.man[[#This Row],[Rating]]&lt;=5,"4 - 5")</f>
        <v>4 - 5</v>
      </c>
      <c r="J252" s="1">
        <v>1</v>
      </c>
      <c r="K252" s="1" t="str" cm="1">
        <f t="array" ref="K252">_xlfn.IFS(a.nike.original.man[[#This Row],[Reviews]]&lt;=7, "Below Average", a.nike.original.man[[#This Row],[Reviews]]&gt;=8, "Average +")</f>
        <v>Below Average</v>
      </c>
      <c r="L252" s="11" t="s">
        <v>1575</v>
      </c>
      <c r="M252" s="1" t="s">
        <v>1470</v>
      </c>
    </row>
    <row r="253" spans="1:13" x14ac:dyDescent="0.2">
      <c r="A253" s="2" t="s">
        <v>683</v>
      </c>
      <c r="B253" s="2" t="s">
        <v>684</v>
      </c>
      <c r="C253" s="331">
        <v>0</v>
      </c>
      <c r="D253" s="331">
        <v>80</v>
      </c>
      <c r="E253" s="116">
        <v>0</v>
      </c>
      <c r="F253" s="2" t="s">
        <v>9</v>
      </c>
      <c r="G253" s="2" t="s">
        <v>685</v>
      </c>
      <c r="H253" s="2">
        <v>0</v>
      </c>
      <c r="I253" s="2" t="str" cm="1">
        <f t="array" ref="I253">_xlfn.IFS(a.nike.original.man[[#This Row],[Rating]]&lt;=2.9, "0 - 2.9",a.nike.original.man[[#This Row],[Rating]]&lt;=3.9,"3 - 3.9", a.nike.original.man[[#This Row],[Rating]]&lt;=5,"4 - 5")</f>
        <v>0 - 2.9</v>
      </c>
      <c r="J253" s="2">
        <v>0</v>
      </c>
      <c r="K253" s="2" t="str" cm="1">
        <f t="array" ref="K253">_xlfn.IFS(a.nike.original.man[[#This Row],[Reviews]]&lt;=7, "Below Average", a.nike.original.man[[#This Row],[Reviews]]&gt;=8, "Average +")</f>
        <v>Below Average</v>
      </c>
      <c r="L253" s="12" t="s">
        <v>1575</v>
      </c>
      <c r="M253" s="2" t="s">
        <v>1470</v>
      </c>
    </row>
    <row r="254" spans="1:13" x14ac:dyDescent="0.2">
      <c r="A254" s="1" t="s">
        <v>686</v>
      </c>
      <c r="B254" s="1" t="s">
        <v>687</v>
      </c>
      <c r="C254" s="330">
        <v>0</v>
      </c>
      <c r="D254" s="330">
        <v>55</v>
      </c>
      <c r="E254" s="116">
        <v>0</v>
      </c>
      <c r="F254" s="1" t="s">
        <v>9</v>
      </c>
      <c r="G254" s="1" t="s">
        <v>688</v>
      </c>
      <c r="H254" s="1">
        <v>0</v>
      </c>
      <c r="I254" s="1" t="str" cm="1">
        <f t="array" ref="I254">_xlfn.IFS(a.nike.original.man[[#This Row],[Rating]]&lt;=2.9, "0 - 2.9",a.nike.original.man[[#This Row],[Rating]]&lt;=3.9,"3 - 3.9", a.nike.original.man[[#This Row],[Rating]]&lt;=5,"4 - 5")</f>
        <v>0 - 2.9</v>
      </c>
      <c r="J254" s="1">
        <v>0</v>
      </c>
      <c r="K254" s="1" t="str" cm="1">
        <f t="array" ref="K254">_xlfn.IFS(a.nike.original.man[[#This Row],[Reviews]]&lt;=7, "Below Average", a.nike.original.man[[#This Row],[Reviews]]&gt;=8, "Average +")</f>
        <v>Below Average</v>
      </c>
      <c r="L254" s="11" t="s">
        <v>1575</v>
      </c>
      <c r="M254" s="1" t="s">
        <v>1470</v>
      </c>
    </row>
    <row r="255" spans="1:13" x14ac:dyDescent="0.2">
      <c r="A255" s="1" t="s">
        <v>695</v>
      </c>
      <c r="B255" s="1" t="s">
        <v>696</v>
      </c>
      <c r="C255" s="330">
        <v>0</v>
      </c>
      <c r="D255" s="330">
        <v>90</v>
      </c>
      <c r="E255" s="116">
        <v>0</v>
      </c>
      <c r="F255" s="1" t="s">
        <v>9</v>
      </c>
      <c r="G255" s="1" t="s">
        <v>697</v>
      </c>
      <c r="H255" s="1">
        <v>4.2</v>
      </c>
      <c r="I255" s="1" t="str" cm="1">
        <f t="array" ref="I255">_xlfn.IFS(a.nike.original.man[[#This Row],[Rating]]&lt;=2.9, "0 - 2.9",a.nike.original.man[[#This Row],[Rating]]&lt;=3.9,"3 - 3.9", a.nike.original.man[[#This Row],[Rating]]&lt;=5,"4 - 5")</f>
        <v>4 - 5</v>
      </c>
      <c r="J255" s="1">
        <v>5</v>
      </c>
      <c r="K255" s="1" t="str" cm="1">
        <f t="array" ref="K255">_xlfn.IFS(a.nike.original.man[[#This Row],[Reviews]]&lt;=7, "Below Average", a.nike.original.man[[#This Row],[Reviews]]&gt;=8, "Average +")</f>
        <v>Below Average</v>
      </c>
      <c r="L255" s="11" t="s">
        <v>1576</v>
      </c>
      <c r="M255" s="1" t="s">
        <v>1470</v>
      </c>
    </row>
    <row r="256" spans="1:13" x14ac:dyDescent="0.2">
      <c r="A256" s="2" t="s">
        <v>689</v>
      </c>
      <c r="B256" s="2" t="s">
        <v>690</v>
      </c>
      <c r="C256" s="331">
        <v>0</v>
      </c>
      <c r="D256" s="331">
        <v>80</v>
      </c>
      <c r="E256" s="116">
        <v>0</v>
      </c>
      <c r="F256" s="2" t="s">
        <v>9</v>
      </c>
      <c r="G256" s="2" t="s">
        <v>691</v>
      </c>
      <c r="H256" s="2">
        <v>0</v>
      </c>
      <c r="I256" s="2" t="str" cm="1">
        <f t="array" ref="I256">_xlfn.IFS(a.nike.original.man[[#This Row],[Rating]]&lt;=2.9, "0 - 2.9",a.nike.original.man[[#This Row],[Rating]]&lt;=3.9,"3 - 3.9", a.nike.original.man[[#This Row],[Rating]]&lt;=5,"4 - 5")</f>
        <v>0 - 2.9</v>
      </c>
      <c r="J256" s="2">
        <v>0</v>
      </c>
      <c r="K256" s="2" t="str" cm="1">
        <f t="array" ref="K256">_xlfn.IFS(a.nike.original.man[[#This Row],[Reviews]]&lt;=7, "Below Average", a.nike.original.man[[#This Row],[Reviews]]&gt;=8, "Average +")</f>
        <v>Below Average</v>
      </c>
      <c r="L256" s="12" t="s">
        <v>1576</v>
      </c>
      <c r="M256" s="2" t="s">
        <v>1470</v>
      </c>
    </row>
    <row r="257" spans="1:13" x14ac:dyDescent="0.2">
      <c r="A257" s="1" t="s">
        <v>692</v>
      </c>
      <c r="B257" s="1" t="s">
        <v>693</v>
      </c>
      <c r="C257" s="330">
        <v>0</v>
      </c>
      <c r="D257" s="330">
        <v>65</v>
      </c>
      <c r="E257" s="116">
        <v>0</v>
      </c>
      <c r="F257" s="1" t="s">
        <v>9</v>
      </c>
      <c r="G257" s="1" t="s">
        <v>694</v>
      </c>
      <c r="H257" s="1">
        <v>0</v>
      </c>
      <c r="I257" s="1" t="str" cm="1">
        <f t="array" ref="I257">_xlfn.IFS(a.nike.original.man[[#This Row],[Rating]]&lt;=2.9, "0 - 2.9",a.nike.original.man[[#This Row],[Rating]]&lt;=3.9,"3 - 3.9", a.nike.original.man[[#This Row],[Rating]]&lt;=5,"4 - 5")</f>
        <v>0 - 2.9</v>
      </c>
      <c r="J257" s="1">
        <v>0</v>
      </c>
      <c r="K257" s="1" t="str" cm="1">
        <f t="array" ref="K257">_xlfn.IFS(a.nike.original.man[[#This Row],[Reviews]]&lt;=7, "Below Average", a.nike.original.man[[#This Row],[Reviews]]&gt;=8, "Average +")</f>
        <v>Below Average</v>
      </c>
      <c r="L257" s="11" t="s">
        <v>1576</v>
      </c>
      <c r="M257" s="1" t="s">
        <v>1470</v>
      </c>
    </row>
    <row r="258" spans="1:13" x14ac:dyDescent="0.2">
      <c r="A258" s="2" t="s">
        <v>144</v>
      </c>
      <c r="B258" s="2" t="s">
        <v>145</v>
      </c>
      <c r="C258" s="331">
        <v>0</v>
      </c>
      <c r="D258" s="331">
        <v>55</v>
      </c>
      <c r="E258" s="116">
        <v>0</v>
      </c>
      <c r="F258" s="2" t="s">
        <v>9</v>
      </c>
      <c r="G258" s="2" t="s">
        <v>146</v>
      </c>
      <c r="H258" s="2">
        <v>0</v>
      </c>
      <c r="I258" s="2" t="str" cm="1">
        <f t="array" ref="I258">_xlfn.IFS(a.nike.original.man[[#This Row],[Rating]]&lt;=2.9, "0 - 2.9",a.nike.original.man[[#This Row],[Rating]]&lt;=3.9,"3 - 3.9", a.nike.original.man[[#This Row],[Rating]]&lt;=5,"4 - 5")</f>
        <v>0 - 2.9</v>
      </c>
      <c r="J258" s="2">
        <v>0</v>
      </c>
      <c r="K258" s="2" t="str" cm="1">
        <f t="array" ref="K258">_xlfn.IFS(a.nike.original.man[[#This Row],[Reviews]]&lt;=7, "Below Average", a.nike.original.man[[#This Row],[Reviews]]&gt;=8, "Average +")</f>
        <v>Below Average</v>
      </c>
      <c r="L258" s="12" t="s">
        <v>1576</v>
      </c>
      <c r="M258" s="2" t="s">
        <v>1470</v>
      </c>
    </row>
    <row r="259" spans="1:13" x14ac:dyDescent="0.2">
      <c r="A259" s="2" t="s">
        <v>710</v>
      </c>
      <c r="B259" s="2" t="s">
        <v>711</v>
      </c>
      <c r="C259" s="331">
        <v>0</v>
      </c>
      <c r="D259" s="331">
        <v>95</v>
      </c>
      <c r="E259" s="116">
        <v>0</v>
      </c>
      <c r="F259" s="2" t="s">
        <v>9</v>
      </c>
      <c r="G259" s="2" t="s">
        <v>712</v>
      </c>
      <c r="H259" s="2">
        <v>4.5</v>
      </c>
      <c r="I259" s="2" t="str" cm="1">
        <f t="array" ref="I259">_xlfn.IFS(a.nike.original.man[[#This Row],[Rating]]&lt;=2.9, "0 - 2.9",a.nike.original.man[[#This Row],[Rating]]&lt;=3.9,"3 - 3.9", a.nike.original.man[[#This Row],[Rating]]&lt;=5,"4 - 5")</f>
        <v>4 - 5</v>
      </c>
      <c r="J259" s="2">
        <v>4</v>
      </c>
      <c r="K259" s="2" t="str" cm="1">
        <f t="array" ref="K259">_xlfn.IFS(a.nike.original.man[[#This Row],[Reviews]]&lt;=7, "Below Average", a.nike.original.man[[#This Row],[Reviews]]&gt;=8, "Average +")</f>
        <v>Below Average</v>
      </c>
      <c r="L259" s="12" t="s">
        <v>1577</v>
      </c>
      <c r="M259" s="2" t="s">
        <v>1470</v>
      </c>
    </row>
    <row r="260" spans="1:13" x14ac:dyDescent="0.2">
      <c r="A260" s="1" t="s">
        <v>701</v>
      </c>
      <c r="B260" s="1" t="s">
        <v>702</v>
      </c>
      <c r="C260" s="330">
        <v>0</v>
      </c>
      <c r="D260" s="330">
        <v>110</v>
      </c>
      <c r="E260" s="116">
        <v>0</v>
      </c>
      <c r="F260" s="1" t="s">
        <v>9</v>
      </c>
      <c r="G260" s="1" t="s">
        <v>703</v>
      </c>
      <c r="H260" s="1">
        <v>4.7</v>
      </c>
      <c r="I260" s="1" t="str" cm="1">
        <f t="array" ref="I260">_xlfn.IFS(a.nike.original.man[[#This Row],[Rating]]&lt;=2.9, "0 - 2.9",a.nike.original.man[[#This Row],[Rating]]&lt;=3.9,"3 - 3.9", a.nike.original.man[[#This Row],[Rating]]&lt;=5,"4 - 5")</f>
        <v>4 - 5</v>
      </c>
      <c r="J260" s="1">
        <v>3</v>
      </c>
      <c r="K260" s="1" t="str" cm="1">
        <f t="array" ref="K260">_xlfn.IFS(a.nike.original.man[[#This Row],[Reviews]]&lt;=7, "Below Average", a.nike.original.man[[#This Row],[Reviews]]&gt;=8, "Average +")</f>
        <v>Below Average</v>
      </c>
      <c r="L260" s="11" t="s">
        <v>1577</v>
      </c>
      <c r="M260" s="1" t="s">
        <v>1470</v>
      </c>
    </row>
    <row r="261" spans="1:13" x14ac:dyDescent="0.2">
      <c r="A261" s="1" t="s">
        <v>707</v>
      </c>
      <c r="B261" s="1" t="s">
        <v>708</v>
      </c>
      <c r="C261" s="330">
        <v>0</v>
      </c>
      <c r="D261" s="330">
        <v>120</v>
      </c>
      <c r="E261" s="116">
        <v>0</v>
      </c>
      <c r="F261" s="1" t="s">
        <v>9</v>
      </c>
      <c r="G261" s="1" t="s">
        <v>709</v>
      </c>
      <c r="H261" s="1">
        <v>5</v>
      </c>
      <c r="I261" s="1" t="str" cm="1">
        <f t="array" ref="I261">_xlfn.IFS(a.nike.original.man[[#This Row],[Rating]]&lt;=2.9, "0 - 2.9",a.nike.original.man[[#This Row],[Rating]]&lt;=3.9,"3 - 3.9", a.nike.original.man[[#This Row],[Rating]]&lt;=5,"4 - 5")</f>
        <v>4 - 5</v>
      </c>
      <c r="J261" s="1">
        <v>3</v>
      </c>
      <c r="K261" s="1" t="str" cm="1">
        <f t="array" ref="K261">_xlfn.IFS(a.nike.original.man[[#This Row],[Reviews]]&lt;=7, "Below Average", a.nike.original.man[[#This Row],[Reviews]]&gt;=8, "Average +")</f>
        <v>Below Average</v>
      </c>
      <c r="L261" s="11" t="s">
        <v>1577</v>
      </c>
      <c r="M261" s="1" t="s">
        <v>1470</v>
      </c>
    </row>
    <row r="262" spans="1:13" x14ac:dyDescent="0.2">
      <c r="A262" s="2" t="s">
        <v>698</v>
      </c>
      <c r="B262" s="2" t="s">
        <v>699</v>
      </c>
      <c r="C262" s="331">
        <v>0</v>
      </c>
      <c r="D262" s="331">
        <v>105</v>
      </c>
      <c r="E262" s="116">
        <v>0</v>
      </c>
      <c r="F262" s="2" t="s">
        <v>9</v>
      </c>
      <c r="G262" s="2" t="s">
        <v>700</v>
      </c>
      <c r="H262" s="2">
        <v>0</v>
      </c>
      <c r="I262" s="2" t="str" cm="1">
        <f t="array" ref="I262">_xlfn.IFS(a.nike.original.man[[#This Row],[Rating]]&lt;=2.9, "0 - 2.9",a.nike.original.man[[#This Row],[Rating]]&lt;=3.9,"3 - 3.9", a.nike.original.man[[#This Row],[Rating]]&lt;=5,"4 - 5")</f>
        <v>0 - 2.9</v>
      </c>
      <c r="J262" s="2">
        <v>0</v>
      </c>
      <c r="K262" s="2" t="str" cm="1">
        <f t="array" ref="K262">_xlfn.IFS(a.nike.original.man[[#This Row],[Reviews]]&lt;=7, "Below Average", a.nike.original.man[[#This Row],[Reviews]]&gt;=8, "Average +")</f>
        <v>Below Average</v>
      </c>
      <c r="L262" s="12" t="s">
        <v>1577</v>
      </c>
      <c r="M262" s="2" t="s">
        <v>1470</v>
      </c>
    </row>
    <row r="263" spans="1:13" x14ac:dyDescent="0.2">
      <c r="A263" s="2" t="s">
        <v>704</v>
      </c>
      <c r="B263" s="2" t="s">
        <v>705</v>
      </c>
      <c r="C263" s="331">
        <v>0</v>
      </c>
      <c r="D263" s="331">
        <v>60</v>
      </c>
      <c r="E263" s="116">
        <v>0</v>
      </c>
      <c r="F263" s="2" t="s">
        <v>9</v>
      </c>
      <c r="G263" s="2" t="s">
        <v>706</v>
      </c>
      <c r="H263" s="2">
        <v>0</v>
      </c>
      <c r="I263" s="2" t="str" cm="1">
        <f t="array" ref="I263">_xlfn.IFS(a.nike.original.man[[#This Row],[Rating]]&lt;=2.9, "0 - 2.9",a.nike.original.man[[#This Row],[Rating]]&lt;=3.9,"3 - 3.9", a.nike.original.man[[#This Row],[Rating]]&lt;=5,"4 - 5")</f>
        <v>0 - 2.9</v>
      </c>
      <c r="J263" s="2">
        <v>0</v>
      </c>
      <c r="K263" s="2" t="str" cm="1">
        <f t="array" ref="K263">_xlfn.IFS(a.nike.original.man[[#This Row],[Reviews]]&lt;=7, "Below Average", a.nike.original.man[[#This Row],[Reviews]]&gt;=8, "Average +")</f>
        <v>Below Average</v>
      </c>
      <c r="L263" s="12" t="s">
        <v>1577</v>
      </c>
      <c r="M263" s="2" t="s">
        <v>1470</v>
      </c>
    </row>
    <row r="264" spans="1:13" x14ac:dyDescent="0.2">
      <c r="A264" s="1" t="s">
        <v>31</v>
      </c>
      <c r="B264" s="1" t="s">
        <v>713</v>
      </c>
      <c r="C264" s="330">
        <v>0</v>
      </c>
      <c r="D264" s="330">
        <v>160</v>
      </c>
      <c r="E264" s="116">
        <v>0</v>
      </c>
      <c r="F264" s="1" t="s">
        <v>9</v>
      </c>
      <c r="G264" s="1" t="s">
        <v>714</v>
      </c>
      <c r="H264" s="1">
        <v>4</v>
      </c>
      <c r="I264" s="1" t="str" cm="1">
        <f t="array" ref="I264">_xlfn.IFS(a.nike.original.man[[#This Row],[Rating]]&lt;=2.9, "0 - 2.9",a.nike.original.man[[#This Row],[Rating]]&lt;=3.9,"3 - 3.9", a.nike.original.man[[#This Row],[Rating]]&lt;=5,"4 - 5")</f>
        <v>4 - 5</v>
      </c>
      <c r="J264" s="1">
        <v>4</v>
      </c>
      <c r="K264" s="1" t="str" cm="1">
        <f t="array" ref="K264">_xlfn.IFS(a.nike.original.man[[#This Row],[Reviews]]&lt;=7, "Below Average", a.nike.original.man[[#This Row],[Reviews]]&gt;=8, "Average +")</f>
        <v>Below Average</v>
      </c>
      <c r="L264" s="11" t="s">
        <v>1578</v>
      </c>
      <c r="M264" s="1" t="s">
        <v>1470</v>
      </c>
    </row>
    <row r="265" spans="1:13" x14ac:dyDescent="0.2">
      <c r="A265" s="2" t="s">
        <v>719</v>
      </c>
      <c r="B265" s="2" t="s">
        <v>720</v>
      </c>
      <c r="C265" s="331">
        <v>0</v>
      </c>
      <c r="D265" s="331">
        <v>85</v>
      </c>
      <c r="E265" s="116">
        <v>0</v>
      </c>
      <c r="F265" s="2" t="s">
        <v>9</v>
      </c>
      <c r="G265" s="2" t="s">
        <v>721</v>
      </c>
      <c r="H265" s="2">
        <v>5</v>
      </c>
      <c r="I265" s="2" t="str" cm="1">
        <f t="array" ref="I265">_xlfn.IFS(a.nike.original.man[[#This Row],[Rating]]&lt;=2.9, "0 - 2.9",a.nike.original.man[[#This Row],[Rating]]&lt;=3.9,"3 - 3.9", a.nike.original.man[[#This Row],[Rating]]&lt;=5,"4 - 5")</f>
        <v>4 - 5</v>
      </c>
      <c r="J265" s="2">
        <v>3</v>
      </c>
      <c r="K265" s="2" t="str" cm="1">
        <f t="array" ref="K265">_xlfn.IFS(a.nike.original.man[[#This Row],[Reviews]]&lt;=7, "Below Average", a.nike.original.man[[#This Row],[Reviews]]&gt;=8, "Average +")</f>
        <v>Below Average</v>
      </c>
      <c r="L265" s="12" t="s">
        <v>1578</v>
      </c>
      <c r="M265" s="2" t="s">
        <v>1470</v>
      </c>
    </row>
    <row r="266" spans="1:13" x14ac:dyDescent="0.2">
      <c r="A266" s="2" t="s">
        <v>435</v>
      </c>
      <c r="B266" s="2" t="s">
        <v>715</v>
      </c>
      <c r="C266" s="331">
        <v>0</v>
      </c>
      <c r="D266" s="331">
        <v>140</v>
      </c>
      <c r="E266" s="116">
        <v>0</v>
      </c>
      <c r="F266" s="2" t="s">
        <v>9</v>
      </c>
      <c r="G266" s="2" t="s">
        <v>1465</v>
      </c>
      <c r="H266" s="2">
        <v>4.2</v>
      </c>
      <c r="I266" s="2" t="str" cm="1">
        <f t="array" ref="I266">_xlfn.IFS(a.nike.original.man[[#This Row],[Rating]]&lt;=2.9, "0 - 2.9",a.nike.original.man[[#This Row],[Rating]]&lt;=3.9,"3 - 3.9", a.nike.original.man[[#This Row],[Rating]]&lt;=5,"4 - 5")</f>
        <v>4 - 5</v>
      </c>
      <c r="J266" s="2">
        <v>29</v>
      </c>
      <c r="K266" s="2" t="str" cm="1">
        <f t="array" ref="K266">_xlfn.IFS(a.nike.original.man[[#This Row],[Reviews]]&lt;=7, "Below Average", a.nike.original.man[[#This Row],[Reviews]]&gt;=8, "Average +")</f>
        <v>Average +</v>
      </c>
      <c r="L266" s="12" t="s">
        <v>1578</v>
      </c>
      <c r="M266" s="2" t="s">
        <v>1470</v>
      </c>
    </row>
    <row r="267" spans="1:13" x14ac:dyDescent="0.2">
      <c r="A267" s="1" t="s">
        <v>716</v>
      </c>
      <c r="B267" s="1" t="s">
        <v>717</v>
      </c>
      <c r="C267" s="330">
        <v>0</v>
      </c>
      <c r="D267" s="330">
        <v>65</v>
      </c>
      <c r="E267" s="116">
        <v>0</v>
      </c>
      <c r="F267" s="1" t="s">
        <v>9</v>
      </c>
      <c r="G267" s="1" t="s">
        <v>718</v>
      </c>
      <c r="H267" s="1">
        <v>2</v>
      </c>
      <c r="I267" s="1" t="str" cm="1">
        <f t="array" ref="I267">_xlfn.IFS(a.nike.original.man[[#This Row],[Rating]]&lt;=2.9, "0 - 2.9",a.nike.original.man[[#This Row],[Rating]]&lt;=3.9,"3 - 3.9", a.nike.original.man[[#This Row],[Rating]]&lt;=5,"4 - 5")</f>
        <v>0 - 2.9</v>
      </c>
      <c r="J267" s="1">
        <v>1</v>
      </c>
      <c r="K267" s="1" t="str" cm="1">
        <f t="array" ref="K267">_xlfn.IFS(a.nike.original.man[[#This Row],[Reviews]]&lt;=7, "Below Average", a.nike.original.man[[#This Row],[Reviews]]&gt;=8, "Average +")</f>
        <v>Below Average</v>
      </c>
      <c r="L267" s="11" t="s">
        <v>1578</v>
      </c>
      <c r="M267" s="1" t="s">
        <v>1470</v>
      </c>
    </row>
    <row r="268" spans="1:13" x14ac:dyDescent="0.2">
      <c r="A268" s="2" t="s">
        <v>11</v>
      </c>
      <c r="B268" s="2" t="s">
        <v>725</v>
      </c>
      <c r="C268" s="331">
        <v>0</v>
      </c>
      <c r="D268" s="331">
        <v>73</v>
      </c>
      <c r="E268" s="116">
        <v>0</v>
      </c>
      <c r="F268" s="2" t="s">
        <v>9</v>
      </c>
      <c r="G268" s="2" t="s">
        <v>726</v>
      </c>
      <c r="H268" s="2">
        <v>4.5</v>
      </c>
      <c r="I268" s="2" t="str" cm="1">
        <f t="array" ref="I268">_xlfn.IFS(a.nike.original.man[[#This Row],[Rating]]&lt;=2.9, "0 - 2.9",a.nike.original.man[[#This Row],[Rating]]&lt;=3.9,"3 - 3.9", a.nike.original.man[[#This Row],[Rating]]&lt;=5,"4 - 5")</f>
        <v>4 - 5</v>
      </c>
      <c r="J268" s="2">
        <v>78</v>
      </c>
      <c r="K268" s="2" t="str" cm="1">
        <f t="array" ref="K268">_xlfn.IFS(a.nike.original.man[[#This Row],[Reviews]]&lt;=7, "Below Average", a.nike.original.man[[#This Row],[Reviews]]&gt;=8, "Average +")</f>
        <v>Average +</v>
      </c>
      <c r="L268" s="12" t="s">
        <v>1579</v>
      </c>
      <c r="M268" s="2" t="s">
        <v>1470</v>
      </c>
    </row>
    <row r="269" spans="1:13" x14ac:dyDescent="0.2">
      <c r="A269" s="1" t="s">
        <v>722</v>
      </c>
      <c r="B269" s="1" t="s">
        <v>723</v>
      </c>
      <c r="C269" s="330">
        <v>0</v>
      </c>
      <c r="D269" s="330">
        <v>70</v>
      </c>
      <c r="E269" s="116">
        <v>0</v>
      </c>
      <c r="F269" s="1" t="s">
        <v>9</v>
      </c>
      <c r="G269" s="1" t="s">
        <v>724</v>
      </c>
      <c r="H269" s="1">
        <v>0</v>
      </c>
      <c r="I269" s="1" t="str" cm="1">
        <f t="array" ref="I269">_xlfn.IFS(a.nike.original.man[[#This Row],[Rating]]&lt;=2.9, "0 - 2.9",a.nike.original.man[[#This Row],[Rating]]&lt;=3.9,"3 - 3.9", a.nike.original.man[[#This Row],[Rating]]&lt;=5,"4 - 5")</f>
        <v>0 - 2.9</v>
      </c>
      <c r="J269" s="1">
        <v>0</v>
      </c>
      <c r="K269" s="1" t="str" cm="1">
        <f t="array" ref="K269">_xlfn.IFS(a.nike.original.man[[#This Row],[Reviews]]&lt;=7, "Below Average", a.nike.original.man[[#This Row],[Reviews]]&gt;=8, "Average +")</f>
        <v>Below Average</v>
      </c>
      <c r="L269" s="11" t="s">
        <v>1579</v>
      </c>
      <c r="M269" s="1" t="s">
        <v>1470</v>
      </c>
    </row>
    <row r="270" spans="1:13" x14ac:dyDescent="0.2">
      <c r="A270" s="1" t="s">
        <v>727</v>
      </c>
      <c r="B270" s="1" t="s">
        <v>728</v>
      </c>
      <c r="C270" s="330">
        <v>0</v>
      </c>
      <c r="D270" s="330">
        <v>60</v>
      </c>
      <c r="E270" s="116">
        <v>0</v>
      </c>
      <c r="F270" s="1" t="s">
        <v>9</v>
      </c>
      <c r="G270" s="1" t="s">
        <v>729</v>
      </c>
      <c r="H270" s="1">
        <v>0</v>
      </c>
      <c r="I270" s="1" t="str" cm="1">
        <f t="array" ref="I270">_xlfn.IFS(a.nike.original.man[[#This Row],[Rating]]&lt;=2.9, "0 - 2.9",a.nike.original.man[[#This Row],[Rating]]&lt;=3.9,"3 - 3.9", a.nike.original.man[[#This Row],[Rating]]&lt;=5,"4 - 5")</f>
        <v>0 - 2.9</v>
      </c>
      <c r="J270" s="1">
        <v>0</v>
      </c>
      <c r="K270" s="1" t="str" cm="1">
        <f t="array" ref="K270">_xlfn.IFS(a.nike.original.man[[#This Row],[Reviews]]&lt;=7, "Below Average", a.nike.original.man[[#This Row],[Reviews]]&gt;=8, "Average +")</f>
        <v>Below Average</v>
      </c>
      <c r="L270" s="11" t="s">
        <v>1579</v>
      </c>
      <c r="M270" s="1" t="s">
        <v>1470</v>
      </c>
    </row>
    <row r="271" spans="1:13" x14ac:dyDescent="0.2">
      <c r="A271" s="2" t="s">
        <v>730</v>
      </c>
      <c r="B271" s="2" t="s">
        <v>731</v>
      </c>
      <c r="C271" s="331">
        <v>119.95</v>
      </c>
      <c r="D271" s="331">
        <v>96</v>
      </c>
      <c r="E271" s="116">
        <v>0.2</v>
      </c>
      <c r="F271" s="2" t="s">
        <v>9</v>
      </c>
      <c r="G271" s="2" t="s">
        <v>732</v>
      </c>
      <c r="H271" s="2">
        <v>4.2</v>
      </c>
      <c r="I271" s="2" t="str" cm="1">
        <f t="array" ref="I271">_xlfn.IFS(a.nike.original.man[[#This Row],[Rating]]&lt;=2.9, "0 - 2.9",a.nike.original.man[[#This Row],[Rating]]&lt;=3.9,"3 - 3.9", a.nike.original.man[[#This Row],[Rating]]&lt;=5,"4 - 5")</f>
        <v>4 - 5</v>
      </c>
      <c r="J271" s="2">
        <v>6</v>
      </c>
      <c r="K271" s="2" t="str" cm="1">
        <f t="array" ref="K271">_xlfn.IFS(a.nike.original.man[[#This Row],[Reviews]]&lt;=7, "Below Average", a.nike.original.man[[#This Row],[Reviews]]&gt;=8, "Average +")</f>
        <v>Below Average</v>
      </c>
      <c r="L271" s="12" t="s">
        <v>1580</v>
      </c>
      <c r="M271" s="2" t="s">
        <v>1470</v>
      </c>
    </row>
    <row r="272" spans="1:13" x14ac:dyDescent="0.2">
      <c r="A272" s="1" t="s">
        <v>733</v>
      </c>
      <c r="B272" s="1" t="s">
        <v>734</v>
      </c>
      <c r="C272" s="330">
        <v>0</v>
      </c>
      <c r="D272" s="330">
        <v>80</v>
      </c>
      <c r="E272" s="116">
        <v>0</v>
      </c>
      <c r="F272" s="1" t="s">
        <v>9</v>
      </c>
      <c r="G272" s="1" t="s">
        <v>735</v>
      </c>
      <c r="H272" s="1">
        <v>0</v>
      </c>
      <c r="I272" s="1" t="str" cm="1">
        <f t="array" ref="I272">_xlfn.IFS(a.nike.original.man[[#This Row],[Rating]]&lt;=2.9, "0 - 2.9",a.nike.original.man[[#This Row],[Rating]]&lt;=3.9,"3 - 3.9", a.nike.original.man[[#This Row],[Rating]]&lt;=5,"4 - 5")</f>
        <v>0 - 2.9</v>
      </c>
      <c r="J272" s="1">
        <v>0</v>
      </c>
      <c r="K272" s="1" t="str" cm="1">
        <f t="array" ref="K272">_xlfn.IFS(a.nike.original.man[[#This Row],[Reviews]]&lt;=7, "Below Average", a.nike.original.man[[#This Row],[Reviews]]&gt;=8, "Average +")</f>
        <v>Below Average</v>
      </c>
      <c r="L272" s="11" t="s">
        <v>1580</v>
      </c>
      <c r="M272" s="1" t="s">
        <v>1470</v>
      </c>
    </row>
    <row r="273" spans="1:13" x14ac:dyDescent="0.2">
      <c r="A273" s="2" t="s">
        <v>742</v>
      </c>
      <c r="B273" s="2" t="s">
        <v>743</v>
      </c>
      <c r="C273" s="331">
        <v>99.95</v>
      </c>
      <c r="D273" s="331">
        <v>70</v>
      </c>
      <c r="E273" s="116">
        <v>0.3</v>
      </c>
      <c r="F273" s="2" t="s">
        <v>9</v>
      </c>
      <c r="G273" s="2" t="s">
        <v>744</v>
      </c>
      <c r="H273" s="2">
        <v>4.5</v>
      </c>
      <c r="I273" s="2" t="str" cm="1">
        <f t="array" ref="I273">_xlfn.IFS(a.nike.original.man[[#This Row],[Rating]]&lt;=2.9, "0 - 2.9",a.nike.original.man[[#This Row],[Rating]]&lt;=3.9,"3 - 3.9", a.nike.original.man[[#This Row],[Rating]]&lt;=5,"4 - 5")</f>
        <v>4 - 5</v>
      </c>
      <c r="J273" s="2">
        <v>2</v>
      </c>
      <c r="K273" s="2" t="str" cm="1">
        <f t="array" ref="K273">_xlfn.IFS(a.nike.original.man[[#This Row],[Reviews]]&lt;=7, "Below Average", a.nike.original.man[[#This Row],[Reviews]]&gt;=8, "Average +")</f>
        <v>Below Average</v>
      </c>
      <c r="L273" s="12" t="s">
        <v>1581</v>
      </c>
      <c r="M273" s="2" t="s">
        <v>1470</v>
      </c>
    </row>
    <row r="274" spans="1:13" x14ac:dyDescent="0.2">
      <c r="A274" s="1" t="s">
        <v>739</v>
      </c>
      <c r="B274" s="1" t="s">
        <v>740</v>
      </c>
      <c r="C274" s="330">
        <v>0</v>
      </c>
      <c r="D274" s="330">
        <v>230</v>
      </c>
      <c r="E274" s="116">
        <v>0</v>
      </c>
      <c r="F274" s="1" t="s">
        <v>9</v>
      </c>
      <c r="G274" s="1" t="s">
        <v>741</v>
      </c>
      <c r="H274" s="1">
        <v>5</v>
      </c>
      <c r="I274" s="1" t="str" cm="1">
        <f t="array" ref="I274">_xlfn.IFS(a.nike.original.man[[#This Row],[Rating]]&lt;=2.9, "0 - 2.9",a.nike.original.man[[#This Row],[Rating]]&lt;=3.9,"3 - 3.9", a.nike.original.man[[#This Row],[Rating]]&lt;=5,"4 - 5")</f>
        <v>4 - 5</v>
      </c>
      <c r="J274" s="1">
        <v>1</v>
      </c>
      <c r="K274" s="1" t="str" cm="1">
        <f t="array" ref="K274">_xlfn.IFS(a.nike.original.man[[#This Row],[Reviews]]&lt;=7, "Below Average", a.nike.original.man[[#This Row],[Reviews]]&gt;=8, "Average +")</f>
        <v>Below Average</v>
      </c>
      <c r="L274" s="11" t="s">
        <v>1581</v>
      </c>
      <c r="M274" s="1" t="s">
        <v>1470</v>
      </c>
    </row>
    <row r="275" spans="1:13" x14ac:dyDescent="0.2">
      <c r="A275" s="2" t="s">
        <v>736</v>
      </c>
      <c r="B275" s="2" t="s">
        <v>737</v>
      </c>
      <c r="C275" s="331">
        <v>49.95</v>
      </c>
      <c r="D275" s="331">
        <v>35</v>
      </c>
      <c r="E275" s="116">
        <v>0.3</v>
      </c>
      <c r="F275" s="2" t="s">
        <v>9</v>
      </c>
      <c r="G275" s="2" t="s">
        <v>738</v>
      </c>
      <c r="H275" s="2">
        <v>0</v>
      </c>
      <c r="I275" s="2" t="str" cm="1">
        <f t="array" ref="I275">_xlfn.IFS(a.nike.original.man[[#This Row],[Rating]]&lt;=2.9, "0 - 2.9",a.nike.original.man[[#This Row],[Rating]]&lt;=3.9,"3 - 3.9", a.nike.original.man[[#This Row],[Rating]]&lt;=5,"4 - 5")</f>
        <v>0 - 2.9</v>
      </c>
      <c r="J275" s="2">
        <v>0</v>
      </c>
      <c r="K275" s="2" t="str" cm="1">
        <f t="array" ref="K275">_xlfn.IFS(a.nike.original.man[[#This Row],[Reviews]]&lt;=7, "Below Average", a.nike.original.man[[#This Row],[Reviews]]&gt;=8, "Average +")</f>
        <v>Below Average</v>
      </c>
      <c r="L275" s="12" t="s">
        <v>1581</v>
      </c>
      <c r="M275" s="2" t="s">
        <v>1470</v>
      </c>
    </row>
    <row r="276" spans="1:13" x14ac:dyDescent="0.2">
      <c r="A276" s="1" t="s">
        <v>751</v>
      </c>
      <c r="B276" s="1" t="s">
        <v>752</v>
      </c>
      <c r="C276" s="330">
        <v>79.95</v>
      </c>
      <c r="D276" s="330">
        <v>64</v>
      </c>
      <c r="E276" s="116">
        <v>0.2</v>
      </c>
      <c r="F276" s="1" t="s">
        <v>9</v>
      </c>
      <c r="G276" s="1" t="s">
        <v>753</v>
      </c>
      <c r="H276" s="1">
        <v>5</v>
      </c>
      <c r="I276" s="1" t="str" cm="1">
        <f t="array" ref="I276">_xlfn.IFS(a.nike.original.man[[#This Row],[Rating]]&lt;=2.9, "0 - 2.9",a.nike.original.man[[#This Row],[Rating]]&lt;=3.9,"3 - 3.9", a.nike.original.man[[#This Row],[Rating]]&lt;=5,"4 - 5")</f>
        <v>4 - 5</v>
      </c>
      <c r="J276" s="1">
        <v>2</v>
      </c>
      <c r="K276" s="1" t="str" cm="1">
        <f t="array" ref="K276">_xlfn.IFS(a.nike.original.man[[#This Row],[Reviews]]&lt;=7, "Below Average", a.nike.original.man[[#This Row],[Reviews]]&gt;=8, "Average +")</f>
        <v>Below Average</v>
      </c>
      <c r="L276" s="11" t="s">
        <v>1582</v>
      </c>
      <c r="M276" s="1" t="s">
        <v>1470</v>
      </c>
    </row>
    <row r="277" spans="1:13" x14ac:dyDescent="0.2">
      <c r="A277" s="1" t="s">
        <v>745</v>
      </c>
      <c r="B277" s="1" t="s">
        <v>746</v>
      </c>
      <c r="C277" s="330">
        <v>0</v>
      </c>
      <c r="D277" s="330">
        <v>140</v>
      </c>
      <c r="E277" s="116">
        <v>0</v>
      </c>
      <c r="F277" s="1" t="s">
        <v>9</v>
      </c>
      <c r="G277" s="1" t="s">
        <v>747</v>
      </c>
      <c r="H277" s="1">
        <v>5</v>
      </c>
      <c r="I277" s="1" t="str" cm="1">
        <f t="array" ref="I277">_xlfn.IFS(a.nike.original.man[[#This Row],[Rating]]&lt;=2.9, "0 - 2.9",a.nike.original.man[[#This Row],[Rating]]&lt;=3.9,"3 - 3.9", a.nike.original.man[[#This Row],[Rating]]&lt;=5,"4 - 5")</f>
        <v>4 - 5</v>
      </c>
      <c r="J277" s="1">
        <v>1</v>
      </c>
      <c r="K277" s="1" t="str" cm="1">
        <f t="array" ref="K277">_xlfn.IFS(a.nike.original.man[[#This Row],[Reviews]]&lt;=7, "Below Average", a.nike.original.man[[#This Row],[Reviews]]&gt;=8, "Average +")</f>
        <v>Below Average</v>
      </c>
      <c r="L277" s="11" t="s">
        <v>1582</v>
      </c>
      <c r="M277" s="1" t="s">
        <v>1470</v>
      </c>
    </row>
    <row r="278" spans="1:13" x14ac:dyDescent="0.2">
      <c r="A278" s="2" t="s">
        <v>748</v>
      </c>
      <c r="B278" s="2" t="s">
        <v>749</v>
      </c>
      <c r="C278" s="331">
        <v>0</v>
      </c>
      <c r="D278" s="331">
        <v>150</v>
      </c>
      <c r="E278" s="116">
        <v>0</v>
      </c>
      <c r="F278" s="2" t="s">
        <v>9</v>
      </c>
      <c r="G278" s="2" t="s">
        <v>750</v>
      </c>
      <c r="H278" s="2">
        <v>0</v>
      </c>
      <c r="I278" s="2" t="str" cm="1">
        <f t="array" ref="I278">_xlfn.IFS(a.nike.original.man[[#This Row],[Rating]]&lt;=2.9, "0 - 2.9",a.nike.original.man[[#This Row],[Rating]]&lt;=3.9,"3 - 3.9", a.nike.original.man[[#This Row],[Rating]]&lt;=5,"4 - 5")</f>
        <v>0 - 2.9</v>
      </c>
      <c r="J278" s="2">
        <v>0</v>
      </c>
      <c r="K278" s="2" t="str" cm="1">
        <f t="array" ref="K278">_xlfn.IFS(a.nike.original.man[[#This Row],[Reviews]]&lt;=7, "Below Average", a.nike.original.man[[#This Row],[Reviews]]&gt;=8, "Average +")</f>
        <v>Below Average</v>
      </c>
      <c r="L278" s="12" t="s">
        <v>1582</v>
      </c>
      <c r="M278" s="2" t="s">
        <v>1470</v>
      </c>
    </row>
    <row r="279" spans="1:13" x14ac:dyDescent="0.2">
      <c r="A279" s="2" t="s">
        <v>760</v>
      </c>
      <c r="B279" s="2" t="s">
        <v>761</v>
      </c>
      <c r="C279" s="331">
        <v>109.95</v>
      </c>
      <c r="D279" s="331">
        <v>66</v>
      </c>
      <c r="E279" s="116">
        <v>0.4</v>
      </c>
      <c r="F279" s="2" t="s">
        <v>9</v>
      </c>
      <c r="G279" s="2" t="s">
        <v>762</v>
      </c>
      <c r="H279" s="2">
        <v>4.5</v>
      </c>
      <c r="I279" s="2" t="str" cm="1">
        <f t="array" ref="I279">_xlfn.IFS(a.nike.original.man[[#This Row],[Rating]]&lt;=2.9, "0 - 2.9",a.nike.original.man[[#This Row],[Rating]]&lt;=3.9,"3 - 3.9", a.nike.original.man[[#This Row],[Rating]]&lt;=5,"4 - 5")</f>
        <v>4 - 5</v>
      </c>
      <c r="J279" s="2">
        <v>2</v>
      </c>
      <c r="K279" s="2" t="str" cm="1">
        <f t="array" ref="K279">_xlfn.IFS(a.nike.original.man[[#This Row],[Reviews]]&lt;=7, "Below Average", a.nike.original.man[[#This Row],[Reviews]]&gt;=8, "Average +")</f>
        <v>Below Average</v>
      </c>
      <c r="L279" s="12" t="s">
        <v>1583</v>
      </c>
      <c r="M279" s="2" t="s">
        <v>1470</v>
      </c>
    </row>
    <row r="280" spans="1:13" x14ac:dyDescent="0.2">
      <c r="A280" s="2" t="s">
        <v>754</v>
      </c>
      <c r="B280" s="2" t="s">
        <v>755</v>
      </c>
      <c r="C280" s="331">
        <v>199.95</v>
      </c>
      <c r="D280" s="331">
        <v>160</v>
      </c>
      <c r="E280" s="116">
        <v>0.2</v>
      </c>
      <c r="F280" s="2" t="s">
        <v>9</v>
      </c>
      <c r="G280" s="2" t="s">
        <v>756</v>
      </c>
      <c r="H280" s="2">
        <v>0</v>
      </c>
      <c r="I280" s="2" t="str" cm="1">
        <f t="array" ref="I280">_xlfn.IFS(a.nike.original.man[[#This Row],[Rating]]&lt;=2.9, "0 - 2.9",a.nike.original.man[[#This Row],[Rating]]&lt;=3.9,"3 - 3.9", a.nike.original.man[[#This Row],[Rating]]&lt;=5,"4 - 5")</f>
        <v>0 - 2.9</v>
      </c>
      <c r="J280" s="2">
        <v>0</v>
      </c>
      <c r="K280" s="2" t="str" cm="1">
        <f t="array" ref="K280">_xlfn.IFS(a.nike.original.man[[#This Row],[Reviews]]&lt;=7, "Below Average", a.nike.original.man[[#This Row],[Reviews]]&gt;=8, "Average +")</f>
        <v>Below Average</v>
      </c>
      <c r="L280" s="12" t="s">
        <v>1583</v>
      </c>
      <c r="M280" s="2" t="s">
        <v>1470</v>
      </c>
    </row>
    <row r="281" spans="1:13" x14ac:dyDescent="0.2">
      <c r="A281" s="1" t="s">
        <v>757</v>
      </c>
      <c r="B281" s="1" t="s">
        <v>758</v>
      </c>
      <c r="C281" s="330">
        <v>0</v>
      </c>
      <c r="D281" s="330">
        <v>140</v>
      </c>
      <c r="E281" s="116">
        <v>0</v>
      </c>
      <c r="F281" s="1" t="s">
        <v>9</v>
      </c>
      <c r="G281" s="1" t="s">
        <v>759</v>
      </c>
      <c r="H281" s="1">
        <v>0</v>
      </c>
      <c r="I281" s="1" t="str" cm="1">
        <f t="array" ref="I281">_xlfn.IFS(a.nike.original.man[[#This Row],[Rating]]&lt;=2.9, "0 - 2.9",a.nike.original.man[[#This Row],[Rating]]&lt;=3.9,"3 - 3.9", a.nike.original.man[[#This Row],[Rating]]&lt;=5,"4 - 5")</f>
        <v>0 - 2.9</v>
      </c>
      <c r="J281" s="1">
        <v>0</v>
      </c>
      <c r="K281" s="1" t="str" cm="1">
        <f t="array" ref="K281">_xlfn.IFS(a.nike.original.man[[#This Row],[Reviews]]&lt;=7, "Below Average", a.nike.original.man[[#This Row],[Reviews]]&gt;=8, "Average +")</f>
        <v>Below Average</v>
      </c>
      <c r="L281" s="11" t="s">
        <v>1583</v>
      </c>
      <c r="M281" s="1" t="s">
        <v>1470</v>
      </c>
    </row>
    <row r="282" spans="1:13" x14ac:dyDescent="0.2">
      <c r="A282" s="1" t="s">
        <v>763</v>
      </c>
      <c r="B282" s="1" t="s">
        <v>764</v>
      </c>
      <c r="C282" s="330">
        <v>0</v>
      </c>
      <c r="D282" s="330">
        <v>150</v>
      </c>
      <c r="E282" s="116">
        <v>0</v>
      </c>
      <c r="F282" s="1" t="s">
        <v>9</v>
      </c>
      <c r="G282" s="1" t="s">
        <v>765</v>
      </c>
      <c r="H282" s="1">
        <v>0</v>
      </c>
      <c r="I282" s="1" t="str" cm="1">
        <f t="array" ref="I282">_xlfn.IFS(a.nike.original.man[[#This Row],[Rating]]&lt;=2.9, "0 - 2.9",a.nike.original.man[[#This Row],[Rating]]&lt;=3.9,"3 - 3.9", a.nike.original.man[[#This Row],[Rating]]&lt;=5,"4 - 5")</f>
        <v>0 - 2.9</v>
      </c>
      <c r="J282" s="1">
        <v>0</v>
      </c>
      <c r="K282" s="1" t="str" cm="1">
        <f t="array" ref="K282">_xlfn.IFS(a.nike.original.man[[#This Row],[Reviews]]&lt;=7, "Below Average", a.nike.original.man[[#This Row],[Reviews]]&gt;=8, "Average +")</f>
        <v>Below Average</v>
      </c>
      <c r="L282" s="11" t="s">
        <v>1584</v>
      </c>
      <c r="M282" s="1" t="s">
        <v>1470</v>
      </c>
    </row>
    <row r="283" spans="1:13" x14ac:dyDescent="0.2">
      <c r="A283" s="2" t="s">
        <v>766</v>
      </c>
      <c r="B283" s="2" t="s">
        <v>767</v>
      </c>
      <c r="C283" s="331">
        <v>89.95</v>
      </c>
      <c r="D283" s="331">
        <v>63</v>
      </c>
      <c r="E283" s="116">
        <v>0.3</v>
      </c>
      <c r="F283" s="2" t="s">
        <v>9</v>
      </c>
      <c r="G283" s="2" t="s">
        <v>768</v>
      </c>
      <c r="H283" s="2">
        <v>0</v>
      </c>
      <c r="I283" s="2" t="str" cm="1">
        <f t="array" ref="I283">_xlfn.IFS(a.nike.original.man[[#This Row],[Rating]]&lt;=2.9, "0 - 2.9",a.nike.original.man[[#This Row],[Rating]]&lt;=3.9,"3 - 3.9", a.nike.original.man[[#This Row],[Rating]]&lt;=5,"4 - 5")</f>
        <v>0 - 2.9</v>
      </c>
      <c r="J283" s="2">
        <v>0</v>
      </c>
      <c r="K283" s="2" t="str" cm="1">
        <f t="array" ref="K283">_xlfn.IFS(a.nike.original.man[[#This Row],[Reviews]]&lt;=7, "Below Average", a.nike.original.man[[#This Row],[Reviews]]&gt;=8, "Average +")</f>
        <v>Below Average</v>
      </c>
      <c r="L283" s="12" t="s">
        <v>1584</v>
      </c>
      <c r="M283" s="2" t="s">
        <v>1470</v>
      </c>
    </row>
    <row r="284" spans="1:13" x14ac:dyDescent="0.2">
      <c r="A284" s="2" t="s">
        <v>772</v>
      </c>
      <c r="B284" s="2" t="s">
        <v>773</v>
      </c>
      <c r="C284" s="331">
        <v>0</v>
      </c>
      <c r="D284" s="331">
        <v>28</v>
      </c>
      <c r="E284" s="116">
        <v>0</v>
      </c>
      <c r="F284" s="2" t="s">
        <v>9</v>
      </c>
      <c r="G284" s="2" t="s">
        <v>774</v>
      </c>
      <c r="H284" s="2">
        <v>3</v>
      </c>
      <c r="I284" s="2" t="str" cm="1">
        <f t="array" ref="I284">_xlfn.IFS(a.nike.original.man[[#This Row],[Rating]]&lt;=2.9, "0 - 2.9",a.nike.original.man[[#This Row],[Rating]]&lt;=3.9,"3 - 3.9", a.nike.original.man[[#This Row],[Rating]]&lt;=5,"4 - 5")</f>
        <v>3 - 3.9</v>
      </c>
      <c r="J284" s="2">
        <v>5</v>
      </c>
      <c r="K284" s="2" t="str" cm="1">
        <f t="array" ref="K284">_xlfn.IFS(a.nike.original.man[[#This Row],[Reviews]]&lt;=7, "Below Average", a.nike.original.man[[#This Row],[Reviews]]&gt;=8, "Average +")</f>
        <v>Below Average</v>
      </c>
      <c r="L284" s="12" t="s">
        <v>1585</v>
      </c>
      <c r="M284" s="2" t="s">
        <v>1470</v>
      </c>
    </row>
    <row r="285" spans="1:13" x14ac:dyDescent="0.2">
      <c r="A285" s="1" t="s">
        <v>769</v>
      </c>
      <c r="B285" s="1" t="s">
        <v>770</v>
      </c>
      <c r="C285" s="330">
        <v>139.94999999999999</v>
      </c>
      <c r="D285" s="330">
        <v>112</v>
      </c>
      <c r="E285" s="116">
        <v>0.2</v>
      </c>
      <c r="F285" s="1" t="s">
        <v>9</v>
      </c>
      <c r="G285" s="1" t="s">
        <v>771</v>
      </c>
      <c r="H285" s="1">
        <v>5</v>
      </c>
      <c r="I285" s="1" t="str" cm="1">
        <f t="array" ref="I285">_xlfn.IFS(a.nike.original.man[[#This Row],[Rating]]&lt;=2.9, "0 - 2.9",a.nike.original.man[[#This Row],[Rating]]&lt;=3.9,"3 - 3.9", a.nike.original.man[[#This Row],[Rating]]&lt;=5,"4 - 5")</f>
        <v>4 - 5</v>
      </c>
      <c r="J285" s="1">
        <v>1</v>
      </c>
      <c r="K285" s="1" t="str" cm="1">
        <f t="array" ref="K285">_xlfn.IFS(a.nike.original.man[[#This Row],[Reviews]]&lt;=7, "Below Average", a.nike.original.man[[#This Row],[Reviews]]&gt;=8, "Average +")</f>
        <v>Below Average</v>
      </c>
      <c r="L285" s="11" t="s">
        <v>1585</v>
      </c>
      <c r="M285" s="1" t="s">
        <v>1470</v>
      </c>
    </row>
    <row r="286" spans="1:13" x14ac:dyDescent="0.2">
      <c r="A286" s="2" t="s">
        <v>778</v>
      </c>
      <c r="B286" s="2" t="s">
        <v>779</v>
      </c>
      <c r="C286" s="331">
        <v>0</v>
      </c>
      <c r="D286" s="331">
        <v>65</v>
      </c>
      <c r="E286" s="116">
        <v>0</v>
      </c>
      <c r="F286" s="2" t="s">
        <v>9</v>
      </c>
      <c r="G286" s="2" t="s">
        <v>780</v>
      </c>
      <c r="H286" s="2">
        <v>5</v>
      </c>
      <c r="I286" s="2" t="str" cm="1">
        <f t="array" ref="I286">_xlfn.IFS(a.nike.original.man[[#This Row],[Rating]]&lt;=2.9, "0 - 2.9",a.nike.original.man[[#This Row],[Rating]]&lt;=3.9,"3 - 3.9", a.nike.original.man[[#This Row],[Rating]]&lt;=5,"4 - 5")</f>
        <v>4 - 5</v>
      </c>
      <c r="J286" s="2">
        <v>1</v>
      </c>
      <c r="K286" s="2" t="str" cm="1">
        <f t="array" ref="K286">_xlfn.IFS(a.nike.original.man[[#This Row],[Reviews]]&lt;=7, "Below Average", a.nike.original.man[[#This Row],[Reviews]]&gt;=8, "Average +")</f>
        <v>Below Average</v>
      </c>
      <c r="L286" s="12" t="s">
        <v>1585</v>
      </c>
      <c r="M286" s="2" t="s">
        <v>1470</v>
      </c>
    </row>
    <row r="287" spans="1:13" x14ac:dyDescent="0.2">
      <c r="A287" s="1" t="s">
        <v>775</v>
      </c>
      <c r="B287" s="1" t="s">
        <v>776</v>
      </c>
      <c r="C287" s="330">
        <v>109.95</v>
      </c>
      <c r="D287" s="330">
        <v>88</v>
      </c>
      <c r="E287" s="116">
        <v>0.2</v>
      </c>
      <c r="F287" s="1" t="s">
        <v>9</v>
      </c>
      <c r="G287" s="1" t="s">
        <v>777</v>
      </c>
      <c r="H287" s="1">
        <v>4.4000000000000004</v>
      </c>
      <c r="I287" s="1" t="str" cm="1">
        <f t="array" ref="I287">_xlfn.IFS(a.nike.original.man[[#This Row],[Rating]]&lt;=2.9, "0 - 2.9",a.nike.original.man[[#This Row],[Rating]]&lt;=3.9,"3 - 3.9", a.nike.original.man[[#This Row],[Rating]]&lt;=5,"4 - 5")</f>
        <v>4 - 5</v>
      </c>
      <c r="J287" s="1">
        <v>10</v>
      </c>
      <c r="K287" s="1" t="str" cm="1">
        <f t="array" ref="K287">_xlfn.IFS(a.nike.original.man[[#This Row],[Reviews]]&lt;=7, "Below Average", a.nike.original.man[[#This Row],[Reviews]]&gt;=8, "Average +")</f>
        <v>Average +</v>
      </c>
      <c r="L287" s="11" t="s">
        <v>1585</v>
      </c>
      <c r="M287" s="1" t="s">
        <v>1470</v>
      </c>
    </row>
    <row r="288" spans="1:13" x14ac:dyDescent="0.2">
      <c r="A288" s="2" t="s">
        <v>790</v>
      </c>
      <c r="B288" s="2" t="s">
        <v>791</v>
      </c>
      <c r="C288" s="331">
        <v>0</v>
      </c>
      <c r="D288" s="331">
        <v>200</v>
      </c>
      <c r="E288" s="116">
        <v>0</v>
      </c>
      <c r="F288" s="2" t="s">
        <v>9</v>
      </c>
      <c r="G288" s="2" t="s">
        <v>792</v>
      </c>
      <c r="H288" s="2">
        <v>4.7</v>
      </c>
      <c r="I288" s="2" t="str" cm="1">
        <f t="array" ref="I288">_xlfn.IFS(a.nike.original.man[[#This Row],[Rating]]&lt;=2.9, "0 - 2.9",a.nike.original.man[[#This Row],[Rating]]&lt;=3.9,"3 - 3.9", a.nike.original.man[[#This Row],[Rating]]&lt;=5,"4 - 5")</f>
        <v>4 - 5</v>
      </c>
      <c r="J288" s="2">
        <v>45</v>
      </c>
      <c r="K288" s="2" t="str" cm="1">
        <f t="array" ref="K288">_xlfn.IFS(a.nike.original.man[[#This Row],[Reviews]]&lt;=7, "Below Average", a.nike.original.man[[#This Row],[Reviews]]&gt;=8, "Average +")</f>
        <v>Average +</v>
      </c>
      <c r="L288" s="12" t="s">
        <v>1586</v>
      </c>
      <c r="M288" s="2" t="s">
        <v>1470</v>
      </c>
    </row>
    <row r="289" spans="1:13" x14ac:dyDescent="0.2">
      <c r="A289" s="2" t="s">
        <v>784</v>
      </c>
      <c r="B289" s="2" t="s">
        <v>785</v>
      </c>
      <c r="C289" s="331">
        <v>0</v>
      </c>
      <c r="D289" s="331">
        <v>110</v>
      </c>
      <c r="E289" s="116">
        <v>0</v>
      </c>
      <c r="F289" s="2" t="s">
        <v>9</v>
      </c>
      <c r="G289" s="2" t="s">
        <v>786</v>
      </c>
      <c r="H289" s="2">
        <v>5</v>
      </c>
      <c r="I289" s="2" t="str" cm="1">
        <f t="array" ref="I289">_xlfn.IFS(a.nike.original.man[[#This Row],[Rating]]&lt;=2.9, "0 - 2.9",a.nike.original.man[[#This Row],[Rating]]&lt;=3.9,"3 - 3.9", a.nike.original.man[[#This Row],[Rating]]&lt;=5,"4 - 5")</f>
        <v>4 - 5</v>
      </c>
      <c r="J289" s="2">
        <v>1</v>
      </c>
      <c r="K289" s="2" t="str" cm="1">
        <f t="array" ref="K289">_xlfn.IFS(a.nike.original.man[[#This Row],[Reviews]]&lt;=7, "Below Average", a.nike.original.man[[#This Row],[Reviews]]&gt;=8, "Average +")</f>
        <v>Below Average</v>
      </c>
      <c r="L289" s="12" t="s">
        <v>1586</v>
      </c>
      <c r="M289" s="2" t="s">
        <v>1470</v>
      </c>
    </row>
    <row r="290" spans="1:13" x14ac:dyDescent="0.2">
      <c r="A290" s="1" t="s">
        <v>787</v>
      </c>
      <c r="B290" s="1" t="s">
        <v>788</v>
      </c>
      <c r="C290" s="330">
        <v>0</v>
      </c>
      <c r="D290" s="330">
        <v>100</v>
      </c>
      <c r="E290" s="116">
        <v>0</v>
      </c>
      <c r="F290" s="1" t="s">
        <v>9</v>
      </c>
      <c r="G290" s="1" t="s">
        <v>789</v>
      </c>
      <c r="H290" s="1">
        <v>5</v>
      </c>
      <c r="I290" s="1" t="str" cm="1">
        <f t="array" ref="I290">_xlfn.IFS(a.nike.original.man[[#This Row],[Rating]]&lt;=2.9, "0 - 2.9",a.nike.original.man[[#This Row],[Rating]]&lt;=3.9,"3 - 3.9", a.nike.original.man[[#This Row],[Rating]]&lt;=5,"4 - 5")</f>
        <v>4 - 5</v>
      </c>
      <c r="J290" s="1">
        <v>1</v>
      </c>
      <c r="K290" s="1" t="str" cm="1">
        <f t="array" ref="K290">_xlfn.IFS(a.nike.original.man[[#This Row],[Reviews]]&lt;=7, "Below Average", a.nike.original.man[[#This Row],[Reviews]]&gt;=8, "Average +")</f>
        <v>Below Average</v>
      </c>
      <c r="L290" s="11" t="s">
        <v>1586</v>
      </c>
      <c r="M290" s="1" t="s">
        <v>1470</v>
      </c>
    </row>
    <row r="291" spans="1:13" x14ac:dyDescent="0.2">
      <c r="A291" s="1" t="s">
        <v>781</v>
      </c>
      <c r="B291" s="1" t="s">
        <v>782</v>
      </c>
      <c r="C291" s="330">
        <v>0</v>
      </c>
      <c r="D291" s="330">
        <v>75</v>
      </c>
      <c r="E291" s="116">
        <v>0</v>
      </c>
      <c r="F291" s="1" t="s">
        <v>9</v>
      </c>
      <c r="G291" s="1" t="s">
        <v>783</v>
      </c>
      <c r="H291" s="1">
        <v>0</v>
      </c>
      <c r="I291" s="1" t="str" cm="1">
        <f t="array" ref="I291">_xlfn.IFS(a.nike.original.man[[#This Row],[Rating]]&lt;=2.9, "0 - 2.9",a.nike.original.man[[#This Row],[Rating]]&lt;=3.9,"3 - 3.9", a.nike.original.man[[#This Row],[Rating]]&lt;=5,"4 - 5")</f>
        <v>0 - 2.9</v>
      </c>
      <c r="J291" s="1">
        <v>0</v>
      </c>
      <c r="K291" s="1" t="str" cm="1">
        <f t="array" ref="K291">_xlfn.IFS(a.nike.original.man[[#This Row],[Reviews]]&lt;=7, "Below Average", a.nike.original.man[[#This Row],[Reviews]]&gt;=8, "Average +")</f>
        <v>Below Average</v>
      </c>
      <c r="L291" s="11" t="s">
        <v>1586</v>
      </c>
      <c r="M291" s="1" t="s">
        <v>1470</v>
      </c>
    </row>
    <row r="292" spans="1:13" x14ac:dyDescent="0.2">
      <c r="A292" s="1" t="s">
        <v>793</v>
      </c>
      <c r="B292" s="1" t="s">
        <v>794</v>
      </c>
      <c r="C292" s="330">
        <v>0</v>
      </c>
      <c r="D292" s="330">
        <v>55</v>
      </c>
      <c r="E292" s="116">
        <v>0</v>
      </c>
      <c r="F292" s="1" t="s">
        <v>9</v>
      </c>
      <c r="G292" s="1" t="s">
        <v>795</v>
      </c>
      <c r="H292" s="1">
        <v>5</v>
      </c>
      <c r="I292" s="1" t="str" cm="1">
        <f t="array" ref="I292">_xlfn.IFS(a.nike.original.man[[#This Row],[Rating]]&lt;=2.9, "0 - 2.9",a.nike.original.man[[#This Row],[Rating]]&lt;=3.9,"3 - 3.9", a.nike.original.man[[#This Row],[Rating]]&lt;=5,"4 - 5")</f>
        <v>4 - 5</v>
      </c>
      <c r="J292" s="1">
        <v>1</v>
      </c>
      <c r="K292" s="1" t="str" cm="1">
        <f t="array" ref="K292">_xlfn.IFS(a.nike.original.man[[#This Row],[Reviews]]&lt;=7, "Below Average", a.nike.original.man[[#This Row],[Reviews]]&gt;=8, "Average +")</f>
        <v>Below Average</v>
      </c>
      <c r="L292" s="11" t="s">
        <v>1587</v>
      </c>
      <c r="M292" s="1" t="s">
        <v>1470</v>
      </c>
    </row>
    <row r="293" spans="1:13" x14ac:dyDescent="0.2">
      <c r="A293" s="2" t="s">
        <v>141</v>
      </c>
      <c r="B293" s="2" t="s">
        <v>796</v>
      </c>
      <c r="C293" s="331">
        <v>0</v>
      </c>
      <c r="D293" s="331">
        <v>110</v>
      </c>
      <c r="E293" s="116">
        <v>0</v>
      </c>
      <c r="F293" s="2" t="s">
        <v>9</v>
      </c>
      <c r="G293" s="2" t="s">
        <v>143</v>
      </c>
      <c r="H293" s="2">
        <v>0</v>
      </c>
      <c r="I293" s="2" t="str" cm="1">
        <f t="array" ref="I293">_xlfn.IFS(a.nike.original.man[[#This Row],[Rating]]&lt;=2.9, "0 - 2.9",a.nike.original.man[[#This Row],[Rating]]&lt;=3.9,"3 - 3.9", a.nike.original.man[[#This Row],[Rating]]&lt;=5,"4 - 5")</f>
        <v>0 - 2.9</v>
      </c>
      <c r="J293" s="2">
        <v>0</v>
      </c>
      <c r="K293" s="2" t="str" cm="1">
        <f t="array" ref="K293">_xlfn.IFS(a.nike.original.man[[#This Row],[Reviews]]&lt;=7, "Below Average", a.nike.original.man[[#This Row],[Reviews]]&gt;=8, "Average +")</f>
        <v>Below Average</v>
      </c>
      <c r="L293" s="12" t="s">
        <v>1587</v>
      </c>
      <c r="M293" s="2" t="s">
        <v>1470</v>
      </c>
    </row>
    <row r="294" spans="1:13" x14ac:dyDescent="0.2">
      <c r="A294" s="1" t="s">
        <v>797</v>
      </c>
      <c r="B294" s="1" t="s">
        <v>798</v>
      </c>
      <c r="C294" s="330">
        <v>99.95</v>
      </c>
      <c r="D294" s="330">
        <v>70</v>
      </c>
      <c r="E294" s="116">
        <v>0.3</v>
      </c>
      <c r="F294" s="1" t="s">
        <v>9</v>
      </c>
      <c r="G294" s="1" t="s">
        <v>799</v>
      </c>
      <c r="H294" s="1">
        <v>3.6</v>
      </c>
      <c r="I294" s="1" t="str" cm="1">
        <f t="array" ref="I294">_xlfn.IFS(a.nike.original.man[[#This Row],[Rating]]&lt;=2.9, "0 - 2.9",a.nike.original.man[[#This Row],[Rating]]&lt;=3.9,"3 - 3.9", a.nike.original.man[[#This Row],[Rating]]&lt;=5,"4 - 5")</f>
        <v>3 - 3.9</v>
      </c>
      <c r="J294" s="1">
        <v>10</v>
      </c>
      <c r="K294" s="1" t="str" cm="1">
        <f t="array" ref="K294">_xlfn.IFS(a.nike.original.man[[#This Row],[Reviews]]&lt;=7, "Below Average", a.nike.original.man[[#This Row],[Reviews]]&gt;=8, "Average +")</f>
        <v>Average +</v>
      </c>
      <c r="L294" s="11" t="s">
        <v>1587</v>
      </c>
      <c r="M294" s="1" t="s">
        <v>1470</v>
      </c>
    </row>
    <row r="295" spans="1:13" x14ac:dyDescent="0.2">
      <c r="A295" s="1" t="s">
        <v>814</v>
      </c>
      <c r="B295" s="1" t="s">
        <v>815</v>
      </c>
      <c r="C295" s="330">
        <v>0</v>
      </c>
      <c r="D295" s="330">
        <v>140</v>
      </c>
      <c r="E295" s="116">
        <v>0</v>
      </c>
      <c r="F295" s="1" t="s">
        <v>9</v>
      </c>
      <c r="G295" s="1" t="s">
        <v>816</v>
      </c>
      <c r="H295" s="1">
        <v>4.5</v>
      </c>
      <c r="I295" s="1" t="str" cm="1">
        <f t="array" ref="I295">_xlfn.IFS(a.nike.original.man[[#This Row],[Rating]]&lt;=2.9, "0 - 2.9",a.nike.original.man[[#This Row],[Rating]]&lt;=3.9,"3 - 3.9", a.nike.original.man[[#This Row],[Rating]]&lt;=5,"4 - 5")</f>
        <v>4 - 5</v>
      </c>
      <c r="J295" s="1">
        <v>2</v>
      </c>
      <c r="K295" s="1" t="str" cm="1">
        <f t="array" ref="K295">_xlfn.IFS(a.nike.original.man[[#This Row],[Reviews]]&lt;=7, "Below Average", a.nike.original.man[[#This Row],[Reviews]]&gt;=8, "Average +")</f>
        <v>Below Average</v>
      </c>
      <c r="L295" s="11" t="s">
        <v>1588</v>
      </c>
      <c r="M295" s="1" t="s">
        <v>1470</v>
      </c>
    </row>
    <row r="296" spans="1:13" x14ac:dyDescent="0.2">
      <c r="A296" s="2" t="s">
        <v>800</v>
      </c>
      <c r="B296" s="2" t="s">
        <v>801</v>
      </c>
      <c r="C296" s="331">
        <v>69.95</v>
      </c>
      <c r="D296" s="331">
        <v>49</v>
      </c>
      <c r="E296" s="116">
        <v>0.3</v>
      </c>
      <c r="F296" s="2" t="s">
        <v>9</v>
      </c>
      <c r="G296" s="2" t="s">
        <v>802</v>
      </c>
      <c r="H296" s="2">
        <v>5</v>
      </c>
      <c r="I296" s="2" t="str" cm="1">
        <f t="array" ref="I296">_xlfn.IFS(a.nike.original.man[[#This Row],[Rating]]&lt;=2.9, "0 - 2.9",a.nike.original.man[[#This Row],[Rating]]&lt;=3.9,"3 - 3.9", a.nike.original.man[[#This Row],[Rating]]&lt;=5,"4 - 5")</f>
        <v>4 - 5</v>
      </c>
      <c r="J296" s="2">
        <v>1</v>
      </c>
      <c r="K296" s="2" t="str" cm="1">
        <f t="array" ref="K296">_xlfn.IFS(a.nike.original.man[[#This Row],[Reviews]]&lt;=7, "Below Average", a.nike.original.man[[#This Row],[Reviews]]&gt;=8, "Average +")</f>
        <v>Below Average</v>
      </c>
      <c r="L296" s="12" t="s">
        <v>1588</v>
      </c>
      <c r="M296" s="2" t="s">
        <v>1470</v>
      </c>
    </row>
    <row r="297" spans="1:13" x14ac:dyDescent="0.2">
      <c r="A297" s="1" t="s">
        <v>803</v>
      </c>
      <c r="B297" s="1" t="s">
        <v>804</v>
      </c>
      <c r="C297" s="330">
        <v>0</v>
      </c>
      <c r="D297" s="330">
        <v>140</v>
      </c>
      <c r="E297" s="116">
        <v>0</v>
      </c>
      <c r="F297" s="1" t="s">
        <v>9</v>
      </c>
      <c r="G297" s="1" t="s">
        <v>805</v>
      </c>
      <c r="H297" s="1">
        <v>4.5999999999999996</v>
      </c>
      <c r="I297" s="1" t="str" cm="1">
        <f t="array" ref="I297">_xlfn.IFS(a.nike.original.man[[#This Row],[Rating]]&lt;=2.9, "0 - 2.9",a.nike.original.man[[#This Row],[Rating]]&lt;=3.9,"3 - 3.9", a.nike.original.man[[#This Row],[Rating]]&lt;=5,"4 - 5")</f>
        <v>4 - 5</v>
      </c>
      <c r="J297" s="1">
        <v>14</v>
      </c>
      <c r="K297" s="1" t="str" cm="1">
        <f t="array" ref="K297">_xlfn.IFS(a.nike.original.man[[#This Row],[Reviews]]&lt;=7, "Below Average", a.nike.original.man[[#This Row],[Reviews]]&gt;=8, "Average +")</f>
        <v>Average +</v>
      </c>
      <c r="L297" s="11" t="s">
        <v>1588</v>
      </c>
      <c r="M297" s="1" t="s">
        <v>1470</v>
      </c>
    </row>
    <row r="298" spans="1:13" x14ac:dyDescent="0.2">
      <c r="A298" s="2" t="s">
        <v>806</v>
      </c>
      <c r="B298" s="2" t="s">
        <v>807</v>
      </c>
      <c r="C298" s="331">
        <v>49.95</v>
      </c>
      <c r="D298" s="331">
        <v>35</v>
      </c>
      <c r="E298" s="116">
        <v>0.3</v>
      </c>
      <c r="F298" s="2" t="s">
        <v>9</v>
      </c>
      <c r="G298" s="2" t="s">
        <v>808</v>
      </c>
      <c r="H298" s="2">
        <v>0</v>
      </c>
      <c r="I298" s="2" t="str" cm="1">
        <f t="array" ref="I298">_xlfn.IFS(a.nike.original.man[[#This Row],[Rating]]&lt;=2.9, "0 - 2.9",a.nike.original.man[[#This Row],[Rating]]&lt;=3.9,"3 - 3.9", a.nike.original.man[[#This Row],[Rating]]&lt;=5,"4 - 5")</f>
        <v>0 - 2.9</v>
      </c>
      <c r="J298" s="2">
        <v>0</v>
      </c>
      <c r="K298" s="2" t="str" cm="1">
        <f t="array" ref="K298">_xlfn.IFS(a.nike.original.man[[#This Row],[Reviews]]&lt;=7, "Below Average", a.nike.original.man[[#This Row],[Reviews]]&gt;=8, "Average +")</f>
        <v>Below Average</v>
      </c>
      <c r="L298" s="12" t="s">
        <v>1588</v>
      </c>
      <c r="M298" s="2" t="s">
        <v>1470</v>
      </c>
    </row>
    <row r="299" spans="1:13" x14ac:dyDescent="0.2">
      <c r="A299" s="1" t="s">
        <v>37</v>
      </c>
      <c r="B299" s="1" t="s">
        <v>809</v>
      </c>
      <c r="C299" s="330">
        <v>0</v>
      </c>
      <c r="D299" s="330">
        <v>100</v>
      </c>
      <c r="E299" s="116">
        <v>0</v>
      </c>
      <c r="F299" s="1" t="s">
        <v>9</v>
      </c>
      <c r="G299" s="1" t="s">
        <v>810</v>
      </c>
      <c r="H299" s="1">
        <v>0</v>
      </c>
      <c r="I299" s="1" t="str" cm="1">
        <f t="array" ref="I299">_xlfn.IFS(a.nike.original.man[[#This Row],[Rating]]&lt;=2.9, "0 - 2.9",a.nike.original.man[[#This Row],[Rating]]&lt;=3.9,"3 - 3.9", a.nike.original.man[[#This Row],[Rating]]&lt;=5,"4 - 5")</f>
        <v>0 - 2.9</v>
      </c>
      <c r="J299" s="1">
        <v>0</v>
      </c>
      <c r="K299" s="1" t="str" cm="1">
        <f t="array" ref="K299">_xlfn.IFS(a.nike.original.man[[#This Row],[Reviews]]&lt;=7, "Below Average", a.nike.original.man[[#This Row],[Reviews]]&gt;=8, "Average +")</f>
        <v>Below Average</v>
      </c>
      <c r="L299" s="11" t="s">
        <v>1588</v>
      </c>
      <c r="M299" s="1" t="s">
        <v>1470</v>
      </c>
    </row>
    <row r="300" spans="1:13" x14ac:dyDescent="0.2">
      <c r="A300" s="2" t="s">
        <v>811</v>
      </c>
      <c r="B300" s="2" t="s">
        <v>812</v>
      </c>
      <c r="C300" s="331">
        <v>0</v>
      </c>
      <c r="D300" s="331">
        <v>120</v>
      </c>
      <c r="E300" s="116">
        <v>0</v>
      </c>
      <c r="F300" s="2" t="s">
        <v>9</v>
      </c>
      <c r="G300" s="2" t="s">
        <v>813</v>
      </c>
      <c r="H300" s="2">
        <v>4.3</v>
      </c>
      <c r="I300" s="2" t="str" cm="1">
        <f t="array" ref="I300">_xlfn.IFS(a.nike.original.man[[#This Row],[Rating]]&lt;=2.9, "0 - 2.9",a.nike.original.man[[#This Row],[Rating]]&lt;=3.9,"3 - 3.9", a.nike.original.man[[#This Row],[Rating]]&lt;=5,"4 - 5")</f>
        <v>4 - 5</v>
      </c>
      <c r="J300" s="2">
        <v>10</v>
      </c>
      <c r="K300" s="2" t="str" cm="1">
        <f t="array" ref="K300">_xlfn.IFS(a.nike.original.man[[#This Row],[Reviews]]&lt;=7, "Below Average", a.nike.original.man[[#This Row],[Reviews]]&gt;=8, "Average +")</f>
        <v>Average +</v>
      </c>
      <c r="L300" s="12" t="s">
        <v>1588</v>
      </c>
      <c r="M300" s="2" t="s">
        <v>1470</v>
      </c>
    </row>
    <row r="301" spans="1:13" x14ac:dyDescent="0.2">
      <c r="A301" s="2" t="s">
        <v>828</v>
      </c>
      <c r="B301" s="2" t="s">
        <v>829</v>
      </c>
      <c r="C301" s="331">
        <v>69.95</v>
      </c>
      <c r="D301" s="331">
        <v>56</v>
      </c>
      <c r="E301" s="116">
        <v>0.2</v>
      </c>
      <c r="F301" s="2" t="s">
        <v>9</v>
      </c>
      <c r="G301" s="2" t="s">
        <v>830</v>
      </c>
      <c r="H301" s="2">
        <v>2.5</v>
      </c>
      <c r="I301" s="2" t="str" cm="1">
        <f t="array" ref="I301">_xlfn.IFS(a.nike.original.man[[#This Row],[Rating]]&lt;=2.9, "0 - 2.9",a.nike.original.man[[#This Row],[Rating]]&lt;=3.9,"3 - 3.9", a.nike.original.man[[#This Row],[Rating]]&lt;=5,"4 - 5")</f>
        <v>0 - 2.9</v>
      </c>
      <c r="J301" s="2">
        <v>6</v>
      </c>
      <c r="K301" s="2" t="str" cm="1">
        <f t="array" ref="K301">_xlfn.IFS(a.nike.original.man[[#This Row],[Reviews]]&lt;=7, "Below Average", a.nike.original.man[[#This Row],[Reviews]]&gt;=8, "Average +")</f>
        <v>Below Average</v>
      </c>
      <c r="L301" s="12" t="s">
        <v>1589</v>
      </c>
      <c r="M301" s="2" t="s">
        <v>1470</v>
      </c>
    </row>
    <row r="302" spans="1:13" x14ac:dyDescent="0.2">
      <c r="A302" s="1" t="s">
        <v>825</v>
      </c>
      <c r="B302" s="1" t="s">
        <v>826</v>
      </c>
      <c r="C302" s="330">
        <v>159.94999999999999</v>
      </c>
      <c r="D302" s="330">
        <v>128</v>
      </c>
      <c r="E302" s="116">
        <v>0.2</v>
      </c>
      <c r="F302" s="1" t="s">
        <v>9</v>
      </c>
      <c r="G302" s="1" t="s">
        <v>827</v>
      </c>
      <c r="H302" s="1">
        <v>4.5</v>
      </c>
      <c r="I302" s="1" t="str" cm="1">
        <f t="array" ref="I302">_xlfn.IFS(a.nike.original.man[[#This Row],[Rating]]&lt;=2.9, "0 - 2.9",a.nike.original.man[[#This Row],[Rating]]&lt;=3.9,"3 - 3.9", a.nike.original.man[[#This Row],[Rating]]&lt;=5,"4 - 5")</f>
        <v>4 - 5</v>
      </c>
      <c r="J302" s="1">
        <v>2</v>
      </c>
      <c r="K302" s="1" t="str" cm="1">
        <f t="array" ref="K302">_xlfn.IFS(a.nike.original.man[[#This Row],[Reviews]]&lt;=7, "Below Average", a.nike.original.man[[#This Row],[Reviews]]&gt;=8, "Average +")</f>
        <v>Below Average</v>
      </c>
      <c r="L302" s="11" t="s">
        <v>1589</v>
      </c>
      <c r="M302" s="1" t="s">
        <v>1470</v>
      </c>
    </row>
    <row r="303" spans="1:13" x14ac:dyDescent="0.2">
      <c r="A303" s="2" t="s">
        <v>132</v>
      </c>
      <c r="B303" s="2" t="s">
        <v>817</v>
      </c>
      <c r="C303" s="331">
        <v>149.94999999999999</v>
      </c>
      <c r="D303" s="331">
        <v>90</v>
      </c>
      <c r="E303" s="116">
        <v>0.4</v>
      </c>
      <c r="F303" s="2" t="s">
        <v>9</v>
      </c>
      <c r="G303" s="2" t="s">
        <v>818</v>
      </c>
      <c r="H303" s="2">
        <v>0</v>
      </c>
      <c r="I303" s="2" t="str" cm="1">
        <f t="array" ref="I303">_xlfn.IFS(a.nike.original.man[[#This Row],[Rating]]&lt;=2.9, "0 - 2.9",a.nike.original.man[[#This Row],[Rating]]&lt;=3.9,"3 - 3.9", a.nike.original.man[[#This Row],[Rating]]&lt;=5,"4 - 5")</f>
        <v>0 - 2.9</v>
      </c>
      <c r="J303" s="2">
        <v>0</v>
      </c>
      <c r="K303" s="2" t="str" cm="1">
        <f t="array" ref="K303">_xlfn.IFS(a.nike.original.man[[#This Row],[Reviews]]&lt;=7, "Below Average", a.nike.original.man[[#This Row],[Reviews]]&gt;=8, "Average +")</f>
        <v>Below Average</v>
      </c>
      <c r="L303" s="12" t="s">
        <v>1589</v>
      </c>
      <c r="M303" s="2" t="s">
        <v>1470</v>
      </c>
    </row>
    <row r="304" spans="1:13" x14ac:dyDescent="0.2">
      <c r="A304" s="1" t="s">
        <v>819</v>
      </c>
      <c r="B304" s="1" t="s">
        <v>820</v>
      </c>
      <c r="C304" s="330">
        <v>89.95</v>
      </c>
      <c r="D304" s="330">
        <v>63</v>
      </c>
      <c r="E304" s="116">
        <v>0.3</v>
      </c>
      <c r="F304" s="1" t="s">
        <v>9</v>
      </c>
      <c r="G304" s="1" t="s">
        <v>821</v>
      </c>
      <c r="H304" s="1">
        <v>0</v>
      </c>
      <c r="I304" s="1" t="str" cm="1">
        <f t="array" ref="I304">_xlfn.IFS(a.nike.original.man[[#This Row],[Rating]]&lt;=2.9, "0 - 2.9",a.nike.original.man[[#This Row],[Rating]]&lt;=3.9,"3 - 3.9", a.nike.original.man[[#This Row],[Rating]]&lt;=5,"4 - 5")</f>
        <v>0 - 2.9</v>
      </c>
      <c r="J304" s="1">
        <v>0</v>
      </c>
      <c r="K304" s="1" t="str" cm="1">
        <f t="array" ref="K304">_xlfn.IFS(a.nike.original.man[[#This Row],[Reviews]]&lt;=7, "Below Average", a.nike.original.man[[#This Row],[Reviews]]&gt;=8, "Average +")</f>
        <v>Below Average</v>
      </c>
      <c r="L304" s="11" t="s">
        <v>1589</v>
      </c>
      <c r="M304" s="1" t="s">
        <v>1470</v>
      </c>
    </row>
    <row r="305" spans="1:13" x14ac:dyDescent="0.2">
      <c r="A305" s="2" t="s">
        <v>822</v>
      </c>
      <c r="B305" s="2" t="s">
        <v>823</v>
      </c>
      <c r="C305" s="331">
        <v>0</v>
      </c>
      <c r="D305" s="331">
        <v>130</v>
      </c>
      <c r="E305" s="116">
        <v>0</v>
      </c>
      <c r="F305" s="2" t="s">
        <v>9</v>
      </c>
      <c r="G305" s="2" t="s">
        <v>824</v>
      </c>
      <c r="H305" s="2">
        <v>0</v>
      </c>
      <c r="I305" s="2" t="str" cm="1">
        <f t="array" ref="I305">_xlfn.IFS(a.nike.original.man[[#This Row],[Rating]]&lt;=2.9, "0 - 2.9",a.nike.original.man[[#This Row],[Rating]]&lt;=3.9,"3 - 3.9", a.nike.original.man[[#This Row],[Rating]]&lt;=5,"4 - 5")</f>
        <v>0 - 2.9</v>
      </c>
      <c r="J305" s="2">
        <v>0</v>
      </c>
      <c r="K305" s="2" t="str" cm="1">
        <f t="array" ref="K305">_xlfn.IFS(a.nike.original.man[[#This Row],[Reviews]]&lt;=7, "Below Average", a.nike.original.man[[#This Row],[Reviews]]&gt;=8, "Average +")</f>
        <v>Below Average</v>
      </c>
      <c r="L305" s="12" t="s">
        <v>1589</v>
      </c>
      <c r="M305" s="2" t="s">
        <v>1470</v>
      </c>
    </row>
    <row r="306" spans="1:13" x14ac:dyDescent="0.2">
      <c r="A306" s="1" t="s">
        <v>837</v>
      </c>
      <c r="B306" s="1" t="s">
        <v>838</v>
      </c>
      <c r="C306" s="330">
        <v>0</v>
      </c>
      <c r="D306" s="330">
        <v>250</v>
      </c>
      <c r="E306" s="116">
        <v>0</v>
      </c>
      <c r="F306" s="1" t="s">
        <v>9</v>
      </c>
      <c r="G306" s="1" t="s">
        <v>839</v>
      </c>
      <c r="H306" s="1">
        <v>5</v>
      </c>
      <c r="I306" s="1" t="str" cm="1">
        <f t="array" ref="I306">_xlfn.IFS(a.nike.original.man[[#This Row],[Rating]]&lt;=2.9, "0 - 2.9",a.nike.original.man[[#This Row],[Rating]]&lt;=3.9,"3 - 3.9", a.nike.original.man[[#This Row],[Rating]]&lt;=5,"4 - 5")</f>
        <v>4 - 5</v>
      </c>
      <c r="J306" s="1">
        <v>1</v>
      </c>
      <c r="K306" s="1" t="str" cm="1">
        <f t="array" ref="K306">_xlfn.IFS(a.nike.original.man[[#This Row],[Reviews]]&lt;=7, "Below Average", a.nike.original.man[[#This Row],[Reviews]]&gt;=8, "Average +")</f>
        <v>Below Average</v>
      </c>
      <c r="L306" s="11" t="s">
        <v>1590</v>
      </c>
      <c r="M306" s="1" t="s">
        <v>1470</v>
      </c>
    </row>
    <row r="307" spans="1:13" x14ac:dyDescent="0.2">
      <c r="A307" s="1" t="s">
        <v>831</v>
      </c>
      <c r="B307" s="1" t="s">
        <v>832</v>
      </c>
      <c r="C307" s="330">
        <v>49.95</v>
      </c>
      <c r="D307" s="330">
        <v>35</v>
      </c>
      <c r="E307" s="116">
        <v>0.3</v>
      </c>
      <c r="F307" s="1" t="s">
        <v>9</v>
      </c>
      <c r="G307" s="1" t="s">
        <v>833</v>
      </c>
      <c r="H307" s="1">
        <v>0</v>
      </c>
      <c r="I307" s="1" t="str" cm="1">
        <f t="array" ref="I307">_xlfn.IFS(a.nike.original.man[[#This Row],[Rating]]&lt;=2.9, "0 - 2.9",a.nike.original.man[[#This Row],[Rating]]&lt;=3.9,"3 - 3.9", a.nike.original.man[[#This Row],[Rating]]&lt;=5,"4 - 5")</f>
        <v>0 - 2.9</v>
      </c>
      <c r="J307" s="1">
        <v>0</v>
      </c>
      <c r="K307" s="1" t="str" cm="1">
        <f t="array" ref="K307">_xlfn.IFS(a.nike.original.man[[#This Row],[Reviews]]&lt;=7, "Below Average", a.nike.original.man[[#This Row],[Reviews]]&gt;=8, "Average +")</f>
        <v>Below Average</v>
      </c>
      <c r="L307" s="11" t="s">
        <v>1590</v>
      </c>
      <c r="M307" s="1" t="s">
        <v>1470</v>
      </c>
    </row>
    <row r="308" spans="1:13" x14ac:dyDescent="0.2">
      <c r="A308" s="2" t="s">
        <v>834</v>
      </c>
      <c r="B308" s="2" t="s">
        <v>835</v>
      </c>
      <c r="C308" s="331">
        <v>29.95</v>
      </c>
      <c r="D308" s="331">
        <v>21</v>
      </c>
      <c r="E308" s="116">
        <v>0.3</v>
      </c>
      <c r="F308" s="2" t="s">
        <v>9</v>
      </c>
      <c r="G308" s="2" t="s">
        <v>836</v>
      </c>
      <c r="H308" s="2">
        <v>0</v>
      </c>
      <c r="I308" s="2" t="str" cm="1">
        <f t="array" ref="I308">_xlfn.IFS(a.nike.original.man[[#This Row],[Rating]]&lt;=2.9, "0 - 2.9",a.nike.original.man[[#This Row],[Rating]]&lt;=3.9,"3 - 3.9", a.nike.original.man[[#This Row],[Rating]]&lt;=5,"4 - 5")</f>
        <v>0 - 2.9</v>
      </c>
      <c r="J308" s="2">
        <v>0</v>
      </c>
      <c r="K308" s="2" t="str" cm="1">
        <f t="array" ref="K308">_xlfn.IFS(a.nike.original.man[[#This Row],[Reviews]]&lt;=7, "Below Average", a.nike.original.man[[#This Row],[Reviews]]&gt;=8, "Average +")</f>
        <v>Below Average</v>
      </c>
      <c r="L308" s="12" t="s">
        <v>1590</v>
      </c>
      <c r="M308" s="2" t="s">
        <v>1470</v>
      </c>
    </row>
    <row r="309" spans="1:13" x14ac:dyDescent="0.2">
      <c r="A309" s="2" t="s">
        <v>168</v>
      </c>
      <c r="B309" s="2" t="s">
        <v>169</v>
      </c>
      <c r="C309" s="331">
        <v>0</v>
      </c>
      <c r="D309" s="331">
        <v>50</v>
      </c>
      <c r="E309" s="116">
        <v>0</v>
      </c>
      <c r="F309" s="2" t="s">
        <v>9</v>
      </c>
      <c r="G309" s="2" t="s">
        <v>170</v>
      </c>
      <c r="H309" s="2">
        <v>0</v>
      </c>
      <c r="I309" s="2" t="str" cm="1">
        <f t="array" ref="I309">_xlfn.IFS(a.nike.original.man[[#This Row],[Rating]]&lt;=2.9, "0 - 2.9",a.nike.original.man[[#This Row],[Rating]]&lt;=3.9,"3 - 3.9", a.nike.original.man[[#This Row],[Rating]]&lt;=5,"4 - 5")</f>
        <v>0 - 2.9</v>
      </c>
      <c r="J309" s="2">
        <v>0</v>
      </c>
      <c r="K309" s="2" t="str" cm="1">
        <f t="array" ref="K309">_xlfn.IFS(a.nike.original.man[[#This Row],[Reviews]]&lt;=7, "Below Average", a.nike.original.man[[#This Row],[Reviews]]&gt;=8, "Average +")</f>
        <v>Below Average</v>
      </c>
      <c r="L309" s="12" t="s">
        <v>1590</v>
      </c>
      <c r="M309" s="2" t="s">
        <v>1470</v>
      </c>
    </row>
    <row r="310" spans="1:13" x14ac:dyDescent="0.2">
      <c r="A310" s="2" t="s">
        <v>842</v>
      </c>
      <c r="B310" s="2" t="s">
        <v>843</v>
      </c>
      <c r="C310" s="331">
        <v>0</v>
      </c>
      <c r="D310" s="331">
        <v>16</v>
      </c>
      <c r="E310" s="116">
        <v>0</v>
      </c>
      <c r="F310" s="2" t="s">
        <v>9</v>
      </c>
      <c r="G310" s="2" t="s">
        <v>844</v>
      </c>
      <c r="H310" s="2">
        <v>3.8</v>
      </c>
      <c r="I310" s="2" t="str" cm="1">
        <f t="array" ref="I310">_xlfn.IFS(a.nike.original.man[[#This Row],[Rating]]&lt;=2.9, "0 - 2.9",a.nike.original.man[[#This Row],[Rating]]&lt;=3.9,"3 - 3.9", a.nike.original.man[[#This Row],[Rating]]&lt;=5,"4 - 5")</f>
        <v>3 - 3.9</v>
      </c>
      <c r="J310" s="2">
        <v>5</v>
      </c>
      <c r="K310" s="2" t="str" cm="1">
        <f t="array" ref="K310">_xlfn.IFS(a.nike.original.man[[#This Row],[Reviews]]&lt;=7, "Below Average", a.nike.original.man[[#This Row],[Reviews]]&gt;=8, "Average +")</f>
        <v>Below Average</v>
      </c>
      <c r="L310" s="12" t="s">
        <v>1591</v>
      </c>
      <c r="M310" s="2" t="s">
        <v>1470</v>
      </c>
    </row>
    <row r="311" spans="1:13" x14ac:dyDescent="0.2">
      <c r="A311" s="1" t="s">
        <v>83</v>
      </c>
      <c r="B311" s="1" t="s">
        <v>840</v>
      </c>
      <c r="C311" s="330">
        <v>0</v>
      </c>
      <c r="D311" s="330">
        <v>190</v>
      </c>
      <c r="E311" s="116">
        <v>0</v>
      </c>
      <c r="F311" s="1" t="s">
        <v>9</v>
      </c>
      <c r="G311" s="1" t="s">
        <v>841</v>
      </c>
      <c r="H311" s="1">
        <v>0</v>
      </c>
      <c r="I311" s="1" t="str" cm="1">
        <f t="array" ref="I311">_xlfn.IFS(a.nike.original.man[[#This Row],[Rating]]&lt;=2.9, "0 - 2.9",a.nike.original.man[[#This Row],[Rating]]&lt;=3.9,"3 - 3.9", a.nike.original.man[[#This Row],[Rating]]&lt;=5,"4 - 5")</f>
        <v>0 - 2.9</v>
      </c>
      <c r="J311" s="1">
        <v>0</v>
      </c>
      <c r="K311" s="1" t="str" cm="1">
        <f t="array" ref="K311">_xlfn.IFS(a.nike.original.man[[#This Row],[Reviews]]&lt;=7, "Below Average", a.nike.original.man[[#This Row],[Reviews]]&gt;=8, "Average +")</f>
        <v>Below Average</v>
      </c>
      <c r="L311" s="11" t="s">
        <v>1591</v>
      </c>
      <c r="M311" s="1" t="s">
        <v>1470</v>
      </c>
    </row>
    <row r="312" spans="1:13" x14ac:dyDescent="0.2">
      <c r="A312" s="2" t="s">
        <v>380</v>
      </c>
      <c r="B312" s="2" t="s">
        <v>848</v>
      </c>
      <c r="C312" s="331">
        <v>0</v>
      </c>
      <c r="D312" s="331">
        <v>150</v>
      </c>
      <c r="E312" s="116">
        <v>0</v>
      </c>
      <c r="F312" s="2" t="s">
        <v>9</v>
      </c>
      <c r="G312" s="2" t="s">
        <v>849</v>
      </c>
      <c r="H312" s="2">
        <v>5</v>
      </c>
      <c r="I312" s="2" t="str" cm="1">
        <f t="array" ref="I312">_xlfn.IFS(a.nike.original.man[[#This Row],[Rating]]&lt;=2.9, "0 - 2.9",a.nike.original.man[[#This Row],[Rating]]&lt;=3.9,"3 - 3.9", a.nike.original.man[[#This Row],[Rating]]&lt;=5,"4 - 5")</f>
        <v>4 - 5</v>
      </c>
      <c r="J312" s="2">
        <v>3</v>
      </c>
      <c r="K312" s="2" t="str" cm="1">
        <f t="array" ref="K312">_xlfn.IFS(a.nike.original.man[[#This Row],[Reviews]]&lt;=7, "Below Average", a.nike.original.man[[#This Row],[Reviews]]&gt;=8, "Average +")</f>
        <v>Below Average</v>
      </c>
      <c r="L312" s="12" t="s">
        <v>1592</v>
      </c>
      <c r="M312" s="2" t="s">
        <v>1470</v>
      </c>
    </row>
    <row r="313" spans="1:13" x14ac:dyDescent="0.2">
      <c r="A313" s="1" t="s">
        <v>845</v>
      </c>
      <c r="B313" s="1" t="s">
        <v>846</v>
      </c>
      <c r="C313" s="330">
        <v>169.95</v>
      </c>
      <c r="D313" s="330">
        <v>119</v>
      </c>
      <c r="E313" s="116">
        <v>0.3</v>
      </c>
      <c r="F313" s="1" t="s">
        <v>9</v>
      </c>
      <c r="G313" s="1" t="s">
        <v>847</v>
      </c>
      <c r="H313" s="1">
        <v>4.4000000000000004</v>
      </c>
      <c r="I313" s="1" t="str" cm="1">
        <f t="array" ref="I313">_xlfn.IFS(a.nike.original.man[[#This Row],[Rating]]&lt;=2.9, "0 - 2.9",a.nike.original.man[[#This Row],[Rating]]&lt;=3.9,"3 - 3.9", a.nike.original.man[[#This Row],[Rating]]&lt;=5,"4 - 5")</f>
        <v>4 - 5</v>
      </c>
      <c r="J313" s="1">
        <v>25</v>
      </c>
      <c r="K313" s="1" t="str" cm="1">
        <f t="array" ref="K313">_xlfn.IFS(a.nike.original.man[[#This Row],[Reviews]]&lt;=7, "Below Average", a.nike.original.man[[#This Row],[Reviews]]&gt;=8, "Average +")</f>
        <v>Average +</v>
      </c>
      <c r="L313" s="11" t="s">
        <v>1592</v>
      </c>
      <c r="M313" s="1" t="s">
        <v>1470</v>
      </c>
    </row>
    <row r="314" spans="1:13" x14ac:dyDescent="0.2">
      <c r="A314" s="1" t="s">
        <v>208</v>
      </c>
      <c r="B314" s="1" t="s">
        <v>850</v>
      </c>
      <c r="C314" s="330">
        <v>79.95</v>
      </c>
      <c r="D314" s="330">
        <v>64</v>
      </c>
      <c r="E314" s="116">
        <v>0.2</v>
      </c>
      <c r="F314" s="1" t="s">
        <v>9</v>
      </c>
      <c r="G314" s="1" t="s">
        <v>851</v>
      </c>
      <c r="H314" s="1">
        <v>3.7</v>
      </c>
      <c r="I314" s="1" t="str" cm="1">
        <f t="array" ref="I314">_xlfn.IFS(a.nike.original.man[[#This Row],[Rating]]&lt;=2.9, "0 - 2.9",a.nike.original.man[[#This Row],[Rating]]&lt;=3.9,"3 - 3.9", a.nike.original.man[[#This Row],[Rating]]&lt;=5,"4 - 5")</f>
        <v>3 - 3.9</v>
      </c>
      <c r="J314" s="1">
        <v>18</v>
      </c>
      <c r="K314" s="1" t="str" cm="1">
        <f t="array" ref="K314">_xlfn.IFS(a.nike.original.man[[#This Row],[Reviews]]&lt;=7, "Below Average", a.nike.original.man[[#This Row],[Reviews]]&gt;=8, "Average +")</f>
        <v>Average +</v>
      </c>
      <c r="L314" s="11" t="s">
        <v>1592</v>
      </c>
      <c r="M314" s="1" t="s">
        <v>1470</v>
      </c>
    </row>
    <row r="315" spans="1:13" x14ac:dyDescent="0.2">
      <c r="A315" s="2" t="s">
        <v>383</v>
      </c>
      <c r="B315" s="2" t="s">
        <v>852</v>
      </c>
      <c r="C315" s="331">
        <v>0</v>
      </c>
      <c r="D315" s="331">
        <v>160</v>
      </c>
      <c r="E315" s="116">
        <v>0</v>
      </c>
      <c r="F315" s="2" t="s">
        <v>9</v>
      </c>
      <c r="G315" s="2" t="s">
        <v>853</v>
      </c>
      <c r="H315" s="2">
        <v>0</v>
      </c>
      <c r="I315" s="2" t="str" cm="1">
        <f t="array" ref="I315">_xlfn.IFS(a.nike.original.man[[#This Row],[Rating]]&lt;=2.9, "0 - 2.9",a.nike.original.man[[#This Row],[Rating]]&lt;=3.9,"3 - 3.9", a.nike.original.man[[#This Row],[Rating]]&lt;=5,"4 - 5")</f>
        <v>0 - 2.9</v>
      </c>
      <c r="J315" s="2">
        <v>0</v>
      </c>
      <c r="K315" s="2" t="str" cm="1">
        <f t="array" ref="K315">_xlfn.IFS(a.nike.original.man[[#This Row],[Reviews]]&lt;=7, "Below Average", a.nike.original.man[[#This Row],[Reviews]]&gt;=8, "Average +")</f>
        <v>Below Average</v>
      </c>
      <c r="L315" s="12" t="s">
        <v>1592</v>
      </c>
      <c r="M315" s="2" t="s">
        <v>1470</v>
      </c>
    </row>
    <row r="316" spans="1:13" x14ac:dyDescent="0.2">
      <c r="A316" s="1" t="s">
        <v>854</v>
      </c>
      <c r="B316" s="1" t="s">
        <v>855</v>
      </c>
      <c r="C316" s="330">
        <v>0</v>
      </c>
      <c r="D316" s="330">
        <v>220</v>
      </c>
      <c r="E316" s="116">
        <v>0</v>
      </c>
      <c r="F316" s="1" t="s">
        <v>9</v>
      </c>
      <c r="G316" s="1" t="s">
        <v>856</v>
      </c>
      <c r="H316" s="1">
        <v>0</v>
      </c>
      <c r="I316" s="1" t="str" cm="1">
        <f t="array" ref="I316">_xlfn.IFS(a.nike.original.man[[#This Row],[Rating]]&lt;=2.9, "0 - 2.9",a.nike.original.man[[#This Row],[Rating]]&lt;=3.9,"3 - 3.9", a.nike.original.man[[#This Row],[Rating]]&lt;=5,"4 - 5")</f>
        <v>0 - 2.9</v>
      </c>
      <c r="J316" s="1">
        <v>0</v>
      </c>
      <c r="K316" s="1" t="str" cm="1">
        <f t="array" ref="K316">_xlfn.IFS(a.nike.original.man[[#This Row],[Reviews]]&lt;=7, "Below Average", a.nike.original.man[[#This Row],[Reviews]]&gt;=8, "Average +")</f>
        <v>Below Average</v>
      </c>
      <c r="L316" s="11" t="s">
        <v>1592</v>
      </c>
      <c r="M316" s="1" t="s">
        <v>1470</v>
      </c>
    </row>
    <row r="317" spans="1:13" x14ac:dyDescent="0.2">
      <c r="A317" s="2" t="s">
        <v>863</v>
      </c>
      <c r="B317" s="2" t="s">
        <v>864</v>
      </c>
      <c r="C317" s="331">
        <v>0</v>
      </c>
      <c r="D317" s="331">
        <v>160</v>
      </c>
      <c r="E317" s="116">
        <v>0</v>
      </c>
      <c r="F317" s="2" t="s">
        <v>9</v>
      </c>
      <c r="G317" s="2" t="s">
        <v>865</v>
      </c>
      <c r="H317" s="2">
        <v>2.9</v>
      </c>
      <c r="I317" s="2" t="str" cm="1">
        <f t="array" ref="I317">_xlfn.IFS(a.nike.original.man[[#This Row],[Rating]]&lt;=2.9, "0 - 2.9",a.nike.original.man[[#This Row],[Rating]]&lt;=3.9,"3 - 3.9", a.nike.original.man[[#This Row],[Rating]]&lt;=5,"4 - 5")</f>
        <v>0 - 2.9</v>
      </c>
      <c r="J317" s="2">
        <v>71</v>
      </c>
      <c r="K317" s="2" t="str" cm="1">
        <f t="array" ref="K317">_xlfn.IFS(a.nike.original.man[[#This Row],[Reviews]]&lt;=7, "Below Average", a.nike.original.man[[#This Row],[Reviews]]&gt;=8, "Average +")</f>
        <v>Average +</v>
      </c>
      <c r="L317" s="12" t="s">
        <v>1593</v>
      </c>
      <c r="M317" s="2" t="s">
        <v>1470</v>
      </c>
    </row>
    <row r="318" spans="1:13" x14ac:dyDescent="0.2">
      <c r="A318" s="1" t="s">
        <v>866</v>
      </c>
      <c r="B318" s="1" t="s">
        <v>867</v>
      </c>
      <c r="C318" s="330">
        <v>0</v>
      </c>
      <c r="D318" s="330">
        <v>120</v>
      </c>
      <c r="E318" s="116">
        <v>0</v>
      </c>
      <c r="F318" s="1" t="s">
        <v>9</v>
      </c>
      <c r="G318" s="1" t="s">
        <v>868</v>
      </c>
      <c r="H318" s="1">
        <v>5</v>
      </c>
      <c r="I318" s="1" t="str" cm="1">
        <f t="array" ref="I318">_xlfn.IFS(a.nike.original.man[[#This Row],[Rating]]&lt;=2.9, "0 - 2.9",a.nike.original.man[[#This Row],[Rating]]&lt;=3.9,"3 - 3.9", a.nike.original.man[[#This Row],[Rating]]&lt;=5,"4 - 5")</f>
        <v>4 - 5</v>
      </c>
      <c r="J318" s="1">
        <v>2</v>
      </c>
      <c r="K318" s="1" t="str" cm="1">
        <f t="array" ref="K318">_xlfn.IFS(a.nike.original.man[[#This Row],[Reviews]]&lt;=7, "Below Average", a.nike.original.man[[#This Row],[Reviews]]&gt;=8, "Average +")</f>
        <v>Below Average</v>
      </c>
      <c r="L318" s="11" t="s">
        <v>1593</v>
      </c>
      <c r="M318" s="1" t="s">
        <v>1470</v>
      </c>
    </row>
    <row r="319" spans="1:13" x14ac:dyDescent="0.2">
      <c r="A319" s="2" t="s">
        <v>857</v>
      </c>
      <c r="B319" s="2" t="s">
        <v>858</v>
      </c>
      <c r="C319" s="331">
        <v>0</v>
      </c>
      <c r="D319" s="331">
        <v>160</v>
      </c>
      <c r="E319" s="116">
        <v>0</v>
      </c>
      <c r="F319" s="2" t="s">
        <v>9</v>
      </c>
      <c r="G319" s="2" t="s">
        <v>859</v>
      </c>
      <c r="H319" s="2">
        <v>5</v>
      </c>
      <c r="I319" s="2" t="str" cm="1">
        <f t="array" ref="I319">_xlfn.IFS(a.nike.original.man[[#This Row],[Rating]]&lt;=2.9, "0 - 2.9",a.nike.original.man[[#This Row],[Rating]]&lt;=3.9,"3 - 3.9", a.nike.original.man[[#This Row],[Rating]]&lt;=5,"4 - 5")</f>
        <v>4 - 5</v>
      </c>
      <c r="J319" s="2">
        <v>1</v>
      </c>
      <c r="K319" s="2" t="str" cm="1">
        <f t="array" ref="K319">_xlfn.IFS(a.nike.original.man[[#This Row],[Reviews]]&lt;=7, "Below Average", a.nike.original.man[[#This Row],[Reviews]]&gt;=8, "Average +")</f>
        <v>Below Average</v>
      </c>
      <c r="L319" s="12" t="s">
        <v>1593</v>
      </c>
      <c r="M319" s="2" t="s">
        <v>1470</v>
      </c>
    </row>
    <row r="320" spans="1:13" x14ac:dyDescent="0.2">
      <c r="A320" s="1" t="s">
        <v>860</v>
      </c>
      <c r="B320" s="1" t="s">
        <v>861</v>
      </c>
      <c r="C320" s="330">
        <v>0</v>
      </c>
      <c r="D320" s="330">
        <v>76</v>
      </c>
      <c r="E320" s="116">
        <v>0</v>
      </c>
      <c r="F320" s="1" t="s">
        <v>9</v>
      </c>
      <c r="G320" s="1" t="s">
        <v>862</v>
      </c>
      <c r="H320" s="1">
        <v>4.5</v>
      </c>
      <c r="I320" s="1" t="str" cm="1">
        <f t="array" ref="I320">_xlfn.IFS(a.nike.original.man[[#This Row],[Rating]]&lt;=2.9, "0 - 2.9",a.nike.original.man[[#This Row],[Rating]]&lt;=3.9,"3 - 3.9", a.nike.original.man[[#This Row],[Rating]]&lt;=5,"4 - 5")</f>
        <v>4 - 5</v>
      </c>
      <c r="J320" s="1">
        <v>13</v>
      </c>
      <c r="K320" s="1" t="str" cm="1">
        <f t="array" ref="K320">_xlfn.IFS(a.nike.original.man[[#This Row],[Reviews]]&lt;=7, "Below Average", a.nike.original.man[[#This Row],[Reviews]]&gt;=8, "Average +")</f>
        <v>Average +</v>
      </c>
      <c r="L320" s="11" t="s">
        <v>1593</v>
      </c>
      <c r="M320" s="1" t="s">
        <v>1470</v>
      </c>
    </row>
    <row r="321" spans="1:13" x14ac:dyDescent="0.2">
      <c r="A321" s="2" t="s">
        <v>875</v>
      </c>
      <c r="B321" s="2" t="s">
        <v>876</v>
      </c>
      <c r="C321" s="331">
        <v>0</v>
      </c>
      <c r="D321" s="331">
        <v>170</v>
      </c>
      <c r="E321" s="116">
        <v>0</v>
      </c>
      <c r="F321" s="2" t="s">
        <v>9</v>
      </c>
      <c r="G321" s="2" t="s">
        <v>877</v>
      </c>
      <c r="H321" s="2">
        <v>4</v>
      </c>
      <c r="I321" s="2" t="str" cm="1">
        <f t="array" ref="I321">_xlfn.IFS(a.nike.original.man[[#This Row],[Rating]]&lt;=2.9, "0 - 2.9",a.nike.original.man[[#This Row],[Rating]]&lt;=3.9,"3 - 3.9", a.nike.original.man[[#This Row],[Rating]]&lt;=5,"4 - 5")</f>
        <v>4 - 5</v>
      </c>
      <c r="J321" s="2">
        <v>3</v>
      </c>
      <c r="K321" s="2" t="str" cm="1">
        <f t="array" ref="K321">_xlfn.IFS(a.nike.original.man[[#This Row],[Reviews]]&lt;=7, "Below Average", a.nike.original.man[[#This Row],[Reviews]]&gt;=8, "Average +")</f>
        <v>Below Average</v>
      </c>
      <c r="L321" s="12" t="s">
        <v>1594</v>
      </c>
      <c r="M321" s="2" t="s">
        <v>1470</v>
      </c>
    </row>
    <row r="322" spans="1:13" x14ac:dyDescent="0.2">
      <c r="A322" s="1" t="s">
        <v>878</v>
      </c>
      <c r="B322" s="1" t="s">
        <v>879</v>
      </c>
      <c r="C322" s="330">
        <v>0</v>
      </c>
      <c r="D322" s="330">
        <v>160</v>
      </c>
      <c r="E322" s="116">
        <v>0</v>
      </c>
      <c r="F322" s="1" t="s">
        <v>9</v>
      </c>
      <c r="G322" s="1" t="s">
        <v>880</v>
      </c>
      <c r="H322" s="1">
        <v>3.9</v>
      </c>
      <c r="I322" s="1" t="str" cm="1">
        <f t="array" ref="I322">_xlfn.IFS(a.nike.original.man[[#This Row],[Rating]]&lt;=2.9, "0 - 2.9",a.nike.original.man[[#This Row],[Rating]]&lt;=3.9,"3 - 3.9", a.nike.original.man[[#This Row],[Rating]]&lt;=5,"4 - 5")</f>
        <v>3 - 3.9</v>
      </c>
      <c r="J322" s="1">
        <v>34</v>
      </c>
      <c r="K322" s="1" t="str" cm="1">
        <f t="array" ref="K322">_xlfn.IFS(a.nike.original.man[[#This Row],[Reviews]]&lt;=7, "Below Average", a.nike.original.man[[#This Row],[Reviews]]&gt;=8, "Average +")</f>
        <v>Average +</v>
      </c>
      <c r="L322" s="11" t="s">
        <v>1594</v>
      </c>
      <c r="M322" s="1" t="s">
        <v>1470</v>
      </c>
    </row>
    <row r="323" spans="1:13" x14ac:dyDescent="0.2">
      <c r="A323" s="2" t="s">
        <v>869</v>
      </c>
      <c r="B323" s="2" t="s">
        <v>870</v>
      </c>
      <c r="C323" s="331">
        <v>0</v>
      </c>
      <c r="D323" s="331">
        <v>50</v>
      </c>
      <c r="E323" s="116">
        <v>0</v>
      </c>
      <c r="F323" s="2" t="s">
        <v>9</v>
      </c>
      <c r="G323" s="2" t="s">
        <v>871</v>
      </c>
      <c r="H323" s="2">
        <v>0</v>
      </c>
      <c r="I323" s="2" t="str" cm="1">
        <f t="array" ref="I323">_xlfn.IFS(a.nike.original.man[[#This Row],[Rating]]&lt;=2.9, "0 - 2.9",a.nike.original.man[[#This Row],[Rating]]&lt;=3.9,"3 - 3.9", a.nike.original.man[[#This Row],[Rating]]&lt;=5,"4 - 5")</f>
        <v>0 - 2.9</v>
      </c>
      <c r="J323" s="2">
        <v>0</v>
      </c>
      <c r="K323" s="2" t="str" cm="1">
        <f t="array" ref="K323">_xlfn.IFS(a.nike.original.man[[#This Row],[Reviews]]&lt;=7, "Below Average", a.nike.original.man[[#This Row],[Reviews]]&gt;=8, "Average +")</f>
        <v>Below Average</v>
      </c>
      <c r="L323" s="12" t="s">
        <v>1594</v>
      </c>
      <c r="M323" s="2" t="s">
        <v>1470</v>
      </c>
    </row>
    <row r="324" spans="1:13" x14ac:dyDescent="0.2">
      <c r="A324" s="1" t="s">
        <v>872</v>
      </c>
      <c r="B324" s="1" t="s">
        <v>873</v>
      </c>
      <c r="C324" s="330">
        <v>0</v>
      </c>
      <c r="D324" s="330">
        <v>110</v>
      </c>
      <c r="E324" s="116">
        <v>0</v>
      </c>
      <c r="F324" s="1" t="s">
        <v>9</v>
      </c>
      <c r="G324" s="1" t="s">
        <v>874</v>
      </c>
      <c r="H324" s="1">
        <v>0</v>
      </c>
      <c r="I324" s="1" t="str" cm="1">
        <f t="array" ref="I324">_xlfn.IFS(a.nike.original.man[[#This Row],[Rating]]&lt;=2.9, "0 - 2.9",a.nike.original.man[[#This Row],[Rating]]&lt;=3.9,"3 - 3.9", a.nike.original.man[[#This Row],[Rating]]&lt;=5,"4 - 5")</f>
        <v>0 - 2.9</v>
      </c>
      <c r="J324" s="1">
        <v>0</v>
      </c>
      <c r="K324" s="1" t="str" cm="1">
        <f t="array" ref="K324">_xlfn.IFS(a.nike.original.man[[#This Row],[Reviews]]&lt;=7, "Below Average", a.nike.original.man[[#This Row],[Reviews]]&gt;=8, "Average +")</f>
        <v>Below Average</v>
      </c>
      <c r="L324" s="11" t="s">
        <v>1594</v>
      </c>
      <c r="M324" s="1" t="s">
        <v>1470</v>
      </c>
    </row>
    <row r="325" spans="1:13" x14ac:dyDescent="0.2">
      <c r="A325" s="2" t="s">
        <v>881</v>
      </c>
      <c r="B325" s="2" t="s">
        <v>882</v>
      </c>
      <c r="C325" s="331">
        <v>79.95</v>
      </c>
      <c r="D325" s="331">
        <v>48</v>
      </c>
      <c r="E325" s="116">
        <v>0.4</v>
      </c>
      <c r="F325" s="2" t="s">
        <v>9</v>
      </c>
      <c r="G325" s="2" t="s">
        <v>883</v>
      </c>
      <c r="H325" s="2">
        <v>4.4000000000000004</v>
      </c>
      <c r="I325" s="2" t="str" cm="1">
        <f t="array" ref="I325">_xlfn.IFS(a.nike.original.man[[#This Row],[Rating]]&lt;=2.9, "0 - 2.9",a.nike.original.man[[#This Row],[Rating]]&lt;=3.9,"3 - 3.9", a.nike.original.man[[#This Row],[Rating]]&lt;=5,"4 - 5")</f>
        <v>4 - 5</v>
      </c>
      <c r="J325" s="2">
        <v>9</v>
      </c>
      <c r="K325" s="2" t="str" cm="1">
        <f t="array" ref="K325">_xlfn.IFS(a.nike.original.man[[#This Row],[Reviews]]&lt;=7, "Below Average", a.nike.original.man[[#This Row],[Reviews]]&gt;=8, "Average +")</f>
        <v>Average +</v>
      </c>
      <c r="L325" s="12" t="s">
        <v>1594</v>
      </c>
      <c r="M325" s="2" t="s">
        <v>1470</v>
      </c>
    </row>
    <row r="326" spans="1:13" x14ac:dyDescent="0.2">
      <c r="A326" s="1" t="s">
        <v>903</v>
      </c>
      <c r="B326" s="1" t="s">
        <v>904</v>
      </c>
      <c r="C326" s="330">
        <v>129.94999999999999</v>
      </c>
      <c r="D326" s="330">
        <v>104</v>
      </c>
      <c r="E326" s="116">
        <v>0.2</v>
      </c>
      <c r="F326" s="1" t="s">
        <v>9</v>
      </c>
      <c r="G326" s="1" t="s">
        <v>905</v>
      </c>
      <c r="H326" s="1">
        <v>4.0999999999999996</v>
      </c>
      <c r="I326" s="1" t="str" cm="1">
        <f t="array" ref="I326">_xlfn.IFS(a.nike.original.man[[#This Row],[Rating]]&lt;=2.9, "0 - 2.9",a.nike.original.man[[#This Row],[Rating]]&lt;=3.9,"3 - 3.9", a.nike.original.man[[#This Row],[Rating]]&lt;=5,"4 - 5")</f>
        <v>4 - 5</v>
      </c>
      <c r="J326" s="1">
        <v>72</v>
      </c>
      <c r="K326" s="1" t="str" cm="1">
        <f t="array" ref="K326">_xlfn.IFS(a.nike.original.man[[#This Row],[Reviews]]&lt;=7, "Below Average", a.nike.original.man[[#This Row],[Reviews]]&gt;=8, "Average +")</f>
        <v>Average +</v>
      </c>
      <c r="L326" s="11" t="s">
        <v>1595</v>
      </c>
      <c r="M326" s="1" t="s">
        <v>1470</v>
      </c>
    </row>
    <row r="327" spans="1:13" x14ac:dyDescent="0.2">
      <c r="A327" s="1" t="s">
        <v>884</v>
      </c>
      <c r="B327" s="1" t="s">
        <v>885</v>
      </c>
      <c r="C327" s="330">
        <v>129.94999999999999</v>
      </c>
      <c r="D327" s="330">
        <v>91</v>
      </c>
      <c r="E327" s="116">
        <v>0.3</v>
      </c>
      <c r="F327" s="1" t="s">
        <v>9</v>
      </c>
      <c r="G327" s="1" t="s">
        <v>886</v>
      </c>
      <c r="H327" s="1">
        <v>4.8</v>
      </c>
      <c r="I327" s="1" t="str" cm="1">
        <f t="array" ref="I327">_xlfn.IFS(a.nike.original.man[[#This Row],[Rating]]&lt;=2.9, "0 - 2.9",a.nike.original.man[[#This Row],[Rating]]&lt;=3.9,"3 - 3.9", a.nike.original.man[[#This Row],[Rating]]&lt;=5,"4 - 5")</f>
        <v>4 - 5</v>
      </c>
      <c r="J327" s="1">
        <v>4</v>
      </c>
      <c r="K327" s="1" t="str" cm="1">
        <f t="array" ref="K327">_xlfn.IFS(a.nike.original.man[[#This Row],[Reviews]]&lt;=7, "Below Average", a.nike.original.man[[#This Row],[Reviews]]&gt;=8, "Average +")</f>
        <v>Below Average</v>
      </c>
      <c r="L327" s="11" t="s">
        <v>1595</v>
      </c>
      <c r="M327" s="1" t="s">
        <v>1470</v>
      </c>
    </row>
    <row r="328" spans="1:13" x14ac:dyDescent="0.2">
      <c r="A328" s="2" t="s">
        <v>893</v>
      </c>
      <c r="B328" s="2" t="s">
        <v>894</v>
      </c>
      <c r="C328" s="331">
        <v>0</v>
      </c>
      <c r="D328" s="331">
        <v>110</v>
      </c>
      <c r="E328" s="116">
        <v>0</v>
      </c>
      <c r="F328" s="2" t="s">
        <v>9</v>
      </c>
      <c r="G328" s="2" t="s">
        <v>895</v>
      </c>
      <c r="H328" s="2">
        <v>5</v>
      </c>
      <c r="I328" s="2" t="str" cm="1">
        <f t="array" ref="I328">_xlfn.IFS(a.nike.original.man[[#This Row],[Rating]]&lt;=2.9, "0 - 2.9",a.nike.original.man[[#This Row],[Rating]]&lt;=3.9,"3 - 3.9", a.nike.original.man[[#This Row],[Rating]]&lt;=5,"4 - 5")</f>
        <v>4 - 5</v>
      </c>
      <c r="J328" s="2">
        <v>1</v>
      </c>
      <c r="K328" s="2" t="str" cm="1">
        <f t="array" ref="K328">_xlfn.IFS(a.nike.original.man[[#This Row],[Reviews]]&lt;=7, "Below Average", a.nike.original.man[[#This Row],[Reviews]]&gt;=8, "Average +")</f>
        <v>Below Average</v>
      </c>
      <c r="L328" s="12" t="s">
        <v>1595</v>
      </c>
      <c r="M328" s="2" t="s">
        <v>1470</v>
      </c>
    </row>
    <row r="329" spans="1:13" x14ac:dyDescent="0.2">
      <c r="A329" s="2" t="s">
        <v>548</v>
      </c>
      <c r="B329" s="2" t="s">
        <v>899</v>
      </c>
      <c r="C329" s="331">
        <v>0</v>
      </c>
      <c r="D329" s="331">
        <v>130</v>
      </c>
      <c r="E329" s="116">
        <v>0</v>
      </c>
      <c r="F329" s="2" t="s">
        <v>9</v>
      </c>
      <c r="G329" s="2" t="s">
        <v>550</v>
      </c>
      <c r="H329" s="2">
        <v>5</v>
      </c>
      <c r="I329" s="2" t="str" cm="1">
        <f t="array" ref="I329">_xlfn.IFS(a.nike.original.man[[#This Row],[Rating]]&lt;=2.9, "0 - 2.9",a.nike.original.man[[#This Row],[Rating]]&lt;=3.9,"3 - 3.9", a.nike.original.man[[#This Row],[Rating]]&lt;=5,"4 - 5")</f>
        <v>4 - 5</v>
      </c>
      <c r="J329" s="2">
        <v>1</v>
      </c>
      <c r="K329" s="2" t="str" cm="1">
        <f t="array" ref="K329">_xlfn.IFS(a.nike.original.man[[#This Row],[Reviews]]&lt;=7, "Below Average", a.nike.original.man[[#This Row],[Reviews]]&gt;=8, "Average +")</f>
        <v>Below Average</v>
      </c>
      <c r="L329" s="12" t="s">
        <v>1595</v>
      </c>
      <c r="M329" s="2" t="s">
        <v>1470</v>
      </c>
    </row>
    <row r="330" spans="1:13" x14ac:dyDescent="0.2">
      <c r="A330" s="1" t="s">
        <v>890</v>
      </c>
      <c r="B330" s="1" t="s">
        <v>891</v>
      </c>
      <c r="C330" s="330">
        <v>129.94999999999999</v>
      </c>
      <c r="D330" s="330">
        <v>91</v>
      </c>
      <c r="E330" s="116">
        <v>0.3</v>
      </c>
      <c r="F330" s="1" t="s">
        <v>9</v>
      </c>
      <c r="G330" s="1" t="s">
        <v>892</v>
      </c>
      <c r="H330" s="1">
        <v>4.0999999999999996</v>
      </c>
      <c r="I330" s="1" t="str" cm="1">
        <f t="array" ref="I330">_xlfn.IFS(a.nike.original.man[[#This Row],[Rating]]&lt;=2.9, "0 - 2.9",a.nike.original.man[[#This Row],[Rating]]&lt;=3.9,"3 - 3.9", a.nike.original.man[[#This Row],[Rating]]&lt;=5,"4 - 5")</f>
        <v>4 - 5</v>
      </c>
      <c r="J330" s="1">
        <v>18</v>
      </c>
      <c r="K330" s="1" t="str" cm="1">
        <f t="array" ref="K330">_xlfn.IFS(a.nike.original.man[[#This Row],[Reviews]]&lt;=7, "Below Average", a.nike.original.man[[#This Row],[Reviews]]&gt;=8, "Average +")</f>
        <v>Average +</v>
      </c>
      <c r="L330" s="11" t="s">
        <v>1595</v>
      </c>
      <c r="M330" s="1" t="s">
        <v>1470</v>
      </c>
    </row>
    <row r="331" spans="1:13" x14ac:dyDescent="0.2">
      <c r="A331" s="2" t="s">
        <v>887</v>
      </c>
      <c r="B331" s="2" t="s">
        <v>888</v>
      </c>
      <c r="C331" s="331">
        <v>169.95</v>
      </c>
      <c r="D331" s="331">
        <v>136</v>
      </c>
      <c r="E331" s="116">
        <v>0.2</v>
      </c>
      <c r="F331" s="2" t="s">
        <v>9</v>
      </c>
      <c r="G331" s="2" t="s">
        <v>889</v>
      </c>
      <c r="H331" s="2">
        <v>0</v>
      </c>
      <c r="I331" s="2" t="str" cm="1">
        <f t="array" ref="I331">_xlfn.IFS(a.nike.original.man[[#This Row],[Rating]]&lt;=2.9, "0 - 2.9",a.nike.original.man[[#This Row],[Rating]]&lt;=3.9,"3 - 3.9", a.nike.original.man[[#This Row],[Rating]]&lt;=5,"4 - 5")</f>
        <v>0 - 2.9</v>
      </c>
      <c r="J331" s="2">
        <v>0</v>
      </c>
      <c r="K331" s="2" t="str" cm="1">
        <f t="array" ref="K331">_xlfn.IFS(a.nike.original.man[[#This Row],[Reviews]]&lt;=7, "Below Average", a.nike.original.man[[#This Row],[Reviews]]&gt;=8, "Average +")</f>
        <v>Below Average</v>
      </c>
      <c r="L331" s="12" t="s">
        <v>1595</v>
      </c>
      <c r="M331" s="2" t="s">
        <v>1470</v>
      </c>
    </row>
    <row r="332" spans="1:13" x14ac:dyDescent="0.2">
      <c r="A332" s="1" t="s">
        <v>896</v>
      </c>
      <c r="B332" s="1" t="s">
        <v>897</v>
      </c>
      <c r="C332" s="330">
        <v>0</v>
      </c>
      <c r="D332" s="330">
        <v>45</v>
      </c>
      <c r="E332" s="116">
        <v>0</v>
      </c>
      <c r="F332" s="1" t="s">
        <v>9</v>
      </c>
      <c r="G332" s="1" t="s">
        <v>898</v>
      </c>
      <c r="H332" s="1">
        <v>0</v>
      </c>
      <c r="I332" s="1" t="str" cm="1">
        <f t="array" ref="I332">_xlfn.IFS(a.nike.original.man[[#This Row],[Rating]]&lt;=2.9, "0 - 2.9",a.nike.original.man[[#This Row],[Rating]]&lt;=3.9,"3 - 3.9", a.nike.original.man[[#This Row],[Rating]]&lt;=5,"4 - 5")</f>
        <v>0 - 2.9</v>
      </c>
      <c r="J332" s="1">
        <v>0</v>
      </c>
      <c r="K332" s="1" t="str" cm="1">
        <f t="array" ref="K332">_xlfn.IFS(a.nike.original.man[[#This Row],[Reviews]]&lt;=7, "Below Average", a.nike.original.man[[#This Row],[Reviews]]&gt;=8, "Average +")</f>
        <v>Below Average</v>
      </c>
      <c r="L332" s="11" t="s">
        <v>1595</v>
      </c>
      <c r="M332" s="1" t="s">
        <v>1470</v>
      </c>
    </row>
    <row r="333" spans="1:13" x14ac:dyDescent="0.2">
      <c r="A333" s="1" t="s">
        <v>900</v>
      </c>
      <c r="B333" s="1" t="s">
        <v>901</v>
      </c>
      <c r="C333" s="330">
        <v>74.95</v>
      </c>
      <c r="D333" s="330">
        <v>52</v>
      </c>
      <c r="E333" s="116">
        <v>0.3</v>
      </c>
      <c r="F333" s="1" t="s">
        <v>9</v>
      </c>
      <c r="G333" s="1" t="s">
        <v>902</v>
      </c>
      <c r="H333" s="1">
        <v>0</v>
      </c>
      <c r="I333" s="1" t="str" cm="1">
        <f t="array" ref="I333">_xlfn.IFS(a.nike.original.man[[#This Row],[Rating]]&lt;=2.9, "0 - 2.9",a.nike.original.man[[#This Row],[Rating]]&lt;=3.9,"3 - 3.9", a.nike.original.man[[#This Row],[Rating]]&lt;=5,"4 - 5")</f>
        <v>0 - 2.9</v>
      </c>
      <c r="J333" s="1">
        <v>0</v>
      </c>
      <c r="K333" s="1" t="str" cm="1">
        <f t="array" ref="K333">_xlfn.IFS(a.nike.original.man[[#This Row],[Reviews]]&lt;=7, "Below Average", a.nike.original.man[[#This Row],[Reviews]]&gt;=8, "Average +")</f>
        <v>Below Average</v>
      </c>
      <c r="L333" s="11" t="s">
        <v>1595</v>
      </c>
      <c r="M333" s="1" t="s">
        <v>1470</v>
      </c>
    </row>
    <row r="334" spans="1:13" x14ac:dyDescent="0.2">
      <c r="A334" s="2" t="s">
        <v>854</v>
      </c>
      <c r="B334" s="2" t="s">
        <v>855</v>
      </c>
      <c r="C334" s="331">
        <v>0</v>
      </c>
      <c r="D334" s="331">
        <v>220</v>
      </c>
      <c r="E334" s="116">
        <v>0</v>
      </c>
      <c r="F334" s="2" t="s">
        <v>9</v>
      </c>
      <c r="G334" s="2" t="s">
        <v>856</v>
      </c>
      <c r="H334" s="2">
        <v>0</v>
      </c>
      <c r="I334" s="2" t="str" cm="1">
        <f t="array" ref="I334">_xlfn.IFS(a.nike.original.man[[#This Row],[Rating]]&lt;=2.9, "0 - 2.9",a.nike.original.man[[#This Row],[Rating]]&lt;=3.9,"3 - 3.9", a.nike.original.man[[#This Row],[Rating]]&lt;=5,"4 - 5")</f>
        <v>0 - 2.9</v>
      </c>
      <c r="J334" s="2">
        <v>0</v>
      </c>
      <c r="K334" s="2" t="str" cm="1">
        <f t="array" ref="K334">_xlfn.IFS(a.nike.original.man[[#This Row],[Reviews]]&lt;=7, "Below Average", a.nike.original.man[[#This Row],[Reviews]]&gt;=8, "Average +")</f>
        <v>Below Average</v>
      </c>
      <c r="L334" s="12" t="s">
        <v>1595</v>
      </c>
      <c r="M334" s="2" t="s">
        <v>1470</v>
      </c>
    </row>
    <row r="335" spans="1:13" x14ac:dyDescent="0.2">
      <c r="A335" s="1" t="s">
        <v>919</v>
      </c>
      <c r="B335" s="1" t="s">
        <v>920</v>
      </c>
      <c r="C335" s="330">
        <v>0</v>
      </c>
      <c r="D335" s="330">
        <v>90</v>
      </c>
      <c r="E335" s="116">
        <v>0</v>
      </c>
      <c r="F335" s="1" t="s">
        <v>9</v>
      </c>
      <c r="G335" s="1" t="s">
        <v>921</v>
      </c>
      <c r="H335" s="1">
        <v>5</v>
      </c>
      <c r="I335" s="1" t="str" cm="1">
        <f t="array" ref="I335">_xlfn.IFS(a.nike.original.man[[#This Row],[Rating]]&lt;=2.9, "0 - 2.9",a.nike.original.man[[#This Row],[Rating]]&lt;=3.9,"3 - 3.9", a.nike.original.man[[#This Row],[Rating]]&lt;=5,"4 - 5")</f>
        <v>4 - 5</v>
      </c>
      <c r="J335" s="1">
        <v>6</v>
      </c>
      <c r="K335" s="1" t="str" cm="1">
        <f t="array" ref="K335">_xlfn.IFS(a.nike.original.man[[#This Row],[Reviews]]&lt;=7, "Below Average", a.nike.original.man[[#This Row],[Reviews]]&gt;=8, "Average +")</f>
        <v>Below Average</v>
      </c>
      <c r="L335" s="11" t="s">
        <v>1596</v>
      </c>
      <c r="M335" s="1" t="s">
        <v>1470</v>
      </c>
    </row>
    <row r="336" spans="1:13" x14ac:dyDescent="0.2">
      <c r="A336" s="1" t="s">
        <v>914</v>
      </c>
      <c r="B336" s="1" t="s">
        <v>915</v>
      </c>
      <c r="C336" s="330">
        <v>0</v>
      </c>
      <c r="D336" s="330">
        <v>100</v>
      </c>
      <c r="E336" s="116">
        <v>0</v>
      </c>
      <c r="F336" s="1" t="s">
        <v>9</v>
      </c>
      <c r="G336" s="1" t="s">
        <v>916</v>
      </c>
      <c r="H336" s="1">
        <v>4.7</v>
      </c>
      <c r="I336" s="1" t="str" cm="1">
        <f t="array" ref="I336">_xlfn.IFS(a.nike.original.man[[#This Row],[Rating]]&lt;=2.9, "0 - 2.9",a.nike.original.man[[#This Row],[Rating]]&lt;=3.9,"3 - 3.9", a.nike.original.man[[#This Row],[Rating]]&lt;=5,"4 - 5")</f>
        <v>4 - 5</v>
      </c>
      <c r="J336" s="1">
        <v>3</v>
      </c>
      <c r="K336" s="1" t="str" cm="1">
        <f t="array" ref="K336">_xlfn.IFS(a.nike.original.man[[#This Row],[Reviews]]&lt;=7, "Below Average", a.nike.original.man[[#This Row],[Reviews]]&gt;=8, "Average +")</f>
        <v>Below Average</v>
      </c>
      <c r="L336" s="11" t="s">
        <v>1596</v>
      </c>
      <c r="M336" s="1" t="s">
        <v>1470</v>
      </c>
    </row>
    <row r="337" spans="1:13" x14ac:dyDescent="0.2">
      <c r="A337" s="2" t="s">
        <v>383</v>
      </c>
      <c r="B337" s="2" t="s">
        <v>906</v>
      </c>
      <c r="C337" s="331">
        <v>0</v>
      </c>
      <c r="D337" s="331">
        <v>160</v>
      </c>
      <c r="E337" s="116">
        <v>0</v>
      </c>
      <c r="F337" s="2" t="s">
        <v>9</v>
      </c>
      <c r="G337" s="2" t="s">
        <v>907</v>
      </c>
      <c r="H337" s="2">
        <v>4</v>
      </c>
      <c r="I337" s="2" t="str" cm="1">
        <f t="array" ref="I337">_xlfn.IFS(a.nike.original.man[[#This Row],[Rating]]&lt;=2.9, "0 - 2.9",a.nike.original.man[[#This Row],[Rating]]&lt;=3.9,"3 - 3.9", a.nike.original.man[[#This Row],[Rating]]&lt;=5,"4 - 5")</f>
        <v>4 - 5</v>
      </c>
      <c r="J337" s="2">
        <v>1</v>
      </c>
      <c r="K337" s="2" t="str" cm="1">
        <f t="array" ref="K337">_xlfn.IFS(a.nike.original.man[[#This Row],[Reviews]]&lt;=7, "Below Average", a.nike.original.man[[#This Row],[Reviews]]&gt;=8, "Average +")</f>
        <v>Below Average</v>
      </c>
      <c r="L337" s="12" t="s">
        <v>1596</v>
      </c>
      <c r="M337" s="2" t="s">
        <v>1470</v>
      </c>
    </row>
    <row r="338" spans="1:13" x14ac:dyDescent="0.2">
      <c r="A338" s="2" t="s">
        <v>908</v>
      </c>
      <c r="B338" s="2" t="s">
        <v>909</v>
      </c>
      <c r="C338" s="331">
        <v>0</v>
      </c>
      <c r="D338" s="331">
        <v>90</v>
      </c>
      <c r="E338" s="116">
        <v>0</v>
      </c>
      <c r="F338" s="2" t="s">
        <v>9</v>
      </c>
      <c r="G338" s="2" t="s">
        <v>910</v>
      </c>
      <c r="H338" s="2">
        <v>5</v>
      </c>
      <c r="I338" s="2" t="str" cm="1">
        <f t="array" ref="I338">_xlfn.IFS(a.nike.original.man[[#This Row],[Rating]]&lt;=2.9, "0 - 2.9",a.nike.original.man[[#This Row],[Rating]]&lt;=3.9,"3 - 3.9", a.nike.original.man[[#This Row],[Rating]]&lt;=5,"4 - 5")</f>
        <v>4 - 5</v>
      </c>
      <c r="J338" s="2">
        <v>1</v>
      </c>
      <c r="K338" s="2" t="str" cm="1">
        <f t="array" ref="K338">_xlfn.IFS(a.nike.original.man[[#This Row],[Reviews]]&lt;=7, "Below Average", a.nike.original.man[[#This Row],[Reviews]]&gt;=8, "Average +")</f>
        <v>Below Average</v>
      </c>
      <c r="L338" s="12" t="s">
        <v>1596</v>
      </c>
      <c r="M338" s="2" t="s">
        <v>1470</v>
      </c>
    </row>
    <row r="339" spans="1:13" x14ac:dyDescent="0.2">
      <c r="A339" s="1" t="s">
        <v>561</v>
      </c>
      <c r="B339" s="1" t="s">
        <v>562</v>
      </c>
      <c r="C339" s="330">
        <v>0</v>
      </c>
      <c r="D339" s="330">
        <v>80</v>
      </c>
      <c r="E339" s="116">
        <v>0</v>
      </c>
      <c r="F339" s="1" t="s">
        <v>9</v>
      </c>
      <c r="G339" s="1" t="s">
        <v>563</v>
      </c>
      <c r="H339" s="1">
        <v>1</v>
      </c>
      <c r="I339" s="1" t="str" cm="1">
        <f t="array" ref="I339">_xlfn.IFS(a.nike.original.man[[#This Row],[Rating]]&lt;=2.9, "0 - 2.9",a.nike.original.man[[#This Row],[Rating]]&lt;=3.9,"3 - 3.9", a.nike.original.man[[#This Row],[Rating]]&lt;=5,"4 - 5")</f>
        <v>0 - 2.9</v>
      </c>
      <c r="J339" s="1">
        <v>1</v>
      </c>
      <c r="K339" s="1" t="str" cm="1">
        <f t="array" ref="K339">_xlfn.IFS(a.nike.original.man[[#This Row],[Reviews]]&lt;=7, "Below Average", a.nike.original.man[[#This Row],[Reviews]]&gt;=8, "Average +")</f>
        <v>Below Average</v>
      </c>
      <c r="L339" s="11" t="s">
        <v>1596</v>
      </c>
      <c r="M339" s="1" t="s">
        <v>1470</v>
      </c>
    </row>
    <row r="340" spans="1:13" x14ac:dyDescent="0.2">
      <c r="A340" s="2" t="s">
        <v>400</v>
      </c>
      <c r="B340" s="2" t="s">
        <v>917</v>
      </c>
      <c r="C340" s="331">
        <v>0</v>
      </c>
      <c r="D340" s="331">
        <v>100</v>
      </c>
      <c r="E340" s="116">
        <v>0</v>
      </c>
      <c r="F340" s="2" t="s">
        <v>9</v>
      </c>
      <c r="G340" s="2" t="s">
        <v>918</v>
      </c>
      <c r="H340" s="2">
        <v>4.4000000000000004</v>
      </c>
      <c r="I340" s="2" t="str" cm="1">
        <f t="array" ref="I340">_xlfn.IFS(a.nike.original.man[[#This Row],[Rating]]&lt;=2.9, "0 - 2.9",a.nike.original.man[[#This Row],[Rating]]&lt;=3.9,"3 - 3.9", a.nike.original.man[[#This Row],[Rating]]&lt;=5,"4 - 5")</f>
        <v>4 - 5</v>
      </c>
      <c r="J340" s="2">
        <v>19</v>
      </c>
      <c r="K340" s="2" t="str" cm="1">
        <f t="array" ref="K340">_xlfn.IFS(a.nike.original.man[[#This Row],[Reviews]]&lt;=7, "Below Average", a.nike.original.man[[#This Row],[Reviews]]&gt;=8, "Average +")</f>
        <v>Average +</v>
      </c>
      <c r="L340" s="12" t="s">
        <v>1596</v>
      </c>
      <c r="M340" s="2" t="s">
        <v>1470</v>
      </c>
    </row>
    <row r="341" spans="1:13" x14ac:dyDescent="0.2">
      <c r="A341" s="1" t="s">
        <v>655</v>
      </c>
      <c r="B341" s="1" t="s">
        <v>656</v>
      </c>
      <c r="C341" s="330">
        <v>0</v>
      </c>
      <c r="D341" s="330">
        <v>55</v>
      </c>
      <c r="E341" s="116">
        <v>0</v>
      </c>
      <c r="F341" s="1" t="s">
        <v>9</v>
      </c>
      <c r="G341" s="1" t="s">
        <v>657</v>
      </c>
      <c r="H341" s="1">
        <v>0</v>
      </c>
      <c r="I341" s="1" t="str" cm="1">
        <f t="array" ref="I341">_xlfn.IFS(a.nike.original.man[[#This Row],[Rating]]&lt;=2.9, "0 - 2.9",a.nike.original.man[[#This Row],[Rating]]&lt;=3.9,"3 - 3.9", a.nike.original.man[[#This Row],[Rating]]&lt;=5,"4 - 5")</f>
        <v>0 - 2.9</v>
      </c>
      <c r="J341" s="1">
        <v>0</v>
      </c>
      <c r="K341" s="1" t="str" cm="1">
        <f t="array" ref="K341">_xlfn.IFS(a.nike.original.man[[#This Row],[Reviews]]&lt;=7, "Below Average", a.nike.original.man[[#This Row],[Reviews]]&gt;=8, "Average +")</f>
        <v>Below Average</v>
      </c>
      <c r="L341" s="11" t="s">
        <v>1596</v>
      </c>
      <c r="M341" s="1" t="s">
        <v>1470</v>
      </c>
    </row>
    <row r="342" spans="1:13" x14ac:dyDescent="0.2">
      <c r="A342" s="2" t="s">
        <v>911</v>
      </c>
      <c r="B342" s="2" t="s">
        <v>912</v>
      </c>
      <c r="C342" s="331">
        <v>169.95</v>
      </c>
      <c r="D342" s="331">
        <v>119</v>
      </c>
      <c r="E342" s="116">
        <v>0.3</v>
      </c>
      <c r="F342" s="2" t="s">
        <v>9</v>
      </c>
      <c r="G342" s="2" t="s">
        <v>913</v>
      </c>
      <c r="H342" s="2">
        <v>0</v>
      </c>
      <c r="I342" s="2" t="str" cm="1">
        <f t="array" ref="I342">_xlfn.IFS(a.nike.original.man[[#This Row],[Rating]]&lt;=2.9, "0 - 2.9",a.nike.original.man[[#This Row],[Rating]]&lt;=3.9,"3 - 3.9", a.nike.original.man[[#This Row],[Rating]]&lt;=5,"4 - 5")</f>
        <v>0 - 2.9</v>
      </c>
      <c r="J342" s="2">
        <v>0</v>
      </c>
      <c r="K342" s="2" t="str" cm="1">
        <f t="array" ref="K342">_xlfn.IFS(a.nike.original.man[[#This Row],[Reviews]]&lt;=7, "Below Average", a.nike.original.man[[#This Row],[Reviews]]&gt;=8, "Average +")</f>
        <v>Below Average</v>
      </c>
      <c r="L342" s="12" t="s">
        <v>1596</v>
      </c>
      <c r="M342" s="2" t="s">
        <v>1470</v>
      </c>
    </row>
    <row r="343" spans="1:13" x14ac:dyDescent="0.2">
      <c r="A343" s="1" t="s">
        <v>936</v>
      </c>
      <c r="B343" s="1" t="s">
        <v>937</v>
      </c>
      <c r="C343" s="330">
        <v>0</v>
      </c>
      <c r="D343" s="330">
        <v>70</v>
      </c>
      <c r="E343" s="116">
        <v>0</v>
      </c>
      <c r="F343" s="1" t="s">
        <v>9</v>
      </c>
      <c r="G343" s="1" t="s">
        <v>938</v>
      </c>
      <c r="H343" s="1">
        <v>4</v>
      </c>
      <c r="I343" s="1" t="str" cm="1">
        <f t="array" ref="I343">_xlfn.IFS(a.nike.original.man[[#This Row],[Rating]]&lt;=2.9, "0 - 2.9",a.nike.original.man[[#This Row],[Rating]]&lt;=3.9,"3 - 3.9", a.nike.original.man[[#This Row],[Rating]]&lt;=5,"4 - 5")</f>
        <v>4 - 5</v>
      </c>
      <c r="J343" s="1">
        <v>6</v>
      </c>
      <c r="K343" s="1" t="str" cm="1">
        <f t="array" ref="K343">_xlfn.IFS(a.nike.original.man[[#This Row],[Reviews]]&lt;=7, "Below Average", a.nike.original.man[[#This Row],[Reviews]]&gt;=8, "Average +")</f>
        <v>Below Average</v>
      </c>
      <c r="L343" s="11" t="s">
        <v>1597</v>
      </c>
      <c r="M343" s="1" t="s">
        <v>1470</v>
      </c>
    </row>
    <row r="344" spans="1:13" x14ac:dyDescent="0.2">
      <c r="A344" s="2" t="s">
        <v>922</v>
      </c>
      <c r="B344" s="2" t="s">
        <v>923</v>
      </c>
      <c r="C344" s="331">
        <v>159.94999999999999</v>
      </c>
      <c r="D344" s="331">
        <v>112</v>
      </c>
      <c r="E344" s="116">
        <v>0.3</v>
      </c>
      <c r="F344" s="2" t="s">
        <v>9</v>
      </c>
      <c r="G344" s="2" t="s">
        <v>924</v>
      </c>
      <c r="H344" s="2">
        <v>5</v>
      </c>
      <c r="I344" s="2" t="str" cm="1">
        <f t="array" ref="I344">_xlfn.IFS(a.nike.original.man[[#This Row],[Rating]]&lt;=2.9, "0 - 2.9",a.nike.original.man[[#This Row],[Rating]]&lt;=3.9,"3 - 3.9", a.nike.original.man[[#This Row],[Rating]]&lt;=5,"4 - 5")</f>
        <v>4 - 5</v>
      </c>
      <c r="J344" s="2">
        <v>4</v>
      </c>
      <c r="K344" s="2" t="str" cm="1">
        <f t="array" ref="K344">_xlfn.IFS(a.nike.original.man[[#This Row],[Reviews]]&lt;=7, "Below Average", a.nike.original.man[[#This Row],[Reviews]]&gt;=8, "Average +")</f>
        <v>Below Average</v>
      </c>
      <c r="L344" s="12" t="s">
        <v>1597</v>
      </c>
      <c r="M344" s="2" t="s">
        <v>1470</v>
      </c>
    </row>
    <row r="345" spans="1:13" x14ac:dyDescent="0.2">
      <c r="A345" s="1" t="s">
        <v>925</v>
      </c>
      <c r="B345" s="1" t="s">
        <v>926</v>
      </c>
      <c r="C345" s="330">
        <v>0</v>
      </c>
      <c r="D345" s="330">
        <v>45</v>
      </c>
      <c r="E345" s="116">
        <v>0</v>
      </c>
      <c r="F345" s="1" t="s">
        <v>9</v>
      </c>
      <c r="G345" s="1" t="s">
        <v>927</v>
      </c>
      <c r="H345" s="1">
        <v>4.3</v>
      </c>
      <c r="I345" s="1" t="str" cm="1">
        <f t="array" ref="I345">_xlfn.IFS(a.nike.original.man[[#This Row],[Rating]]&lt;=2.9, "0 - 2.9",a.nike.original.man[[#This Row],[Rating]]&lt;=3.9,"3 - 3.9", a.nike.original.man[[#This Row],[Rating]]&lt;=5,"4 - 5")</f>
        <v>4 - 5</v>
      </c>
      <c r="J345" s="1">
        <v>3</v>
      </c>
      <c r="K345" s="1" t="str" cm="1">
        <f t="array" ref="K345">_xlfn.IFS(a.nike.original.man[[#This Row],[Reviews]]&lt;=7, "Below Average", a.nike.original.man[[#This Row],[Reviews]]&gt;=8, "Average +")</f>
        <v>Below Average</v>
      </c>
      <c r="L345" s="11" t="s">
        <v>1597</v>
      </c>
      <c r="M345" s="1" t="s">
        <v>1470</v>
      </c>
    </row>
    <row r="346" spans="1:13" x14ac:dyDescent="0.2">
      <c r="A346" s="2" t="s">
        <v>928</v>
      </c>
      <c r="B346" s="2" t="s">
        <v>929</v>
      </c>
      <c r="C346" s="331">
        <v>0</v>
      </c>
      <c r="D346" s="331">
        <v>110</v>
      </c>
      <c r="E346" s="116">
        <v>0</v>
      </c>
      <c r="F346" s="2" t="s">
        <v>9</v>
      </c>
      <c r="G346" s="2" t="s">
        <v>930</v>
      </c>
      <c r="H346" s="2">
        <v>4.0999999999999996</v>
      </c>
      <c r="I346" s="2" t="str" cm="1">
        <f t="array" ref="I346">_xlfn.IFS(a.nike.original.man[[#This Row],[Rating]]&lt;=2.9, "0 - 2.9",a.nike.original.man[[#This Row],[Rating]]&lt;=3.9,"3 - 3.9", a.nike.original.man[[#This Row],[Rating]]&lt;=5,"4 - 5")</f>
        <v>4 - 5</v>
      </c>
      <c r="J346" s="2">
        <v>19</v>
      </c>
      <c r="K346" s="2" t="str" cm="1">
        <f t="array" ref="K346">_xlfn.IFS(a.nike.original.man[[#This Row],[Reviews]]&lt;=7, "Below Average", a.nike.original.man[[#This Row],[Reviews]]&gt;=8, "Average +")</f>
        <v>Average +</v>
      </c>
      <c r="L346" s="12" t="s">
        <v>1597</v>
      </c>
      <c r="M346" s="2" t="s">
        <v>1470</v>
      </c>
    </row>
    <row r="347" spans="1:13" x14ac:dyDescent="0.2">
      <c r="A347" s="2" t="s">
        <v>722</v>
      </c>
      <c r="B347" s="2" t="s">
        <v>934</v>
      </c>
      <c r="C347" s="331">
        <v>0</v>
      </c>
      <c r="D347" s="331">
        <v>70</v>
      </c>
      <c r="E347" s="116">
        <v>0</v>
      </c>
      <c r="F347" s="2" t="s">
        <v>9</v>
      </c>
      <c r="G347" s="2" t="s">
        <v>935</v>
      </c>
      <c r="H347" s="2">
        <v>0</v>
      </c>
      <c r="I347" s="2" t="str" cm="1">
        <f t="array" ref="I347">_xlfn.IFS(a.nike.original.man[[#This Row],[Rating]]&lt;=2.9, "0 - 2.9",a.nike.original.man[[#This Row],[Rating]]&lt;=3.9,"3 - 3.9", a.nike.original.man[[#This Row],[Rating]]&lt;=5,"4 - 5")</f>
        <v>0 - 2.9</v>
      </c>
      <c r="J347" s="2">
        <v>0</v>
      </c>
      <c r="K347" s="2" t="str" cm="1">
        <f t="array" ref="K347">_xlfn.IFS(a.nike.original.man[[#This Row],[Reviews]]&lt;=7, "Below Average", a.nike.original.man[[#This Row],[Reviews]]&gt;=8, "Average +")</f>
        <v>Below Average</v>
      </c>
      <c r="L347" s="12" t="s">
        <v>1597</v>
      </c>
      <c r="M347" s="2" t="s">
        <v>1470</v>
      </c>
    </row>
    <row r="348" spans="1:13" x14ac:dyDescent="0.2">
      <c r="A348" s="1" t="s">
        <v>931</v>
      </c>
      <c r="B348" s="1" t="s">
        <v>932</v>
      </c>
      <c r="C348" s="330">
        <v>0</v>
      </c>
      <c r="D348" s="330">
        <v>190</v>
      </c>
      <c r="E348" s="1">
        <v>0</v>
      </c>
      <c r="F348" s="1" t="s">
        <v>9</v>
      </c>
      <c r="G348" s="1" t="s">
        <v>933</v>
      </c>
      <c r="H348" s="1">
        <v>4.5999999999999996</v>
      </c>
      <c r="I348" s="1" t="str" cm="1">
        <f t="array" ref="I348">_xlfn.IFS(a.nike.original.man[[#This Row],[Rating]]&lt;=2.9, "0 - 2.9",a.nike.original.man[[#This Row],[Rating]]&lt;=3.9,"3 - 3.9", a.nike.original.man[[#This Row],[Rating]]&lt;=5,"4 - 5")</f>
        <v>4 - 5</v>
      </c>
      <c r="J348" s="1">
        <v>8</v>
      </c>
      <c r="K348" s="1" t="str" cm="1">
        <f t="array" ref="K348">_xlfn.IFS(a.nike.original.man[[#This Row],[Reviews]]&lt;=7, "Below Average", a.nike.original.man[[#This Row],[Reviews]]&gt;=8, "Average +")</f>
        <v>Average +</v>
      </c>
      <c r="L348" s="11" t="s">
        <v>1597</v>
      </c>
      <c r="M348" s="1" t="s">
        <v>1470</v>
      </c>
    </row>
    <row r="349" spans="1:13" x14ac:dyDescent="0.2">
      <c r="A349" s="1" t="s">
        <v>947</v>
      </c>
      <c r="B349" s="1" t="s">
        <v>948</v>
      </c>
      <c r="C349" s="330">
        <v>0</v>
      </c>
      <c r="D349" s="330">
        <v>66</v>
      </c>
      <c r="E349" s="116">
        <v>0</v>
      </c>
      <c r="F349" s="1" t="s">
        <v>9</v>
      </c>
      <c r="G349" s="1" t="s">
        <v>949</v>
      </c>
      <c r="H349" s="1">
        <v>4.2</v>
      </c>
      <c r="I349" s="1" t="str" cm="1">
        <f t="array" ref="I349">_xlfn.IFS(a.nike.original.man[[#This Row],[Rating]]&lt;=2.9, "0 - 2.9",a.nike.original.man[[#This Row],[Rating]]&lt;=3.9,"3 - 3.9", a.nike.original.man[[#This Row],[Rating]]&lt;=5,"4 - 5")</f>
        <v>4 - 5</v>
      </c>
      <c r="J349" s="1">
        <v>5</v>
      </c>
      <c r="K349" s="1" t="str" cm="1">
        <f t="array" ref="K349">_xlfn.IFS(a.nike.original.man[[#This Row],[Reviews]]&lt;=7, "Below Average", a.nike.original.man[[#This Row],[Reviews]]&gt;=8, "Average +")</f>
        <v>Below Average</v>
      </c>
      <c r="L349" s="11" t="s">
        <v>1598</v>
      </c>
      <c r="M349" s="1" t="s">
        <v>1470</v>
      </c>
    </row>
    <row r="350" spans="1:13" x14ac:dyDescent="0.2">
      <c r="A350" s="2" t="s">
        <v>637</v>
      </c>
      <c r="B350" s="2" t="s">
        <v>945</v>
      </c>
      <c r="C350" s="331">
        <v>109.95</v>
      </c>
      <c r="D350" s="331">
        <v>77</v>
      </c>
      <c r="E350" s="116">
        <v>0.3</v>
      </c>
      <c r="F350" s="2" t="s">
        <v>9</v>
      </c>
      <c r="G350" s="2" t="s">
        <v>946</v>
      </c>
      <c r="H350" s="2">
        <v>4.3</v>
      </c>
      <c r="I350" s="2" t="str" cm="1">
        <f t="array" ref="I350">_xlfn.IFS(a.nike.original.man[[#This Row],[Rating]]&lt;=2.9, "0 - 2.9",a.nike.original.man[[#This Row],[Rating]]&lt;=3.9,"3 - 3.9", a.nike.original.man[[#This Row],[Rating]]&lt;=5,"4 - 5")</f>
        <v>4 - 5</v>
      </c>
      <c r="J350" s="2">
        <v>3</v>
      </c>
      <c r="K350" s="2" t="str" cm="1">
        <f t="array" ref="K350">_xlfn.IFS(a.nike.original.man[[#This Row],[Reviews]]&lt;=7, "Below Average", a.nike.original.man[[#This Row],[Reviews]]&gt;=8, "Average +")</f>
        <v>Below Average</v>
      </c>
      <c r="L350" s="12" t="s">
        <v>1598</v>
      </c>
      <c r="M350" s="2" t="s">
        <v>1470</v>
      </c>
    </row>
    <row r="351" spans="1:13" x14ac:dyDescent="0.2">
      <c r="A351" s="2" t="s">
        <v>939</v>
      </c>
      <c r="B351" s="2" t="s">
        <v>940</v>
      </c>
      <c r="C351" s="331">
        <v>0</v>
      </c>
      <c r="D351" s="331">
        <v>45</v>
      </c>
      <c r="E351" s="116">
        <v>0</v>
      </c>
      <c r="F351" s="2" t="s">
        <v>9</v>
      </c>
      <c r="G351" s="2" t="s">
        <v>941</v>
      </c>
      <c r="H351" s="2">
        <v>0</v>
      </c>
      <c r="I351" s="2" t="str" cm="1">
        <f t="array" ref="I351">_xlfn.IFS(a.nike.original.man[[#This Row],[Rating]]&lt;=2.9, "0 - 2.9",a.nike.original.man[[#This Row],[Rating]]&lt;=3.9,"3 - 3.9", a.nike.original.man[[#This Row],[Rating]]&lt;=5,"4 - 5")</f>
        <v>0 - 2.9</v>
      </c>
      <c r="J351" s="2">
        <v>0</v>
      </c>
      <c r="K351" s="2" t="str" cm="1">
        <f t="array" ref="K351">_xlfn.IFS(a.nike.original.man[[#This Row],[Reviews]]&lt;=7, "Below Average", a.nike.original.man[[#This Row],[Reviews]]&gt;=8, "Average +")</f>
        <v>Below Average</v>
      </c>
      <c r="L351" s="12" t="s">
        <v>1598</v>
      </c>
      <c r="M351" s="2" t="s">
        <v>1470</v>
      </c>
    </row>
    <row r="352" spans="1:13" x14ac:dyDescent="0.2">
      <c r="A352" s="1" t="s">
        <v>942</v>
      </c>
      <c r="B352" s="1" t="s">
        <v>943</v>
      </c>
      <c r="C352" s="330">
        <v>0</v>
      </c>
      <c r="D352" s="330">
        <v>130</v>
      </c>
      <c r="E352" s="116">
        <v>0</v>
      </c>
      <c r="F352" s="1" t="s">
        <v>9</v>
      </c>
      <c r="G352" s="1" t="s">
        <v>944</v>
      </c>
      <c r="H352" s="1">
        <v>3.9</v>
      </c>
      <c r="I352" s="1" t="str" cm="1">
        <f t="array" ref="I352">_xlfn.IFS(a.nike.original.man[[#This Row],[Rating]]&lt;=2.9, "0 - 2.9",a.nike.original.man[[#This Row],[Rating]]&lt;=3.9,"3 - 3.9", a.nike.original.man[[#This Row],[Rating]]&lt;=5,"4 - 5")</f>
        <v>3 - 3.9</v>
      </c>
      <c r="J352" s="1">
        <v>10</v>
      </c>
      <c r="K352" s="1" t="str" cm="1">
        <f t="array" ref="K352">_xlfn.IFS(a.nike.original.man[[#This Row],[Reviews]]&lt;=7, "Below Average", a.nike.original.man[[#This Row],[Reviews]]&gt;=8, "Average +")</f>
        <v>Average +</v>
      </c>
      <c r="L352" s="11" t="s">
        <v>1598</v>
      </c>
      <c r="M352" s="1" t="s">
        <v>1470</v>
      </c>
    </row>
    <row r="353" spans="1:13" x14ac:dyDescent="0.2">
      <c r="A353" s="1" t="s">
        <v>959</v>
      </c>
      <c r="B353" s="1" t="s">
        <v>960</v>
      </c>
      <c r="C353" s="330">
        <v>119.95</v>
      </c>
      <c r="D353" s="330">
        <v>84</v>
      </c>
      <c r="E353" s="116">
        <v>0.3</v>
      </c>
      <c r="F353" s="1" t="s">
        <v>9</v>
      </c>
      <c r="G353" s="1" t="s">
        <v>961</v>
      </c>
      <c r="H353" s="1">
        <v>5</v>
      </c>
      <c r="I353" s="1" t="str" cm="1">
        <f t="array" ref="I353">_xlfn.IFS(a.nike.original.man[[#This Row],[Rating]]&lt;=2.9, "0 - 2.9",a.nike.original.man[[#This Row],[Rating]]&lt;=3.9,"3 - 3.9", a.nike.original.man[[#This Row],[Rating]]&lt;=5,"4 - 5")</f>
        <v>4 - 5</v>
      </c>
      <c r="J353" s="1">
        <v>4</v>
      </c>
      <c r="K353" s="1" t="str" cm="1">
        <f t="array" ref="K353">_xlfn.IFS(a.nike.original.man[[#This Row],[Reviews]]&lt;=7, "Below Average", a.nike.original.man[[#This Row],[Reviews]]&gt;=8, "Average +")</f>
        <v>Below Average</v>
      </c>
      <c r="L353" s="11" t="s">
        <v>1599</v>
      </c>
      <c r="M353" s="1" t="s">
        <v>1470</v>
      </c>
    </row>
    <row r="354" spans="1:13" x14ac:dyDescent="0.2">
      <c r="A354" s="2" t="s">
        <v>968</v>
      </c>
      <c r="B354" s="2" t="s">
        <v>969</v>
      </c>
      <c r="C354" s="331">
        <v>0</v>
      </c>
      <c r="D354" s="331">
        <v>160</v>
      </c>
      <c r="E354" s="116">
        <v>0</v>
      </c>
      <c r="F354" s="2" t="s">
        <v>9</v>
      </c>
      <c r="G354" s="2" t="s">
        <v>970</v>
      </c>
      <c r="H354" s="2">
        <v>4.2</v>
      </c>
      <c r="I354" s="2" t="str" cm="1">
        <f t="array" ref="I354">_xlfn.IFS(a.nike.original.man[[#This Row],[Rating]]&lt;=2.9, "0 - 2.9",a.nike.original.man[[#This Row],[Rating]]&lt;=3.9,"3 - 3.9", a.nike.original.man[[#This Row],[Rating]]&lt;=5,"4 - 5")</f>
        <v>4 - 5</v>
      </c>
      <c r="J354" s="2">
        <v>42</v>
      </c>
      <c r="K354" s="2" t="str" cm="1">
        <f t="array" ref="K354">_xlfn.IFS(a.nike.original.man[[#This Row],[Reviews]]&lt;=7, "Below Average", a.nike.original.man[[#This Row],[Reviews]]&gt;=8, "Average +")</f>
        <v>Average +</v>
      </c>
      <c r="L354" s="12" t="s">
        <v>1599</v>
      </c>
      <c r="M354" s="2" t="s">
        <v>1470</v>
      </c>
    </row>
    <row r="355" spans="1:13" x14ac:dyDescent="0.2">
      <c r="A355" s="2" t="s">
        <v>950</v>
      </c>
      <c r="B355" s="2" t="s">
        <v>951</v>
      </c>
      <c r="C355" s="331">
        <v>119.95</v>
      </c>
      <c r="D355" s="331">
        <v>72</v>
      </c>
      <c r="E355" s="116">
        <v>0.4</v>
      </c>
      <c r="F355" s="2" t="s">
        <v>9</v>
      </c>
      <c r="G355" s="2" t="s">
        <v>952</v>
      </c>
      <c r="H355" s="2">
        <v>5</v>
      </c>
      <c r="I355" s="2" t="str" cm="1">
        <f t="array" ref="I355">_xlfn.IFS(a.nike.original.man[[#This Row],[Rating]]&lt;=2.9, "0 - 2.9",a.nike.original.man[[#This Row],[Rating]]&lt;=3.9,"3 - 3.9", a.nike.original.man[[#This Row],[Rating]]&lt;=5,"4 - 5")</f>
        <v>4 - 5</v>
      </c>
      <c r="J355" s="2">
        <v>1</v>
      </c>
      <c r="K355" s="2" t="str" cm="1">
        <f t="array" ref="K355">_xlfn.IFS(a.nike.original.man[[#This Row],[Reviews]]&lt;=7, "Below Average", a.nike.original.man[[#This Row],[Reviews]]&gt;=8, "Average +")</f>
        <v>Below Average</v>
      </c>
      <c r="L355" s="12" t="s">
        <v>1599</v>
      </c>
      <c r="M355" s="2" t="s">
        <v>1470</v>
      </c>
    </row>
    <row r="356" spans="1:13" x14ac:dyDescent="0.2">
      <c r="A356" s="1" t="s">
        <v>953</v>
      </c>
      <c r="B356" s="1" t="s">
        <v>954</v>
      </c>
      <c r="C356" s="330">
        <v>74.95</v>
      </c>
      <c r="D356" s="330">
        <v>52</v>
      </c>
      <c r="E356" s="116">
        <v>0.3</v>
      </c>
      <c r="F356" s="1" t="s">
        <v>9</v>
      </c>
      <c r="G356" s="1" t="s">
        <v>955</v>
      </c>
      <c r="H356" s="1">
        <v>0</v>
      </c>
      <c r="I356" s="1" t="str" cm="1">
        <f t="array" ref="I356">_xlfn.IFS(a.nike.original.man[[#This Row],[Rating]]&lt;=2.9, "0 - 2.9",a.nike.original.man[[#This Row],[Rating]]&lt;=3.9,"3 - 3.9", a.nike.original.man[[#This Row],[Rating]]&lt;=5,"4 - 5")</f>
        <v>0 - 2.9</v>
      </c>
      <c r="J356" s="1">
        <v>0</v>
      </c>
      <c r="K356" s="1" t="str" cm="1">
        <f t="array" ref="K356">_xlfn.IFS(a.nike.original.man[[#This Row],[Reviews]]&lt;=7, "Below Average", a.nike.original.man[[#This Row],[Reviews]]&gt;=8, "Average +")</f>
        <v>Below Average</v>
      </c>
      <c r="L356" s="11" t="s">
        <v>1599</v>
      </c>
      <c r="M356" s="1" t="s">
        <v>1470</v>
      </c>
    </row>
    <row r="357" spans="1:13" x14ac:dyDescent="0.2">
      <c r="A357" s="2" t="s">
        <v>956</v>
      </c>
      <c r="B357" s="2" t="s">
        <v>957</v>
      </c>
      <c r="C357" s="331">
        <v>0</v>
      </c>
      <c r="D357" s="331">
        <v>120</v>
      </c>
      <c r="E357" s="116">
        <v>0</v>
      </c>
      <c r="F357" s="2" t="s">
        <v>9</v>
      </c>
      <c r="G357" s="2" t="s">
        <v>958</v>
      </c>
      <c r="H357" s="2">
        <v>0</v>
      </c>
      <c r="I357" s="2" t="str" cm="1">
        <f t="array" ref="I357">_xlfn.IFS(a.nike.original.man[[#This Row],[Rating]]&lt;=2.9, "0 - 2.9",a.nike.original.man[[#This Row],[Rating]]&lt;=3.9,"3 - 3.9", a.nike.original.man[[#This Row],[Rating]]&lt;=5,"4 - 5")</f>
        <v>0 - 2.9</v>
      </c>
      <c r="J357" s="2">
        <v>0</v>
      </c>
      <c r="K357" s="2" t="str" cm="1">
        <f t="array" ref="K357">_xlfn.IFS(a.nike.original.man[[#This Row],[Reviews]]&lt;=7, "Below Average", a.nike.original.man[[#This Row],[Reviews]]&gt;=8, "Average +")</f>
        <v>Below Average</v>
      </c>
      <c r="L357" s="12" t="s">
        <v>1599</v>
      </c>
      <c r="M357" s="2" t="s">
        <v>1470</v>
      </c>
    </row>
    <row r="358" spans="1:13" x14ac:dyDescent="0.2">
      <c r="A358" s="2" t="s">
        <v>962</v>
      </c>
      <c r="B358" s="2" t="s">
        <v>963</v>
      </c>
      <c r="C358" s="331">
        <v>0</v>
      </c>
      <c r="D358" s="331">
        <v>45</v>
      </c>
      <c r="E358" s="116">
        <v>0</v>
      </c>
      <c r="F358" s="2" t="s">
        <v>9</v>
      </c>
      <c r="G358" s="2" t="s">
        <v>964</v>
      </c>
      <c r="H358" s="2">
        <v>0</v>
      </c>
      <c r="I358" s="2" t="str" cm="1">
        <f t="array" ref="I358">_xlfn.IFS(a.nike.original.man[[#This Row],[Rating]]&lt;=2.9, "0 - 2.9",a.nike.original.man[[#This Row],[Rating]]&lt;=3.9,"3 - 3.9", a.nike.original.man[[#This Row],[Rating]]&lt;=5,"4 - 5")</f>
        <v>0 - 2.9</v>
      </c>
      <c r="J358" s="2">
        <v>0</v>
      </c>
      <c r="K358" s="2" t="str" cm="1">
        <f t="array" ref="K358">_xlfn.IFS(a.nike.original.man[[#This Row],[Reviews]]&lt;=7, "Below Average", a.nike.original.man[[#This Row],[Reviews]]&gt;=8, "Average +")</f>
        <v>Below Average</v>
      </c>
      <c r="L358" s="12" t="s">
        <v>1599</v>
      </c>
      <c r="M358" s="2" t="s">
        <v>1470</v>
      </c>
    </row>
    <row r="359" spans="1:13" x14ac:dyDescent="0.2">
      <c r="A359" s="1" t="s">
        <v>965</v>
      </c>
      <c r="B359" s="1" t="s">
        <v>966</v>
      </c>
      <c r="C359" s="330">
        <v>0</v>
      </c>
      <c r="D359" s="330">
        <v>85</v>
      </c>
      <c r="E359" s="116">
        <v>0</v>
      </c>
      <c r="F359" s="1" t="s">
        <v>9</v>
      </c>
      <c r="G359" s="1" t="s">
        <v>967</v>
      </c>
      <c r="H359" s="1">
        <v>0</v>
      </c>
      <c r="I359" s="1" t="str" cm="1">
        <f t="array" ref="I359">_xlfn.IFS(a.nike.original.man[[#This Row],[Rating]]&lt;=2.9, "0 - 2.9",a.nike.original.man[[#This Row],[Rating]]&lt;=3.9,"3 - 3.9", a.nike.original.man[[#This Row],[Rating]]&lt;=5,"4 - 5")</f>
        <v>0 - 2.9</v>
      </c>
      <c r="J359" s="1">
        <v>0</v>
      </c>
      <c r="K359" s="1" t="str" cm="1">
        <f t="array" ref="K359">_xlfn.IFS(a.nike.original.man[[#This Row],[Reviews]]&lt;=7, "Below Average", a.nike.original.man[[#This Row],[Reviews]]&gt;=8, "Average +")</f>
        <v>Below Average</v>
      </c>
      <c r="L359" s="11" t="s">
        <v>1599</v>
      </c>
      <c r="M359" s="1" t="s">
        <v>1470</v>
      </c>
    </row>
    <row r="360" spans="1:13" x14ac:dyDescent="0.2">
      <c r="A360" s="1" t="s">
        <v>971</v>
      </c>
      <c r="B360" s="1" t="s">
        <v>972</v>
      </c>
      <c r="C360" s="330">
        <v>0</v>
      </c>
      <c r="D360" s="330">
        <v>160</v>
      </c>
      <c r="E360" s="116">
        <v>0</v>
      </c>
      <c r="F360" s="1" t="s">
        <v>9</v>
      </c>
      <c r="G360" s="1" t="s">
        <v>973</v>
      </c>
      <c r="H360" s="1">
        <v>0</v>
      </c>
      <c r="I360" s="1" t="str" cm="1">
        <f t="array" ref="I360">_xlfn.IFS(a.nike.original.man[[#This Row],[Rating]]&lt;=2.9, "0 - 2.9",a.nike.original.man[[#This Row],[Rating]]&lt;=3.9,"3 - 3.9", a.nike.original.man[[#This Row],[Rating]]&lt;=5,"4 - 5")</f>
        <v>0 - 2.9</v>
      </c>
      <c r="J360" s="1">
        <v>0</v>
      </c>
      <c r="K360" s="1" t="str" cm="1">
        <f t="array" ref="K360">_xlfn.IFS(a.nike.original.man[[#This Row],[Reviews]]&lt;=7, "Below Average", a.nike.original.man[[#This Row],[Reviews]]&gt;=8, "Average +")</f>
        <v>Below Average</v>
      </c>
      <c r="L360" s="11" t="s">
        <v>1599</v>
      </c>
      <c r="M360" s="1" t="s">
        <v>1470</v>
      </c>
    </row>
    <row r="361" spans="1:13" x14ac:dyDescent="0.2">
      <c r="A361" s="2" t="s">
        <v>974</v>
      </c>
      <c r="B361" s="2" t="s">
        <v>975</v>
      </c>
      <c r="C361" s="331">
        <v>159.94999999999999</v>
      </c>
      <c r="D361" s="331">
        <v>96</v>
      </c>
      <c r="E361" s="116">
        <v>0.4</v>
      </c>
      <c r="F361" s="2" t="s">
        <v>9</v>
      </c>
      <c r="G361" s="2" t="s">
        <v>976</v>
      </c>
      <c r="H361" s="2">
        <v>3</v>
      </c>
      <c r="I361" s="2" t="str" cm="1">
        <f t="array" ref="I361">_xlfn.IFS(a.nike.original.man[[#This Row],[Rating]]&lt;=2.9, "0 - 2.9",a.nike.original.man[[#This Row],[Rating]]&lt;=3.9,"3 - 3.9", a.nike.original.man[[#This Row],[Rating]]&lt;=5,"4 - 5")</f>
        <v>3 - 3.9</v>
      </c>
      <c r="J361" s="2">
        <v>5</v>
      </c>
      <c r="K361" s="2" t="str" cm="1">
        <f t="array" ref="K361">_xlfn.IFS(a.nike.original.man[[#This Row],[Reviews]]&lt;=7, "Below Average", a.nike.original.man[[#This Row],[Reviews]]&gt;=8, "Average +")</f>
        <v>Below Average</v>
      </c>
      <c r="L361" s="12" t="s">
        <v>1600</v>
      </c>
      <c r="M361" s="2" t="s">
        <v>1470</v>
      </c>
    </row>
    <row r="362" spans="1:13" x14ac:dyDescent="0.2">
      <c r="A362" s="1" t="s">
        <v>977</v>
      </c>
      <c r="B362" s="1" t="s">
        <v>978</v>
      </c>
      <c r="C362" s="330">
        <v>79.95</v>
      </c>
      <c r="D362" s="330">
        <v>64</v>
      </c>
      <c r="E362" s="116">
        <v>0.2</v>
      </c>
      <c r="F362" s="1" t="s">
        <v>9</v>
      </c>
      <c r="G362" s="1" t="s">
        <v>979</v>
      </c>
      <c r="H362" s="1">
        <v>2.4</v>
      </c>
      <c r="I362" s="1" t="str" cm="1">
        <f t="array" ref="I362">_xlfn.IFS(a.nike.original.man[[#This Row],[Rating]]&lt;=2.9, "0 - 2.9",a.nike.original.man[[#This Row],[Rating]]&lt;=3.9,"3 - 3.9", a.nike.original.man[[#This Row],[Rating]]&lt;=5,"4 - 5")</f>
        <v>0 - 2.9</v>
      </c>
      <c r="J362" s="1">
        <v>5</v>
      </c>
      <c r="K362" s="1" t="str" cm="1">
        <f t="array" ref="K362">_xlfn.IFS(a.nike.original.man[[#This Row],[Reviews]]&lt;=7, "Below Average", a.nike.original.man[[#This Row],[Reviews]]&gt;=8, "Average +")</f>
        <v>Below Average</v>
      </c>
      <c r="L362" s="11" t="s">
        <v>1600</v>
      </c>
      <c r="M362" s="1" t="s">
        <v>1470</v>
      </c>
    </row>
    <row r="363" spans="1:13" x14ac:dyDescent="0.2">
      <c r="A363" s="2" t="s">
        <v>991</v>
      </c>
      <c r="B363" s="2" t="s">
        <v>992</v>
      </c>
      <c r="C363" s="331">
        <v>84.95</v>
      </c>
      <c r="D363" s="331">
        <v>59</v>
      </c>
      <c r="E363" s="116">
        <v>0.3</v>
      </c>
      <c r="F363" s="2" t="s">
        <v>9</v>
      </c>
      <c r="G363" s="2" t="s">
        <v>993</v>
      </c>
      <c r="H363" s="2">
        <v>4</v>
      </c>
      <c r="I363" s="2" t="str" cm="1">
        <f t="array" ref="I363">_xlfn.IFS(a.nike.original.man[[#This Row],[Rating]]&lt;=2.9, "0 - 2.9",a.nike.original.man[[#This Row],[Rating]]&lt;=3.9,"3 - 3.9", a.nike.original.man[[#This Row],[Rating]]&lt;=5,"4 - 5")</f>
        <v>4 - 5</v>
      </c>
      <c r="J363" s="2">
        <v>5</v>
      </c>
      <c r="K363" s="2" t="str" cm="1">
        <f t="array" ref="K363">_xlfn.IFS(a.nike.original.man[[#This Row],[Reviews]]&lt;=7, "Below Average", a.nike.original.man[[#This Row],[Reviews]]&gt;=8, "Average +")</f>
        <v>Below Average</v>
      </c>
      <c r="L363" s="12" t="s">
        <v>1600</v>
      </c>
      <c r="M363" s="2" t="s">
        <v>1470</v>
      </c>
    </row>
    <row r="364" spans="1:13" x14ac:dyDescent="0.2">
      <c r="A364" s="1" t="s">
        <v>182</v>
      </c>
      <c r="B364" s="1" t="s">
        <v>989</v>
      </c>
      <c r="C364" s="330">
        <v>0</v>
      </c>
      <c r="D364" s="330">
        <v>120</v>
      </c>
      <c r="E364" s="116">
        <v>0</v>
      </c>
      <c r="F364" s="1" t="s">
        <v>9</v>
      </c>
      <c r="G364" s="1" t="s">
        <v>990</v>
      </c>
      <c r="H364" s="1">
        <v>4.8</v>
      </c>
      <c r="I364" s="1" t="str" cm="1">
        <f t="array" ref="I364">_xlfn.IFS(a.nike.original.man[[#This Row],[Rating]]&lt;=2.9, "0 - 2.9",a.nike.original.man[[#This Row],[Rating]]&lt;=3.9,"3 - 3.9", a.nike.original.man[[#This Row],[Rating]]&lt;=5,"4 - 5")</f>
        <v>4 - 5</v>
      </c>
      <c r="J364" s="1">
        <v>4</v>
      </c>
      <c r="K364" s="1" t="str" cm="1">
        <f t="array" ref="K364">_xlfn.IFS(a.nike.original.man[[#This Row],[Reviews]]&lt;=7, "Below Average", a.nike.original.man[[#This Row],[Reviews]]&gt;=8, "Average +")</f>
        <v>Below Average</v>
      </c>
      <c r="L364" s="11" t="s">
        <v>1600</v>
      </c>
      <c r="M364" s="1" t="s">
        <v>1470</v>
      </c>
    </row>
    <row r="365" spans="1:13" x14ac:dyDescent="0.2">
      <c r="A365" s="1" t="s">
        <v>994</v>
      </c>
      <c r="B365" s="1" t="s">
        <v>995</v>
      </c>
      <c r="C365" s="330">
        <v>0</v>
      </c>
      <c r="D365" s="330">
        <v>65</v>
      </c>
      <c r="E365" s="116">
        <v>0</v>
      </c>
      <c r="F365" s="1" t="s">
        <v>9</v>
      </c>
      <c r="G365" s="1" t="s">
        <v>996</v>
      </c>
      <c r="H365" s="1">
        <v>3.5</v>
      </c>
      <c r="I365" s="1" t="str" cm="1">
        <f t="array" ref="I365">_xlfn.IFS(a.nike.original.man[[#This Row],[Rating]]&lt;=2.9, "0 - 2.9",a.nike.original.man[[#This Row],[Rating]]&lt;=3.9,"3 - 3.9", a.nike.original.man[[#This Row],[Rating]]&lt;=5,"4 - 5")</f>
        <v>3 - 3.9</v>
      </c>
      <c r="J365" s="1">
        <v>2</v>
      </c>
      <c r="K365" s="1" t="str" cm="1">
        <f t="array" ref="K365">_xlfn.IFS(a.nike.original.man[[#This Row],[Reviews]]&lt;=7, "Below Average", a.nike.original.man[[#This Row],[Reviews]]&gt;=8, "Average +")</f>
        <v>Below Average</v>
      </c>
      <c r="L365" s="11" t="s">
        <v>1600</v>
      </c>
      <c r="M365" s="1" t="s">
        <v>1470</v>
      </c>
    </row>
    <row r="366" spans="1:13" x14ac:dyDescent="0.2">
      <c r="A366" s="2" t="s">
        <v>980</v>
      </c>
      <c r="B366" s="2" t="s">
        <v>981</v>
      </c>
      <c r="C366" s="331">
        <v>84.95</v>
      </c>
      <c r="D366" s="331">
        <v>59</v>
      </c>
      <c r="E366" s="116">
        <v>0.3</v>
      </c>
      <c r="F366" s="2" t="s">
        <v>9</v>
      </c>
      <c r="G366" s="2" t="s">
        <v>982</v>
      </c>
      <c r="H366" s="2">
        <v>5</v>
      </c>
      <c r="I366" s="2" t="str" cm="1">
        <f t="array" ref="I366">_xlfn.IFS(a.nike.original.man[[#This Row],[Rating]]&lt;=2.9, "0 - 2.9",a.nike.original.man[[#This Row],[Rating]]&lt;=3.9,"3 - 3.9", a.nike.original.man[[#This Row],[Rating]]&lt;=5,"4 - 5")</f>
        <v>4 - 5</v>
      </c>
      <c r="J366" s="2">
        <v>1</v>
      </c>
      <c r="K366" s="2" t="str" cm="1">
        <f t="array" ref="K366">_xlfn.IFS(a.nike.original.man[[#This Row],[Reviews]]&lt;=7, "Below Average", a.nike.original.man[[#This Row],[Reviews]]&gt;=8, "Average +")</f>
        <v>Below Average</v>
      </c>
      <c r="L366" s="12" t="s">
        <v>1600</v>
      </c>
      <c r="M366" s="2" t="s">
        <v>1470</v>
      </c>
    </row>
    <row r="367" spans="1:13" x14ac:dyDescent="0.2">
      <c r="A367" s="1" t="s">
        <v>983</v>
      </c>
      <c r="B367" s="1" t="s">
        <v>984</v>
      </c>
      <c r="C367" s="330">
        <v>0</v>
      </c>
      <c r="D367" s="330">
        <v>100</v>
      </c>
      <c r="E367" s="116">
        <v>0</v>
      </c>
      <c r="F367" s="1" t="s">
        <v>9</v>
      </c>
      <c r="G367" s="1" t="s">
        <v>985</v>
      </c>
      <c r="H367" s="1">
        <v>5</v>
      </c>
      <c r="I367" s="1" t="str" cm="1">
        <f t="array" ref="I367">_xlfn.IFS(a.nike.original.man[[#This Row],[Rating]]&lt;=2.9, "0 - 2.9",a.nike.original.man[[#This Row],[Rating]]&lt;=3.9,"3 - 3.9", a.nike.original.man[[#This Row],[Rating]]&lt;=5,"4 - 5")</f>
        <v>4 - 5</v>
      </c>
      <c r="J367" s="1">
        <v>1</v>
      </c>
      <c r="K367" s="1" t="str" cm="1">
        <f t="array" ref="K367">_xlfn.IFS(a.nike.original.man[[#This Row],[Reviews]]&lt;=7, "Below Average", a.nike.original.man[[#This Row],[Reviews]]&gt;=8, "Average +")</f>
        <v>Below Average</v>
      </c>
      <c r="L367" s="11" t="s">
        <v>1600</v>
      </c>
      <c r="M367" s="1" t="s">
        <v>1470</v>
      </c>
    </row>
    <row r="368" spans="1:13" x14ac:dyDescent="0.2">
      <c r="A368" s="2" t="s">
        <v>986</v>
      </c>
      <c r="B368" s="2" t="s">
        <v>987</v>
      </c>
      <c r="C368" s="331">
        <v>139.94999999999999</v>
      </c>
      <c r="D368" s="331">
        <v>98</v>
      </c>
      <c r="E368" s="116">
        <v>0.3</v>
      </c>
      <c r="F368" s="2" t="s">
        <v>9</v>
      </c>
      <c r="G368" s="2" t="s">
        <v>988</v>
      </c>
      <c r="H368" s="2">
        <v>0</v>
      </c>
      <c r="I368" s="2" t="str" cm="1">
        <f t="array" ref="I368">_xlfn.IFS(a.nike.original.man[[#This Row],[Rating]]&lt;=2.9, "0 - 2.9",a.nike.original.man[[#This Row],[Rating]]&lt;=3.9,"3 - 3.9", a.nike.original.man[[#This Row],[Rating]]&lt;=5,"4 - 5")</f>
        <v>0 - 2.9</v>
      </c>
      <c r="J368" s="2">
        <v>0</v>
      </c>
      <c r="K368" s="2" t="str" cm="1">
        <f t="array" ref="K368">_xlfn.IFS(a.nike.original.man[[#This Row],[Reviews]]&lt;=7, "Below Average", a.nike.original.man[[#This Row],[Reviews]]&gt;=8, "Average +")</f>
        <v>Below Average</v>
      </c>
      <c r="L368" s="12" t="s">
        <v>1600</v>
      </c>
      <c r="M368" s="2" t="s">
        <v>1470</v>
      </c>
    </row>
    <row r="369" spans="1:13" x14ac:dyDescent="0.2">
      <c r="A369" s="2" t="s">
        <v>1009</v>
      </c>
      <c r="B369" s="2" t="s">
        <v>1010</v>
      </c>
      <c r="C369" s="331">
        <v>89.95</v>
      </c>
      <c r="D369" s="331">
        <v>54</v>
      </c>
      <c r="E369" s="116">
        <v>0.4</v>
      </c>
      <c r="F369" s="2" t="s">
        <v>9</v>
      </c>
      <c r="G369" s="2" t="s">
        <v>1011</v>
      </c>
      <c r="H369" s="2">
        <v>3.4</v>
      </c>
      <c r="I369" s="2" t="str" cm="1">
        <f t="array" ref="I369">_xlfn.IFS(a.nike.original.man[[#This Row],[Rating]]&lt;=2.9, "0 - 2.9",a.nike.original.man[[#This Row],[Rating]]&lt;=3.9,"3 - 3.9", a.nike.original.man[[#This Row],[Rating]]&lt;=5,"4 - 5")</f>
        <v>3 - 3.9</v>
      </c>
      <c r="J369" s="2">
        <v>7</v>
      </c>
      <c r="K369" s="2" t="str" cm="1">
        <f t="array" ref="K369">_xlfn.IFS(a.nike.original.man[[#This Row],[Reviews]]&lt;=7, "Below Average", a.nike.original.man[[#This Row],[Reviews]]&gt;=8, "Average +")</f>
        <v>Below Average</v>
      </c>
      <c r="L369" s="12" t="s">
        <v>1601</v>
      </c>
      <c r="M369" s="2" t="s">
        <v>1470</v>
      </c>
    </row>
    <row r="370" spans="1:13" x14ac:dyDescent="0.2">
      <c r="A370" s="2" t="s">
        <v>997</v>
      </c>
      <c r="B370" s="2" t="s">
        <v>998</v>
      </c>
      <c r="C370" s="331">
        <v>0</v>
      </c>
      <c r="D370" s="331">
        <v>200</v>
      </c>
      <c r="E370" s="116">
        <v>0</v>
      </c>
      <c r="F370" s="2" t="s">
        <v>9</v>
      </c>
      <c r="G370" s="2" t="s">
        <v>999</v>
      </c>
      <c r="H370" s="2">
        <v>4.8</v>
      </c>
      <c r="I370" s="2" t="str" cm="1">
        <f t="array" ref="I370">_xlfn.IFS(a.nike.original.man[[#This Row],[Rating]]&lt;=2.9, "0 - 2.9",a.nike.original.man[[#This Row],[Rating]]&lt;=3.9,"3 - 3.9", a.nike.original.man[[#This Row],[Rating]]&lt;=5,"4 - 5")</f>
        <v>4 - 5</v>
      </c>
      <c r="J370" s="2">
        <v>6</v>
      </c>
      <c r="K370" s="2" t="str" cm="1">
        <f t="array" ref="K370">_xlfn.IFS(a.nike.original.man[[#This Row],[Reviews]]&lt;=7, "Below Average", a.nike.original.man[[#This Row],[Reviews]]&gt;=8, "Average +")</f>
        <v>Below Average</v>
      </c>
      <c r="L370" s="12" t="s">
        <v>1601</v>
      </c>
      <c r="M370" s="2" t="s">
        <v>1470</v>
      </c>
    </row>
    <row r="371" spans="1:13" x14ac:dyDescent="0.2">
      <c r="A371" s="2" t="s">
        <v>1003</v>
      </c>
      <c r="B371" s="2" t="s">
        <v>1004</v>
      </c>
      <c r="C371" s="331">
        <v>0</v>
      </c>
      <c r="D371" s="331">
        <v>200</v>
      </c>
      <c r="E371" s="116">
        <v>0</v>
      </c>
      <c r="F371" s="2" t="s">
        <v>9</v>
      </c>
      <c r="G371" s="2" t="s">
        <v>1005</v>
      </c>
      <c r="H371" s="2">
        <v>5</v>
      </c>
      <c r="I371" s="2" t="str" cm="1">
        <f t="array" ref="I371">_xlfn.IFS(a.nike.original.man[[#This Row],[Rating]]&lt;=2.9, "0 - 2.9",a.nike.original.man[[#This Row],[Rating]]&lt;=3.9,"3 - 3.9", a.nike.original.man[[#This Row],[Rating]]&lt;=5,"4 - 5")</f>
        <v>4 - 5</v>
      </c>
      <c r="J371" s="2">
        <v>1</v>
      </c>
      <c r="K371" s="2" t="str" cm="1">
        <f t="array" ref="K371">_xlfn.IFS(a.nike.original.man[[#This Row],[Reviews]]&lt;=7, "Below Average", a.nike.original.man[[#This Row],[Reviews]]&gt;=8, "Average +")</f>
        <v>Below Average</v>
      </c>
      <c r="L371" s="12" t="s">
        <v>1601</v>
      </c>
      <c r="M371" s="2" t="s">
        <v>1470</v>
      </c>
    </row>
    <row r="372" spans="1:13" x14ac:dyDescent="0.2">
      <c r="A372" s="1" t="s">
        <v>1006</v>
      </c>
      <c r="B372" s="1" t="s">
        <v>1007</v>
      </c>
      <c r="C372" s="330">
        <v>179.95</v>
      </c>
      <c r="D372" s="330">
        <v>126</v>
      </c>
      <c r="E372" s="116">
        <v>0.3</v>
      </c>
      <c r="F372" s="1" t="s">
        <v>9</v>
      </c>
      <c r="G372" s="1" t="s">
        <v>1008</v>
      </c>
      <c r="H372" s="1">
        <v>4.0999999999999996</v>
      </c>
      <c r="I372" s="1" t="str" cm="1">
        <f t="array" ref="I372">_xlfn.IFS(a.nike.original.man[[#This Row],[Rating]]&lt;=2.9, "0 - 2.9",a.nike.original.man[[#This Row],[Rating]]&lt;=3.9,"3 - 3.9", a.nike.original.man[[#This Row],[Rating]]&lt;=5,"4 - 5")</f>
        <v>4 - 5</v>
      </c>
      <c r="J372" s="1">
        <v>11</v>
      </c>
      <c r="K372" s="1" t="str" cm="1">
        <f t="array" ref="K372">_xlfn.IFS(a.nike.original.man[[#This Row],[Reviews]]&lt;=7, "Below Average", a.nike.original.man[[#This Row],[Reviews]]&gt;=8, "Average +")</f>
        <v>Average +</v>
      </c>
      <c r="L372" s="11" t="s">
        <v>1601</v>
      </c>
      <c r="M372" s="1" t="s">
        <v>1470</v>
      </c>
    </row>
    <row r="373" spans="1:13" x14ac:dyDescent="0.2">
      <c r="A373" s="1" t="s">
        <v>1000</v>
      </c>
      <c r="B373" s="1" t="s">
        <v>1001</v>
      </c>
      <c r="C373" s="330">
        <v>0</v>
      </c>
      <c r="D373" s="330">
        <v>160</v>
      </c>
      <c r="E373" s="116">
        <v>0</v>
      </c>
      <c r="F373" s="1" t="s">
        <v>9</v>
      </c>
      <c r="G373" s="1" t="s">
        <v>1002</v>
      </c>
      <c r="H373" s="1">
        <v>4.4000000000000004</v>
      </c>
      <c r="I373" s="1" t="str" cm="1">
        <f t="array" ref="I373">_xlfn.IFS(a.nike.original.man[[#This Row],[Rating]]&lt;=2.9, "0 - 2.9",a.nike.original.man[[#This Row],[Rating]]&lt;=3.9,"3 - 3.9", a.nike.original.man[[#This Row],[Rating]]&lt;=5,"4 - 5")</f>
        <v>4 - 5</v>
      </c>
      <c r="J373" s="1">
        <v>10</v>
      </c>
      <c r="K373" s="1" t="str" cm="1">
        <f t="array" ref="K373">_xlfn.IFS(a.nike.original.man[[#This Row],[Reviews]]&lt;=7, "Below Average", a.nike.original.man[[#This Row],[Reviews]]&gt;=8, "Average +")</f>
        <v>Average +</v>
      </c>
      <c r="L373" s="11" t="s">
        <v>1601</v>
      </c>
      <c r="M373" s="1" t="s">
        <v>1470</v>
      </c>
    </row>
    <row r="374" spans="1:13" x14ac:dyDescent="0.2">
      <c r="A374" s="2" t="s">
        <v>1013</v>
      </c>
      <c r="B374" s="2" t="s">
        <v>1014</v>
      </c>
      <c r="C374" s="331">
        <v>139.94999999999999</v>
      </c>
      <c r="D374" s="331">
        <v>112</v>
      </c>
      <c r="E374" s="116">
        <v>0.2</v>
      </c>
      <c r="F374" s="2" t="s">
        <v>9</v>
      </c>
      <c r="G374" s="2" t="s">
        <v>1015</v>
      </c>
      <c r="H374" s="2">
        <v>4.7</v>
      </c>
      <c r="I374" s="2" t="str" cm="1">
        <f t="array" ref="I374">_xlfn.IFS(a.nike.original.man[[#This Row],[Rating]]&lt;=2.9, "0 - 2.9",a.nike.original.man[[#This Row],[Rating]]&lt;=3.9,"3 - 3.9", a.nike.original.man[[#This Row],[Rating]]&lt;=5,"4 - 5")</f>
        <v>4 - 5</v>
      </c>
      <c r="J374" s="2">
        <v>17</v>
      </c>
      <c r="K374" s="2" t="str" cm="1">
        <f t="array" ref="K374">_xlfn.IFS(a.nike.original.man[[#This Row],[Reviews]]&lt;=7, "Below Average", a.nike.original.man[[#This Row],[Reviews]]&gt;=8, "Average +")</f>
        <v>Average +</v>
      </c>
      <c r="L374" s="12" t="s">
        <v>1602</v>
      </c>
      <c r="M374" s="2" t="s">
        <v>1470</v>
      </c>
    </row>
    <row r="375" spans="1:13" x14ac:dyDescent="0.2">
      <c r="A375" s="1" t="s">
        <v>111</v>
      </c>
      <c r="B375" s="1" t="s">
        <v>1012</v>
      </c>
      <c r="C375" s="330">
        <v>0</v>
      </c>
      <c r="D375" s="330">
        <v>160</v>
      </c>
      <c r="E375" s="116">
        <v>0</v>
      </c>
      <c r="F375" s="1" t="s">
        <v>9</v>
      </c>
      <c r="G375" s="1" t="s">
        <v>113</v>
      </c>
      <c r="H375" s="1">
        <v>0</v>
      </c>
      <c r="I375" s="1" t="str" cm="1">
        <f t="array" ref="I375">_xlfn.IFS(a.nike.original.man[[#This Row],[Rating]]&lt;=2.9, "0 - 2.9",a.nike.original.man[[#This Row],[Rating]]&lt;=3.9,"3 - 3.9", a.nike.original.man[[#This Row],[Rating]]&lt;=5,"4 - 5")</f>
        <v>0 - 2.9</v>
      </c>
      <c r="J375" s="1">
        <v>0</v>
      </c>
      <c r="K375" s="1" t="str" cm="1">
        <f t="array" ref="K375">_xlfn.IFS(a.nike.original.man[[#This Row],[Reviews]]&lt;=7, "Below Average", a.nike.original.man[[#This Row],[Reviews]]&gt;=8, "Average +")</f>
        <v>Below Average</v>
      </c>
      <c r="L375" s="11" t="s">
        <v>1602</v>
      </c>
      <c r="M375" s="1" t="s">
        <v>1470</v>
      </c>
    </row>
    <row r="376" spans="1:13" x14ac:dyDescent="0.2">
      <c r="A376" s="2" t="s">
        <v>1019</v>
      </c>
      <c r="B376" s="2" t="s">
        <v>1020</v>
      </c>
      <c r="C376" s="331">
        <v>0</v>
      </c>
      <c r="D376" s="331">
        <v>120</v>
      </c>
      <c r="E376" s="116">
        <v>0</v>
      </c>
      <c r="F376" s="2" t="s">
        <v>9</v>
      </c>
      <c r="G376" s="2" t="s">
        <v>1021</v>
      </c>
      <c r="H376" s="2">
        <v>0</v>
      </c>
      <c r="I376" s="2" t="str" cm="1">
        <f t="array" ref="I376">_xlfn.IFS(a.nike.original.man[[#This Row],[Rating]]&lt;=2.9, "0 - 2.9",a.nike.original.man[[#This Row],[Rating]]&lt;=3.9,"3 - 3.9", a.nike.original.man[[#This Row],[Rating]]&lt;=5,"4 - 5")</f>
        <v>0 - 2.9</v>
      </c>
      <c r="J376" s="2">
        <v>0</v>
      </c>
      <c r="K376" s="2" t="str" cm="1">
        <f t="array" ref="K376">_xlfn.IFS(a.nike.original.man[[#This Row],[Reviews]]&lt;=7, "Below Average", a.nike.original.man[[#This Row],[Reviews]]&gt;=8, "Average +")</f>
        <v>Below Average</v>
      </c>
      <c r="L376" s="12" t="s">
        <v>1602</v>
      </c>
      <c r="M376" s="2" t="s">
        <v>1470</v>
      </c>
    </row>
    <row r="377" spans="1:13" x14ac:dyDescent="0.2">
      <c r="A377" s="1" t="s">
        <v>248</v>
      </c>
      <c r="B377" s="1" t="s">
        <v>1022</v>
      </c>
      <c r="C377" s="330">
        <v>109.95</v>
      </c>
      <c r="D377" s="330">
        <v>66</v>
      </c>
      <c r="E377" s="116">
        <v>0.4</v>
      </c>
      <c r="F377" s="1" t="s">
        <v>9</v>
      </c>
      <c r="G377" s="1" t="s">
        <v>1023</v>
      </c>
      <c r="H377" s="1">
        <v>4.0999999999999996</v>
      </c>
      <c r="I377" s="1" t="str" cm="1">
        <f t="array" ref="I377">_xlfn.IFS(a.nike.original.man[[#This Row],[Rating]]&lt;=2.9, "0 - 2.9",a.nike.original.man[[#This Row],[Rating]]&lt;=3.9,"3 - 3.9", a.nike.original.man[[#This Row],[Rating]]&lt;=5,"4 - 5")</f>
        <v>4 - 5</v>
      </c>
      <c r="J377" s="1">
        <v>13</v>
      </c>
      <c r="K377" s="1" t="str" cm="1">
        <f t="array" ref="K377">_xlfn.IFS(a.nike.original.man[[#This Row],[Reviews]]&lt;=7, "Below Average", a.nike.original.man[[#This Row],[Reviews]]&gt;=8, "Average +")</f>
        <v>Average +</v>
      </c>
      <c r="L377" s="11" t="s">
        <v>1602</v>
      </c>
      <c r="M377" s="1" t="s">
        <v>1470</v>
      </c>
    </row>
    <row r="378" spans="1:13" x14ac:dyDescent="0.2">
      <c r="A378" s="1" t="s">
        <v>1016</v>
      </c>
      <c r="B378" s="1" t="s">
        <v>1017</v>
      </c>
      <c r="C378" s="330">
        <v>179.95</v>
      </c>
      <c r="D378" s="330">
        <v>144</v>
      </c>
      <c r="E378" s="116">
        <v>0.2</v>
      </c>
      <c r="F378" s="1" t="s">
        <v>9</v>
      </c>
      <c r="G378" s="1" t="s">
        <v>1018</v>
      </c>
      <c r="H378" s="1">
        <v>4.2</v>
      </c>
      <c r="I378" s="1" t="str" cm="1">
        <f t="array" ref="I378">_xlfn.IFS(a.nike.original.man[[#This Row],[Rating]]&lt;=2.9, "0 - 2.9",a.nike.original.man[[#This Row],[Rating]]&lt;=3.9,"3 - 3.9", a.nike.original.man[[#This Row],[Rating]]&lt;=5,"4 - 5")</f>
        <v>4 - 5</v>
      </c>
      <c r="J378" s="1">
        <v>12</v>
      </c>
      <c r="K378" s="1" t="str" cm="1">
        <f t="array" ref="K378">_xlfn.IFS(a.nike.original.man[[#This Row],[Reviews]]&lt;=7, "Below Average", a.nike.original.man[[#This Row],[Reviews]]&gt;=8, "Average +")</f>
        <v>Average +</v>
      </c>
      <c r="L378" s="11" t="s">
        <v>1602</v>
      </c>
      <c r="M378" s="1" t="s">
        <v>1470</v>
      </c>
    </row>
    <row r="379" spans="1:13" x14ac:dyDescent="0.2">
      <c r="A379" s="2" t="s">
        <v>245</v>
      </c>
      <c r="B379" s="2" t="s">
        <v>246</v>
      </c>
      <c r="C379" s="331">
        <v>0</v>
      </c>
      <c r="D379" s="331">
        <v>100</v>
      </c>
      <c r="E379" s="116">
        <v>0</v>
      </c>
      <c r="F379" s="2" t="s">
        <v>9</v>
      </c>
      <c r="G379" s="2" t="s">
        <v>247</v>
      </c>
      <c r="H379" s="2">
        <v>2.6</v>
      </c>
      <c r="I379" s="2" t="str" cm="1">
        <f t="array" ref="I379">_xlfn.IFS(a.nike.original.man[[#This Row],[Rating]]&lt;=2.9, "0 - 2.9",a.nike.original.man[[#This Row],[Rating]]&lt;=3.9,"3 - 3.9", a.nike.original.man[[#This Row],[Rating]]&lt;=5,"4 - 5")</f>
        <v>0 - 2.9</v>
      </c>
      <c r="J379" s="2">
        <v>11</v>
      </c>
      <c r="K379" s="2" t="str" cm="1">
        <f t="array" ref="K379">_xlfn.IFS(a.nike.original.man[[#This Row],[Reviews]]&lt;=7, "Below Average", a.nike.original.man[[#This Row],[Reviews]]&gt;=8, "Average +")</f>
        <v>Average +</v>
      </c>
      <c r="L379" s="12" t="s">
        <v>1602</v>
      </c>
      <c r="M379" s="2" t="s">
        <v>1470</v>
      </c>
    </row>
    <row r="380" spans="1:13" x14ac:dyDescent="0.2">
      <c r="A380" s="2" t="s">
        <v>1032</v>
      </c>
      <c r="B380" s="2" t="s">
        <v>1033</v>
      </c>
      <c r="C380" s="331">
        <v>139.94999999999999</v>
      </c>
      <c r="D380" s="331">
        <v>84</v>
      </c>
      <c r="E380" s="116">
        <v>0.4</v>
      </c>
      <c r="F380" s="2" t="s">
        <v>9</v>
      </c>
      <c r="G380" s="2" t="s">
        <v>1034</v>
      </c>
      <c r="H380" s="2">
        <v>5</v>
      </c>
      <c r="I380" s="2" t="str" cm="1">
        <f t="array" ref="I380">_xlfn.IFS(a.nike.original.man[[#This Row],[Rating]]&lt;=2.9, "0 - 2.9",a.nike.original.man[[#This Row],[Rating]]&lt;=3.9,"3 - 3.9", a.nike.original.man[[#This Row],[Rating]]&lt;=5,"4 - 5")</f>
        <v>4 - 5</v>
      </c>
      <c r="J380" s="2">
        <v>3</v>
      </c>
      <c r="K380" s="2" t="str" cm="1">
        <f t="array" ref="K380">_xlfn.IFS(a.nike.original.man[[#This Row],[Reviews]]&lt;=7, "Below Average", a.nike.original.man[[#This Row],[Reviews]]&gt;=8, "Average +")</f>
        <v>Below Average</v>
      </c>
      <c r="L380" s="12" t="s">
        <v>1603</v>
      </c>
      <c r="M380" s="2" t="s">
        <v>1470</v>
      </c>
    </row>
    <row r="381" spans="1:13" x14ac:dyDescent="0.2">
      <c r="A381" s="1" t="s">
        <v>162</v>
      </c>
      <c r="B381" s="1" t="s">
        <v>1035</v>
      </c>
      <c r="C381" s="330">
        <v>0</v>
      </c>
      <c r="D381" s="330">
        <v>120</v>
      </c>
      <c r="E381" s="116">
        <v>0</v>
      </c>
      <c r="F381" s="1" t="s">
        <v>9</v>
      </c>
      <c r="G381" s="1" t="s">
        <v>164</v>
      </c>
      <c r="H381" s="1">
        <v>4.5</v>
      </c>
      <c r="I381" s="1" t="str" cm="1">
        <f t="array" ref="I381">_xlfn.IFS(a.nike.original.man[[#This Row],[Rating]]&lt;=2.9, "0 - 2.9",a.nike.original.man[[#This Row],[Rating]]&lt;=3.9,"3 - 3.9", a.nike.original.man[[#This Row],[Rating]]&lt;=5,"4 - 5")</f>
        <v>4 - 5</v>
      </c>
      <c r="J381" s="1">
        <v>2</v>
      </c>
      <c r="K381" s="1" t="str" cm="1">
        <f t="array" ref="K381">_xlfn.IFS(a.nike.original.man[[#This Row],[Reviews]]&lt;=7, "Below Average", a.nike.original.man[[#This Row],[Reviews]]&gt;=8, "Average +")</f>
        <v>Below Average</v>
      </c>
      <c r="L381" s="11" t="s">
        <v>1603</v>
      </c>
      <c r="M381" s="1" t="s">
        <v>1470</v>
      </c>
    </row>
    <row r="382" spans="1:13" x14ac:dyDescent="0.2">
      <c r="A382" s="2" t="s">
        <v>1026</v>
      </c>
      <c r="B382" s="2" t="s">
        <v>1027</v>
      </c>
      <c r="C382" s="331">
        <v>44.95</v>
      </c>
      <c r="D382" s="331">
        <v>31</v>
      </c>
      <c r="E382" s="116">
        <v>0.3</v>
      </c>
      <c r="F382" s="2" t="s">
        <v>9</v>
      </c>
      <c r="G382" s="2" t="s">
        <v>1028</v>
      </c>
      <c r="H382" s="2">
        <v>2</v>
      </c>
      <c r="I382" s="2" t="str" cm="1">
        <f t="array" ref="I382">_xlfn.IFS(a.nike.original.man[[#This Row],[Rating]]&lt;=2.9, "0 - 2.9",a.nike.original.man[[#This Row],[Rating]]&lt;=3.9,"3 - 3.9", a.nike.original.man[[#This Row],[Rating]]&lt;=5,"4 - 5")</f>
        <v>0 - 2.9</v>
      </c>
      <c r="J382" s="2">
        <v>1</v>
      </c>
      <c r="K382" s="2" t="str" cm="1">
        <f t="array" ref="K382">_xlfn.IFS(a.nike.original.man[[#This Row],[Reviews]]&lt;=7, "Below Average", a.nike.original.man[[#This Row],[Reviews]]&gt;=8, "Average +")</f>
        <v>Below Average</v>
      </c>
      <c r="L382" s="12" t="s">
        <v>1603</v>
      </c>
      <c r="M382" s="2" t="s">
        <v>1470</v>
      </c>
    </row>
    <row r="383" spans="1:13" x14ac:dyDescent="0.2">
      <c r="A383" s="2" t="s">
        <v>1036</v>
      </c>
      <c r="B383" s="2" t="s">
        <v>1037</v>
      </c>
      <c r="C383" s="331">
        <v>0</v>
      </c>
      <c r="D383" s="331">
        <v>80</v>
      </c>
      <c r="E383" s="116">
        <v>0</v>
      </c>
      <c r="F383" s="2" t="s">
        <v>9</v>
      </c>
      <c r="G383" s="2" t="s">
        <v>1038</v>
      </c>
      <c r="H383" s="2">
        <v>5</v>
      </c>
      <c r="I383" s="2" t="str" cm="1">
        <f t="array" ref="I383">_xlfn.IFS(a.nike.original.man[[#This Row],[Rating]]&lt;=2.9, "0 - 2.9",a.nike.original.man[[#This Row],[Rating]]&lt;=3.9,"3 - 3.9", a.nike.original.man[[#This Row],[Rating]]&lt;=5,"4 - 5")</f>
        <v>4 - 5</v>
      </c>
      <c r="J383" s="2">
        <v>1</v>
      </c>
      <c r="K383" s="2" t="str" cm="1">
        <f t="array" ref="K383">_xlfn.IFS(a.nike.original.man[[#This Row],[Reviews]]&lt;=7, "Below Average", a.nike.original.man[[#This Row],[Reviews]]&gt;=8, "Average +")</f>
        <v>Below Average</v>
      </c>
      <c r="L383" s="12" t="s">
        <v>1603</v>
      </c>
      <c r="M383" s="2" t="s">
        <v>1470</v>
      </c>
    </row>
    <row r="384" spans="1:13" x14ac:dyDescent="0.2">
      <c r="A384" s="1" t="s">
        <v>578</v>
      </c>
      <c r="B384" s="1" t="s">
        <v>1039</v>
      </c>
      <c r="C384" s="330">
        <v>0</v>
      </c>
      <c r="D384" s="330">
        <v>180</v>
      </c>
      <c r="E384" s="116">
        <v>0</v>
      </c>
      <c r="F384" s="1" t="s">
        <v>9</v>
      </c>
      <c r="G384" s="1" t="s">
        <v>1040</v>
      </c>
      <c r="H384" s="1">
        <v>0</v>
      </c>
      <c r="I384" s="1" t="str" cm="1">
        <f t="array" ref="I384">_xlfn.IFS(a.nike.original.man[[#This Row],[Rating]]&lt;=2.9, "0 - 2.9",a.nike.original.man[[#This Row],[Rating]]&lt;=3.9,"3 - 3.9", a.nike.original.man[[#This Row],[Rating]]&lt;=5,"4 - 5")</f>
        <v>0 - 2.9</v>
      </c>
      <c r="J384" s="1">
        <v>0</v>
      </c>
      <c r="K384" s="1" t="str" cm="1">
        <f t="array" ref="K384">_xlfn.IFS(a.nike.original.man[[#This Row],[Reviews]]&lt;=7, "Below Average", a.nike.original.man[[#This Row],[Reviews]]&gt;=8, "Average +")</f>
        <v>Below Average</v>
      </c>
      <c r="L384" s="11" t="s">
        <v>1603</v>
      </c>
      <c r="M384" s="1" t="s">
        <v>1470</v>
      </c>
    </row>
    <row r="385" spans="1:13" x14ac:dyDescent="0.2">
      <c r="A385" s="1" t="s">
        <v>511</v>
      </c>
      <c r="B385" s="1" t="s">
        <v>1024</v>
      </c>
      <c r="C385" s="330">
        <v>0</v>
      </c>
      <c r="D385" s="330">
        <v>110</v>
      </c>
      <c r="E385" s="116">
        <v>0</v>
      </c>
      <c r="F385" s="1" t="s">
        <v>9</v>
      </c>
      <c r="G385" s="1" t="s">
        <v>1025</v>
      </c>
      <c r="H385" s="1">
        <v>4.2</v>
      </c>
      <c r="I385" s="1" t="str" cm="1">
        <f t="array" ref="I385">_xlfn.IFS(a.nike.original.man[[#This Row],[Rating]]&lt;=2.9, "0 - 2.9",a.nike.original.man[[#This Row],[Rating]]&lt;=3.9,"3 - 3.9", a.nike.original.man[[#This Row],[Rating]]&lt;=5,"4 - 5")</f>
        <v>4 - 5</v>
      </c>
      <c r="J385" s="1">
        <v>9</v>
      </c>
      <c r="K385" s="1" t="str" cm="1">
        <f t="array" ref="K385">_xlfn.IFS(a.nike.original.man[[#This Row],[Reviews]]&lt;=7, "Below Average", a.nike.original.man[[#This Row],[Reviews]]&gt;=8, "Average +")</f>
        <v>Average +</v>
      </c>
      <c r="L385" s="11" t="s">
        <v>1603</v>
      </c>
      <c r="M385" s="1" t="s">
        <v>1470</v>
      </c>
    </row>
    <row r="386" spans="1:13" x14ac:dyDescent="0.2">
      <c r="A386" s="1" t="s">
        <v>1029</v>
      </c>
      <c r="B386" s="1" t="s">
        <v>1030</v>
      </c>
      <c r="C386" s="330">
        <v>0</v>
      </c>
      <c r="D386" s="330">
        <v>55</v>
      </c>
      <c r="E386" s="1">
        <v>0</v>
      </c>
      <c r="F386" s="1" t="s">
        <v>9</v>
      </c>
      <c r="G386" s="1" t="s">
        <v>1031</v>
      </c>
      <c r="H386" s="1">
        <v>2.9</v>
      </c>
      <c r="I386" s="1" t="str" cm="1">
        <f t="array" ref="I386">_xlfn.IFS(a.nike.original.man[[#This Row],[Rating]]&lt;=2.9, "0 - 2.9",a.nike.original.man[[#This Row],[Rating]]&lt;=3.9,"3 - 3.9", a.nike.original.man[[#This Row],[Rating]]&lt;=5,"4 - 5")</f>
        <v>0 - 2.9</v>
      </c>
      <c r="J386" s="1">
        <v>8</v>
      </c>
      <c r="K386" s="1" t="str" cm="1">
        <f t="array" ref="K386">_xlfn.IFS(a.nike.original.man[[#This Row],[Reviews]]&lt;=7, "Below Average", a.nike.original.man[[#This Row],[Reviews]]&gt;=8, "Average +")</f>
        <v>Average +</v>
      </c>
      <c r="L386" s="11" t="s">
        <v>1603</v>
      </c>
      <c r="M386" s="1" t="s">
        <v>1470</v>
      </c>
    </row>
    <row r="387" spans="1:13" x14ac:dyDescent="0.2">
      <c r="A387" s="2" t="s">
        <v>1059</v>
      </c>
      <c r="B387" s="2" t="s">
        <v>1060</v>
      </c>
      <c r="C387" s="331">
        <v>0</v>
      </c>
      <c r="D387" s="331">
        <v>70</v>
      </c>
      <c r="E387" s="116">
        <v>0</v>
      </c>
      <c r="F387" s="2" t="s">
        <v>9</v>
      </c>
      <c r="G387" s="2" t="s">
        <v>1061</v>
      </c>
      <c r="H387" s="2">
        <v>3.8</v>
      </c>
      <c r="I387" s="2" t="str" cm="1">
        <f t="array" ref="I387">_xlfn.IFS(a.nike.original.man[[#This Row],[Rating]]&lt;=2.9, "0 - 2.9",a.nike.original.man[[#This Row],[Rating]]&lt;=3.9,"3 - 3.9", a.nike.original.man[[#This Row],[Rating]]&lt;=5,"4 - 5")</f>
        <v>3 - 3.9</v>
      </c>
      <c r="J387" s="2">
        <v>6</v>
      </c>
      <c r="K387" s="2" t="str" cm="1">
        <f t="array" ref="K387">_xlfn.IFS(a.nike.original.man[[#This Row],[Reviews]]&lt;=7, "Below Average", a.nike.original.man[[#This Row],[Reviews]]&gt;=8, "Average +")</f>
        <v>Below Average</v>
      </c>
      <c r="L387" s="12" t="s">
        <v>1604</v>
      </c>
      <c r="M387" s="2" t="s">
        <v>1470</v>
      </c>
    </row>
    <row r="388" spans="1:13" x14ac:dyDescent="0.2">
      <c r="A388" s="1" t="s">
        <v>1050</v>
      </c>
      <c r="B388" s="1" t="s">
        <v>1051</v>
      </c>
      <c r="C388" s="330">
        <v>169.95</v>
      </c>
      <c r="D388" s="330">
        <v>136</v>
      </c>
      <c r="E388" s="116">
        <v>0.2</v>
      </c>
      <c r="F388" s="1" t="s">
        <v>9</v>
      </c>
      <c r="G388" s="1" t="s">
        <v>1052</v>
      </c>
      <c r="H388" s="1">
        <v>5</v>
      </c>
      <c r="I388" s="1" t="str" cm="1">
        <f t="array" ref="I388">_xlfn.IFS(a.nike.original.man[[#This Row],[Rating]]&lt;=2.9, "0 - 2.9",a.nike.original.man[[#This Row],[Rating]]&lt;=3.9,"3 - 3.9", a.nike.original.man[[#This Row],[Rating]]&lt;=5,"4 - 5")</f>
        <v>4 - 5</v>
      </c>
      <c r="J388" s="1">
        <v>5</v>
      </c>
      <c r="K388" s="1" t="str" cm="1">
        <f t="array" ref="K388">_xlfn.IFS(a.nike.original.man[[#This Row],[Reviews]]&lt;=7, "Below Average", a.nike.original.man[[#This Row],[Reviews]]&gt;=8, "Average +")</f>
        <v>Below Average</v>
      </c>
      <c r="L388" s="11" t="s">
        <v>1604</v>
      </c>
      <c r="M388" s="1" t="s">
        <v>1470</v>
      </c>
    </row>
    <row r="389" spans="1:13" x14ac:dyDescent="0.2">
      <c r="A389" s="2" t="s">
        <v>1047</v>
      </c>
      <c r="B389" s="2" t="s">
        <v>1048</v>
      </c>
      <c r="C389" s="331">
        <v>109.95</v>
      </c>
      <c r="D389" s="331">
        <v>77</v>
      </c>
      <c r="E389" s="116">
        <v>0.3</v>
      </c>
      <c r="F389" s="2" t="s">
        <v>9</v>
      </c>
      <c r="G389" s="2" t="s">
        <v>1049</v>
      </c>
      <c r="H389" s="2">
        <v>2.7</v>
      </c>
      <c r="I389" s="2" t="str" cm="1">
        <f t="array" ref="I389">_xlfn.IFS(a.nike.original.man[[#This Row],[Rating]]&lt;=2.9, "0 - 2.9",a.nike.original.man[[#This Row],[Rating]]&lt;=3.9,"3 - 3.9", a.nike.original.man[[#This Row],[Rating]]&lt;=5,"4 - 5")</f>
        <v>0 - 2.9</v>
      </c>
      <c r="J389" s="2">
        <v>3</v>
      </c>
      <c r="K389" s="2" t="str" cm="1">
        <f t="array" ref="K389">_xlfn.IFS(a.nike.original.man[[#This Row],[Reviews]]&lt;=7, "Below Average", a.nike.original.man[[#This Row],[Reviews]]&gt;=8, "Average +")</f>
        <v>Below Average</v>
      </c>
      <c r="L389" s="12" t="s">
        <v>1604</v>
      </c>
      <c r="M389" s="2" t="s">
        <v>1470</v>
      </c>
    </row>
    <row r="390" spans="1:13" x14ac:dyDescent="0.2">
      <c r="A390" s="2" t="s">
        <v>994</v>
      </c>
      <c r="B390" s="2" t="s">
        <v>995</v>
      </c>
      <c r="C390" s="331">
        <v>0</v>
      </c>
      <c r="D390" s="331">
        <v>65</v>
      </c>
      <c r="E390" s="116">
        <v>0</v>
      </c>
      <c r="F390" s="2" t="s">
        <v>9</v>
      </c>
      <c r="G390" s="2" t="s">
        <v>996</v>
      </c>
      <c r="H390" s="2">
        <v>3.5</v>
      </c>
      <c r="I390" s="2" t="str" cm="1">
        <f t="array" ref="I390">_xlfn.IFS(a.nike.original.man[[#This Row],[Rating]]&lt;=2.9, "0 - 2.9",a.nike.original.man[[#This Row],[Rating]]&lt;=3.9,"3 - 3.9", a.nike.original.man[[#This Row],[Rating]]&lt;=5,"4 - 5")</f>
        <v>3 - 3.9</v>
      </c>
      <c r="J390" s="2">
        <v>2</v>
      </c>
      <c r="K390" s="2" t="str" cm="1">
        <f t="array" ref="K390">_xlfn.IFS(a.nike.original.man[[#This Row],[Reviews]]&lt;=7, "Below Average", a.nike.original.man[[#This Row],[Reviews]]&gt;=8, "Average +")</f>
        <v>Below Average</v>
      </c>
      <c r="L390" s="12" t="s">
        <v>1604</v>
      </c>
      <c r="M390" s="2" t="s">
        <v>1470</v>
      </c>
    </row>
    <row r="391" spans="1:13" x14ac:dyDescent="0.2">
      <c r="A391" s="1" t="s">
        <v>766</v>
      </c>
      <c r="B391" s="1" t="s">
        <v>1062</v>
      </c>
      <c r="C391" s="330">
        <v>79.95</v>
      </c>
      <c r="D391" s="330">
        <v>56</v>
      </c>
      <c r="E391" s="116">
        <v>0.3</v>
      </c>
      <c r="F391" s="1" t="s">
        <v>9</v>
      </c>
      <c r="G391" s="1" t="s">
        <v>1063</v>
      </c>
      <c r="H391" s="1">
        <v>3.9</v>
      </c>
      <c r="I391" s="1" t="str" cm="1">
        <f t="array" ref="I391">_xlfn.IFS(a.nike.original.man[[#This Row],[Rating]]&lt;=2.9, "0 - 2.9",a.nike.original.man[[#This Row],[Rating]]&lt;=3.9,"3 - 3.9", a.nike.original.man[[#This Row],[Rating]]&lt;=5,"4 - 5")</f>
        <v>3 - 3.9</v>
      </c>
      <c r="J391" s="1">
        <v>25</v>
      </c>
      <c r="K391" s="1" t="str" cm="1">
        <f t="array" ref="K391">_xlfn.IFS(a.nike.original.man[[#This Row],[Reviews]]&lt;=7, "Below Average", a.nike.original.man[[#This Row],[Reviews]]&gt;=8, "Average +")</f>
        <v>Average +</v>
      </c>
      <c r="L391" s="11" t="s">
        <v>1604</v>
      </c>
      <c r="M391" s="1" t="s">
        <v>1470</v>
      </c>
    </row>
    <row r="392" spans="1:13" x14ac:dyDescent="0.2">
      <c r="A392" s="2" t="s">
        <v>1041</v>
      </c>
      <c r="B392" s="2" t="s">
        <v>1042</v>
      </c>
      <c r="C392" s="331">
        <v>0</v>
      </c>
      <c r="D392" s="331">
        <v>160</v>
      </c>
      <c r="E392" s="116">
        <v>0</v>
      </c>
      <c r="F392" s="2" t="s">
        <v>9</v>
      </c>
      <c r="G392" s="2" t="s">
        <v>1043</v>
      </c>
      <c r="H392" s="2">
        <v>5</v>
      </c>
      <c r="I392" s="2" t="str" cm="1">
        <f t="array" ref="I392">_xlfn.IFS(a.nike.original.man[[#This Row],[Rating]]&lt;=2.9, "0 - 2.9",a.nike.original.man[[#This Row],[Rating]]&lt;=3.9,"3 - 3.9", a.nike.original.man[[#This Row],[Rating]]&lt;=5,"4 - 5")</f>
        <v>4 - 5</v>
      </c>
      <c r="J392" s="2">
        <v>1</v>
      </c>
      <c r="K392" s="2" t="str" cm="1">
        <f t="array" ref="K392">_xlfn.IFS(a.nike.original.man[[#This Row],[Reviews]]&lt;=7, "Below Average", a.nike.original.man[[#This Row],[Reviews]]&gt;=8, "Average +")</f>
        <v>Below Average</v>
      </c>
      <c r="L392" s="12" t="s">
        <v>1604</v>
      </c>
      <c r="M392" s="2" t="s">
        <v>1470</v>
      </c>
    </row>
    <row r="393" spans="1:13" x14ac:dyDescent="0.2">
      <c r="A393" s="2" t="s">
        <v>1053</v>
      </c>
      <c r="B393" s="2" t="s">
        <v>1054</v>
      </c>
      <c r="C393" s="331">
        <v>109.95</v>
      </c>
      <c r="D393" s="331">
        <v>88</v>
      </c>
      <c r="E393" s="116">
        <v>0.2</v>
      </c>
      <c r="F393" s="2" t="s">
        <v>9</v>
      </c>
      <c r="G393" s="2" t="s">
        <v>1055</v>
      </c>
      <c r="H393" s="2">
        <v>5</v>
      </c>
      <c r="I393" s="2" t="str" cm="1">
        <f t="array" ref="I393">_xlfn.IFS(a.nike.original.man[[#This Row],[Rating]]&lt;=2.9, "0 - 2.9",a.nike.original.man[[#This Row],[Rating]]&lt;=3.9,"3 - 3.9", a.nike.original.man[[#This Row],[Rating]]&lt;=5,"4 - 5")</f>
        <v>4 - 5</v>
      </c>
      <c r="J393" s="2">
        <v>1</v>
      </c>
      <c r="K393" s="2" t="str" cm="1">
        <f t="array" ref="K393">_xlfn.IFS(a.nike.original.man[[#This Row],[Reviews]]&lt;=7, "Below Average", a.nike.original.man[[#This Row],[Reviews]]&gt;=8, "Average +")</f>
        <v>Below Average</v>
      </c>
      <c r="L393" s="12" t="s">
        <v>1604</v>
      </c>
      <c r="M393" s="2" t="s">
        <v>1470</v>
      </c>
    </row>
    <row r="394" spans="1:13" x14ac:dyDescent="0.2">
      <c r="A394" s="1" t="s">
        <v>1044</v>
      </c>
      <c r="B394" s="1" t="s">
        <v>1045</v>
      </c>
      <c r="C394" s="330">
        <v>109.95</v>
      </c>
      <c r="D394" s="330">
        <v>77</v>
      </c>
      <c r="E394" s="116">
        <v>0.3</v>
      </c>
      <c r="F394" s="1" t="s">
        <v>9</v>
      </c>
      <c r="G394" s="1" t="s">
        <v>1046</v>
      </c>
      <c r="H394" s="1">
        <v>0</v>
      </c>
      <c r="I394" s="1" t="str" cm="1">
        <f t="array" ref="I394">_xlfn.IFS(a.nike.original.man[[#This Row],[Rating]]&lt;=2.9, "0 - 2.9",a.nike.original.man[[#This Row],[Rating]]&lt;=3.9,"3 - 3.9", a.nike.original.man[[#This Row],[Rating]]&lt;=5,"4 - 5")</f>
        <v>0 - 2.9</v>
      </c>
      <c r="J394" s="1">
        <v>0</v>
      </c>
      <c r="K394" s="1" t="str" cm="1">
        <f t="array" ref="K394">_xlfn.IFS(a.nike.original.man[[#This Row],[Reviews]]&lt;=7, "Below Average", a.nike.original.man[[#This Row],[Reviews]]&gt;=8, "Average +")</f>
        <v>Below Average</v>
      </c>
      <c r="L394" s="11" t="s">
        <v>1604</v>
      </c>
      <c r="M394" s="1" t="s">
        <v>1470</v>
      </c>
    </row>
    <row r="395" spans="1:13" x14ac:dyDescent="0.2">
      <c r="A395" s="1" t="s">
        <v>1056</v>
      </c>
      <c r="B395" s="1" t="s">
        <v>1057</v>
      </c>
      <c r="C395" s="330">
        <v>0</v>
      </c>
      <c r="D395" s="330">
        <v>60</v>
      </c>
      <c r="E395" s="116">
        <v>0</v>
      </c>
      <c r="F395" s="1" t="s">
        <v>9</v>
      </c>
      <c r="G395" s="1" t="s">
        <v>1058</v>
      </c>
      <c r="H395" s="1">
        <v>0</v>
      </c>
      <c r="I395" s="1" t="str" cm="1">
        <f t="array" ref="I395">_xlfn.IFS(a.nike.original.man[[#This Row],[Rating]]&lt;=2.9, "0 - 2.9",a.nike.original.man[[#This Row],[Rating]]&lt;=3.9,"3 - 3.9", a.nike.original.man[[#This Row],[Rating]]&lt;=5,"4 - 5")</f>
        <v>0 - 2.9</v>
      </c>
      <c r="J395" s="1">
        <v>0</v>
      </c>
      <c r="K395" s="1" t="str" cm="1">
        <f t="array" ref="K395">_xlfn.IFS(a.nike.original.man[[#This Row],[Reviews]]&lt;=7, "Below Average", a.nike.original.man[[#This Row],[Reviews]]&gt;=8, "Average +")</f>
        <v>Below Average</v>
      </c>
      <c r="L395" s="11" t="s">
        <v>1604</v>
      </c>
      <c r="M395" s="1" t="s">
        <v>1470</v>
      </c>
    </row>
    <row r="396" spans="1:13" x14ac:dyDescent="0.2">
      <c r="A396" s="1" t="s">
        <v>1070</v>
      </c>
      <c r="B396" s="1" t="s">
        <v>1071</v>
      </c>
      <c r="C396" s="330">
        <v>0</v>
      </c>
      <c r="D396" s="330">
        <v>110</v>
      </c>
      <c r="E396" s="116">
        <v>0</v>
      </c>
      <c r="F396" s="1" t="s">
        <v>9</v>
      </c>
      <c r="G396" s="1" t="s">
        <v>1072</v>
      </c>
      <c r="H396" s="1">
        <v>4.4000000000000004</v>
      </c>
      <c r="I396" s="1" t="str" cm="1">
        <f t="array" ref="I396">_xlfn.IFS(a.nike.original.man[[#This Row],[Rating]]&lt;=2.9, "0 - 2.9",a.nike.original.man[[#This Row],[Rating]]&lt;=3.9,"3 - 3.9", a.nike.original.man[[#This Row],[Rating]]&lt;=5,"4 - 5")</f>
        <v>4 - 5</v>
      </c>
      <c r="J396" s="1">
        <v>5</v>
      </c>
      <c r="K396" s="1" t="str" cm="1">
        <f t="array" ref="K396">_xlfn.IFS(a.nike.original.man[[#This Row],[Reviews]]&lt;=7, "Below Average", a.nike.original.man[[#This Row],[Reviews]]&gt;=8, "Average +")</f>
        <v>Below Average</v>
      </c>
      <c r="L396" s="11" t="s">
        <v>1605</v>
      </c>
      <c r="M396" s="1" t="s">
        <v>1470</v>
      </c>
    </row>
    <row r="397" spans="1:13" x14ac:dyDescent="0.2">
      <c r="A397" s="1" t="s">
        <v>701</v>
      </c>
      <c r="B397" s="1" t="s">
        <v>1067</v>
      </c>
      <c r="C397" s="330">
        <v>0</v>
      </c>
      <c r="D397" s="330">
        <v>110</v>
      </c>
      <c r="E397" s="116">
        <v>0</v>
      </c>
      <c r="F397" s="1" t="s">
        <v>9</v>
      </c>
      <c r="G397" s="1" t="s">
        <v>703</v>
      </c>
      <c r="H397" s="1">
        <v>4.3</v>
      </c>
      <c r="I397" s="1" t="str" cm="1">
        <f t="array" ref="I397">_xlfn.IFS(a.nike.original.man[[#This Row],[Rating]]&lt;=2.9, "0 - 2.9",a.nike.original.man[[#This Row],[Rating]]&lt;=3.9,"3 - 3.9", a.nike.original.man[[#This Row],[Rating]]&lt;=5,"4 - 5")</f>
        <v>4 - 5</v>
      </c>
      <c r="J397" s="1">
        <v>3</v>
      </c>
      <c r="K397" s="1" t="str" cm="1">
        <f t="array" ref="K397">_xlfn.IFS(a.nike.original.man[[#This Row],[Reviews]]&lt;=7, "Below Average", a.nike.original.man[[#This Row],[Reviews]]&gt;=8, "Average +")</f>
        <v>Below Average</v>
      </c>
      <c r="L397" s="11" t="s">
        <v>1605</v>
      </c>
      <c r="M397" s="1" t="s">
        <v>1470</v>
      </c>
    </row>
    <row r="398" spans="1:13" x14ac:dyDescent="0.2">
      <c r="A398" s="1" t="s">
        <v>1064</v>
      </c>
      <c r="B398" s="1" t="s">
        <v>1065</v>
      </c>
      <c r="C398" s="330">
        <v>99.95</v>
      </c>
      <c r="D398" s="330">
        <v>80</v>
      </c>
      <c r="E398" s="116">
        <v>0.2</v>
      </c>
      <c r="F398" s="1" t="s">
        <v>9</v>
      </c>
      <c r="G398" s="1" t="s">
        <v>1066</v>
      </c>
      <c r="H398" s="1">
        <v>5</v>
      </c>
      <c r="I398" s="1" t="str" cm="1">
        <f t="array" ref="I398">_xlfn.IFS(a.nike.original.man[[#This Row],[Rating]]&lt;=2.9, "0 - 2.9",a.nike.original.man[[#This Row],[Rating]]&lt;=3.9,"3 - 3.9", a.nike.original.man[[#This Row],[Rating]]&lt;=5,"4 - 5")</f>
        <v>4 - 5</v>
      </c>
      <c r="J398" s="1">
        <v>2</v>
      </c>
      <c r="K398" s="1" t="str" cm="1">
        <f t="array" ref="K398">_xlfn.IFS(a.nike.original.man[[#This Row],[Reviews]]&lt;=7, "Below Average", a.nike.original.man[[#This Row],[Reviews]]&gt;=8, "Average +")</f>
        <v>Below Average</v>
      </c>
      <c r="L398" s="11" t="s">
        <v>1605</v>
      </c>
      <c r="M398" s="1" t="s">
        <v>1470</v>
      </c>
    </row>
    <row r="399" spans="1:13" x14ac:dyDescent="0.2">
      <c r="A399" s="2" t="s">
        <v>182</v>
      </c>
      <c r="B399" s="2" t="s">
        <v>1068</v>
      </c>
      <c r="C399" s="331">
        <v>0</v>
      </c>
      <c r="D399" s="331">
        <v>120</v>
      </c>
      <c r="E399" s="116">
        <v>0</v>
      </c>
      <c r="F399" s="2" t="s">
        <v>9</v>
      </c>
      <c r="G399" s="2" t="s">
        <v>1069</v>
      </c>
      <c r="H399" s="2">
        <v>5</v>
      </c>
      <c r="I399" s="2" t="str" cm="1">
        <f t="array" ref="I399">_xlfn.IFS(a.nike.original.man[[#This Row],[Rating]]&lt;=2.9, "0 - 2.9",a.nike.original.man[[#This Row],[Rating]]&lt;=3.9,"3 - 3.9", a.nike.original.man[[#This Row],[Rating]]&lt;=5,"4 - 5")</f>
        <v>4 - 5</v>
      </c>
      <c r="J399" s="2">
        <v>2</v>
      </c>
      <c r="K399" s="2" t="str" cm="1">
        <f t="array" ref="K399">_xlfn.IFS(a.nike.original.man[[#This Row],[Reviews]]&lt;=7, "Below Average", a.nike.original.man[[#This Row],[Reviews]]&gt;=8, "Average +")</f>
        <v>Below Average</v>
      </c>
      <c r="L399" s="12" t="s">
        <v>1605</v>
      </c>
      <c r="M399" s="2" t="s">
        <v>1470</v>
      </c>
    </row>
    <row r="400" spans="1:13" x14ac:dyDescent="0.2">
      <c r="A400" s="2" t="s">
        <v>736</v>
      </c>
      <c r="B400" s="2" t="s">
        <v>737</v>
      </c>
      <c r="C400" s="331">
        <v>49.95</v>
      </c>
      <c r="D400" s="331">
        <v>35</v>
      </c>
      <c r="E400" s="116">
        <v>0.3</v>
      </c>
      <c r="F400" s="2" t="s">
        <v>9</v>
      </c>
      <c r="G400" s="2" t="s">
        <v>738</v>
      </c>
      <c r="H400" s="2">
        <v>0</v>
      </c>
      <c r="I400" s="2" t="str" cm="1">
        <f t="array" ref="I400">_xlfn.IFS(a.nike.original.man[[#This Row],[Rating]]&lt;=2.9, "0 - 2.9",a.nike.original.man[[#This Row],[Rating]]&lt;=3.9,"3 - 3.9", a.nike.original.man[[#This Row],[Rating]]&lt;=5,"4 - 5")</f>
        <v>0 - 2.9</v>
      </c>
      <c r="J400" s="2">
        <v>0</v>
      </c>
      <c r="K400" s="2" t="str" cm="1">
        <f t="array" ref="K400">_xlfn.IFS(a.nike.original.man[[#This Row],[Reviews]]&lt;=7, "Below Average", a.nike.original.man[[#This Row],[Reviews]]&gt;=8, "Average +")</f>
        <v>Below Average</v>
      </c>
      <c r="L400" s="12" t="s">
        <v>1605</v>
      </c>
      <c r="M400" s="2" t="s">
        <v>1470</v>
      </c>
    </row>
    <row r="401" spans="1:13" x14ac:dyDescent="0.2">
      <c r="A401" s="2" t="s">
        <v>198</v>
      </c>
      <c r="B401" s="2" t="s">
        <v>254</v>
      </c>
      <c r="C401" s="331">
        <v>0</v>
      </c>
      <c r="D401" s="331">
        <v>230</v>
      </c>
      <c r="E401" s="116">
        <v>0</v>
      </c>
      <c r="F401" s="2" t="s">
        <v>9</v>
      </c>
      <c r="G401" s="2" t="s">
        <v>255</v>
      </c>
      <c r="H401" s="2">
        <v>0</v>
      </c>
      <c r="I401" s="2" t="str" cm="1">
        <f t="array" ref="I401">_xlfn.IFS(a.nike.original.man[[#This Row],[Rating]]&lt;=2.9, "0 - 2.9",a.nike.original.man[[#This Row],[Rating]]&lt;=3.9,"3 - 3.9", a.nike.original.man[[#This Row],[Rating]]&lt;=5,"4 - 5")</f>
        <v>0 - 2.9</v>
      </c>
      <c r="J401" s="2">
        <v>0</v>
      </c>
      <c r="K401" s="2" t="str" cm="1">
        <f t="array" ref="K401">_xlfn.IFS(a.nike.original.man[[#This Row],[Reviews]]&lt;=7, "Below Average", a.nike.original.man[[#This Row],[Reviews]]&gt;=8, "Average +")</f>
        <v>Below Average</v>
      </c>
      <c r="L401" s="12" t="s">
        <v>1605</v>
      </c>
      <c r="M401" s="2" t="s">
        <v>1470</v>
      </c>
    </row>
    <row r="402" spans="1:13" x14ac:dyDescent="0.2">
      <c r="A402" s="1" t="s">
        <v>31</v>
      </c>
      <c r="B402" s="1" t="s">
        <v>1073</v>
      </c>
      <c r="C402" s="330">
        <v>159.94999999999999</v>
      </c>
      <c r="D402" s="330">
        <v>128</v>
      </c>
      <c r="E402" s="116">
        <v>0.2</v>
      </c>
      <c r="F402" s="1" t="s">
        <v>9</v>
      </c>
      <c r="G402" s="1" t="s">
        <v>33</v>
      </c>
      <c r="H402" s="1">
        <v>2.7</v>
      </c>
      <c r="I402" s="1" t="str" cm="1">
        <f t="array" ref="I402">_xlfn.IFS(a.nike.original.man[[#This Row],[Rating]]&lt;=2.9, "0 - 2.9",a.nike.original.man[[#This Row],[Rating]]&lt;=3.9,"3 - 3.9", a.nike.original.man[[#This Row],[Rating]]&lt;=5,"4 - 5")</f>
        <v>0 - 2.9</v>
      </c>
      <c r="J402" s="1">
        <v>3</v>
      </c>
      <c r="K402" s="1" t="str" cm="1">
        <f t="array" ref="K402">_xlfn.IFS(a.nike.original.man[[#This Row],[Reviews]]&lt;=7, "Below Average", a.nike.original.man[[#This Row],[Reviews]]&gt;=8, "Average +")</f>
        <v>Below Average</v>
      </c>
      <c r="L402" s="11" t="s">
        <v>1606</v>
      </c>
      <c r="M402" s="1" t="s">
        <v>1470</v>
      </c>
    </row>
    <row r="403" spans="1:13" x14ac:dyDescent="0.2">
      <c r="A403" s="2" t="s">
        <v>123</v>
      </c>
      <c r="B403" s="2" t="s">
        <v>124</v>
      </c>
      <c r="C403" s="331">
        <v>0</v>
      </c>
      <c r="D403" s="331">
        <v>65</v>
      </c>
      <c r="E403" s="116">
        <v>0</v>
      </c>
      <c r="F403" s="2" t="s">
        <v>9</v>
      </c>
      <c r="G403" s="2" t="s">
        <v>125</v>
      </c>
      <c r="H403" s="2">
        <v>4.7</v>
      </c>
      <c r="I403" s="2" t="str" cm="1">
        <f t="array" ref="I403">_xlfn.IFS(a.nike.original.man[[#This Row],[Rating]]&lt;=2.9, "0 - 2.9",a.nike.original.man[[#This Row],[Rating]]&lt;=3.9,"3 - 3.9", a.nike.original.man[[#This Row],[Rating]]&lt;=5,"4 - 5")</f>
        <v>4 - 5</v>
      </c>
      <c r="J403" s="2">
        <v>3</v>
      </c>
      <c r="K403" s="2" t="str" cm="1">
        <f t="array" ref="K403">_xlfn.IFS(a.nike.original.man[[#This Row],[Reviews]]&lt;=7, "Below Average", a.nike.original.man[[#This Row],[Reviews]]&gt;=8, "Average +")</f>
        <v>Below Average</v>
      </c>
      <c r="L403" s="12" t="s">
        <v>1606</v>
      </c>
      <c r="M403" s="2" t="s">
        <v>1470</v>
      </c>
    </row>
    <row r="404" spans="1:13" x14ac:dyDescent="0.2">
      <c r="A404" s="1" t="s">
        <v>432</v>
      </c>
      <c r="B404" s="1" t="s">
        <v>1074</v>
      </c>
      <c r="C404" s="330">
        <v>0</v>
      </c>
      <c r="D404" s="330">
        <v>16</v>
      </c>
      <c r="E404" s="116">
        <v>0</v>
      </c>
      <c r="F404" s="1" t="s">
        <v>9</v>
      </c>
      <c r="G404" s="1" t="s">
        <v>1075</v>
      </c>
      <c r="H404" s="1">
        <v>0</v>
      </c>
      <c r="I404" s="1" t="str" cm="1">
        <f t="array" ref="I404">_xlfn.IFS(a.nike.original.man[[#This Row],[Rating]]&lt;=2.9, "0 - 2.9",a.nike.original.man[[#This Row],[Rating]]&lt;=3.9,"3 - 3.9", a.nike.original.man[[#This Row],[Rating]]&lt;=5,"4 - 5")</f>
        <v>0 - 2.9</v>
      </c>
      <c r="J404" s="1">
        <v>0</v>
      </c>
      <c r="K404" s="1" t="str" cm="1">
        <f t="array" ref="K404">_xlfn.IFS(a.nike.original.man[[#This Row],[Reviews]]&lt;=7, "Below Average", a.nike.original.man[[#This Row],[Reviews]]&gt;=8, "Average +")</f>
        <v>Below Average</v>
      </c>
      <c r="L404" s="11" t="s">
        <v>1606</v>
      </c>
      <c r="M404" s="1" t="s">
        <v>1470</v>
      </c>
    </row>
    <row r="405" spans="1:13" x14ac:dyDescent="0.2">
      <c r="A405" s="2" t="s">
        <v>83</v>
      </c>
      <c r="B405" s="2" t="s">
        <v>1076</v>
      </c>
      <c r="C405" s="331">
        <v>0</v>
      </c>
      <c r="D405" s="331">
        <v>190</v>
      </c>
      <c r="E405" s="116">
        <v>0</v>
      </c>
      <c r="F405" s="2" t="s">
        <v>9</v>
      </c>
      <c r="G405" s="2" t="s">
        <v>545</v>
      </c>
      <c r="H405" s="2">
        <v>2.2000000000000002</v>
      </c>
      <c r="I405" s="2" t="str" cm="1">
        <f t="array" ref="I405">_xlfn.IFS(a.nike.original.man[[#This Row],[Rating]]&lt;=2.9, "0 - 2.9",a.nike.original.man[[#This Row],[Rating]]&lt;=3.9,"3 - 3.9", a.nike.original.man[[#This Row],[Rating]]&lt;=5,"4 - 5")</f>
        <v>0 - 2.9</v>
      </c>
      <c r="J405" s="2">
        <v>5</v>
      </c>
      <c r="K405" s="2" t="str" cm="1">
        <f t="array" ref="K405">_xlfn.IFS(a.nike.original.man[[#This Row],[Reviews]]&lt;=7, "Below Average", a.nike.original.man[[#This Row],[Reviews]]&gt;=8, "Average +")</f>
        <v>Below Average</v>
      </c>
      <c r="L405" s="12" t="s">
        <v>1607</v>
      </c>
      <c r="M405" s="2" t="s">
        <v>1470</v>
      </c>
    </row>
    <row r="406" spans="1:13" x14ac:dyDescent="0.2">
      <c r="A406" s="1" t="s">
        <v>129</v>
      </c>
      <c r="B406" s="1" t="s">
        <v>1077</v>
      </c>
      <c r="C406" s="330">
        <v>0</v>
      </c>
      <c r="D406" s="330">
        <v>100</v>
      </c>
      <c r="E406" s="116">
        <v>0</v>
      </c>
      <c r="F406" s="1" t="s">
        <v>9</v>
      </c>
      <c r="G406" s="1" t="s">
        <v>131</v>
      </c>
      <c r="H406" s="1">
        <v>0</v>
      </c>
      <c r="I406" s="1" t="str" cm="1">
        <f t="array" ref="I406">_xlfn.IFS(a.nike.original.man[[#This Row],[Rating]]&lt;=2.9, "0 - 2.9",a.nike.original.man[[#This Row],[Rating]]&lt;=3.9,"3 - 3.9", a.nike.original.man[[#This Row],[Rating]]&lt;=5,"4 - 5")</f>
        <v>0 - 2.9</v>
      </c>
      <c r="J406" s="1">
        <v>0</v>
      </c>
      <c r="K406" s="1" t="str" cm="1">
        <f t="array" ref="K406">_xlfn.IFS(a.nike.original.man[[#This Row],[Reviews]]&lt;=7, "Below Average", a.nike.original.man[[#This Row],[Reviews]]&gt;=8, "Average +")</f>
        <v>Below Average</v>
      </c>
      <c r="L406" s="11" t="s">
        <v>1607</v>
      </c>
      <c r="M406" s="1" t="s">
        <v>1470</v>
      </c>
    </row>
    <row r="407" spans="1:13" x14ac:dyDescent="0.2">
      <c r="A407" s="1" t="s">
        <v>1078</v>
      </c>
      <c r="B407" s="1" t="s">
        <v>1079</v>
      </c>
      <c r="C407" s="330">
        <v>189.95</v>
      </c>
      <c r="D407" s="330">
        <v>133</v>
      </c>
      <c r="E407" s="116">
        <v>0.3</v>
      </c>
      <c r="F407" s="1" t="s">
        <v>9</v>
      </c>
      <c r="G407" s="1" t="s">
        <v>1080</v>
      </c>
      <c r="H407" s="1">
        <v>3.5</v>
      </c>
      <c r="I407" s="1" t="str" cm="1">
        <f t="array" ref="I407">_xlfn.IFS(a.nike.original.man[[#This Row],[Rating]]&lt;=2.9, "0 - 2.9",a.nike.original.man[[#This Row],[Rating]]&lt;=3.9,"3 - 3.9", a.nike.original.man[[#This Row],[Rating]]&lt;=5,"4 - 5")</f>
        <v>3 - 3.9</v>
      </c>
      <c r="J407" s="1">
        <v>6</v>
      </c>
      <c r="K407" s="1" t="str" cm="1">
        <f t="array" ref="K407">_xlfn.IFS(a.nike.original.man[[#This Row],[Reviews]]&lt;=7, "Below Average", a.nike.original.man[[#This Row],[Reviews]]&gt;=8, "Average +")</f>
        <v>Below Average</v>
      </c>
      <c r="L407" s="11" t="s">
        <v>1608</v>
      </c>
      <c r="M407" s="1" t="s">
        <v>1470</v>
      </c>
    </row>
    <row r="408" spans="1:13" x14ac:dyDescent="0.2">
      <c r="A408" s="2" t="s">
        <v>304</v>
      </c>
      <c r="B408" s="2" t="s">
        <v>305</v>
      </c>
      <c r="C408" s="331">
        <v>0</v>
      </c>
      <c r="D408" s="331">
        <v>85</v>
      </c>
      <c r="E408" s="116">
        <v>0</v>
      </c>
      <c r="F408" s="2" t="s">
        <v>9</v>
      </c>
      <c r="G408" s="2" t="s">
        <v>306</v>
      </c>
      <c r="H408" s="2">
        <v>0</v>
      </c>
      <c r="I408" s="2" t="str" cm="1">
        <f t="array" ref="I408">_xlfn.IFS(a.nike.original.man[[#This Row],[Rating]]&lt;=2.9, "0 - 2.9",a.nike.original.man[[#This Row],[Rating]]&lt;=3.9,"3 - 3.9", a.nike.original.man[[#This Row],[Rating]]&lt;=5,"4 - 5")</f>
        <v>0 - 2.9</v>
      </c>
      <c r="J408" s="2">
        <v>0</v>
      </c>
      <c r="K408" s="2" t="str" cm="1">
        <f t="array" ref="K408">_xlfn.IFS(a.nike.original.man[[#This Row],[Reviews]]&lt;=7, "Below Average", a.nike.original.man[[#This Row],[Reviews]]&gt;=8, "Average +")</f>
        <v>Below Average</v>
      </c>
      <c r="L408" s="12" t="s">
        <v>1608</v>
      </c>
      <c r="M408" s="2" t="s">
        <v>1470</v>
      </c>
    </row>
    <row r="409" spans="1:13" x14ac:dyDescent="0.2">
      <c r="A409" s="1" t="s">
        <v>78</v>
      </c>
      <c r="B409" s="1" t="s">
        <v>1081</v>
      </c>
      <c r="C409" s="330">
        <v>149.94999999999999</v>
      </c>
      <c r="D409" s="330">
        <v>120</v>
      </c>
      <c r="E409" s="116">
        <v>0.2</v>
      </c>
      <c r="F409" s="1" t="s">
        <v>9</v>
      </c>
      <c r="G409" s="1" t="s">
        <v>80</v>
      </c>
      <c r="H409" s="1">
        <v>4.4000000000000004</v>
      </c>
      <c r="I409" s="1" t="str" cm="1">
        <f t="array" ref="I409">_xlfn.IFS(a.nike.original.man[[#This Row],[Rating]]&lt;=2.9, "0 - 2.9",a.nike.original.man[[#This Row],[Rating]]&lt;=3.9,"3 - 3.9", a.nike.original.man[[#This Row],[Rating]]&lt;=5,"4 - 5")</f>
        <v>4 - 5</v>
      </c>
      <c r="J409" s="1">
        <v>26</v>
      </c>
      <c r="K409" s="1" t="str" cm="1">
        <f t="array" ref="K409">_xlfn.IFS(a.nike.original.man[[#This Row],[Reviews]]&lt;=7, "Below Average", a.nike.original.man[[#This Row],[Reviews]]&gt;=8, "Average +")</f>
        <v>Average +</v>
      </c>
      <c r="L409" s="11" t="s">
        <v>1609</v>
      </c>
      <c r="M409" s="1" t="s">
        <v>1470</v>
      </c>
    </row>
    <row r="410" spans="1:13" x14ac:dyDescent="0.2">
      <c r="A410" s="2" t="s">
        <v>340</v>
      </c>
      <c r="B410" s="2" t="s">
        <v>1082</v>
      </c>
      <c r="C410" s="331">
        <v>99.95</v>
      </c>
      <c r="D410" s="331">
        <v>60</v>
      </c>
      <c r="E410" s="116">
        <v>0.4</v>
      </c>
      <c r="F410" s="2" t="s">
        <v>9</v>
      </c>
      <c r="G410" s="2" t="s">
        <v>1083</v>
      </c>
      <c r="H410" s="2">
        <v>3.4</v>
      </c>
      <c r="I410" s="2" t="str" cm="1">
        <f t="array" ref="I410">_xlfn.IFS(a.nike.original.man[[#This Row],[Rating]]&lt;=2.9, "0 - 2.9",a.nike.original.man[[#This Row],[Rating]]&lt;=3.9,"3 - 3.9", a.nike.original.man[[#This Row],[Rating]]&lt;=5,"4 - 5")</f>
        <v>3 - 3.9</v>
      </c>
      <c r="J410" s="2">
        <v>26</v>
      </c>
      <c r="K410" s="2" t="str" cm="1">
        <f t="array" ref="K410">_xlfn.IFS(a.nike.original.man[[#This Row],[Reviews]]&lt;=7, "Below Average", a.nike.original.man[[#This Row],[Reviews]]&gt;=8, "Average +")</f>
        <v>Average +</v>
      </c>
      <c r="L410" s="12" t="s">
        <v>1609</v>
      </c>
      <c r="M410" s="2" t="s">
        <v>1470</v>
      </c>
    </row>
    <row r="411" spans="1:13" x14ac:dyDescent="0.2">
      <c r="A411" s="2" t="s">
        <v>301</v>
      </c>
      <c r="B411" s="2" t="s">
        <v>302</v>
      </c>
      <c r="C411" s="331">
        <v>159.94999999999999</v>
      </c>
      <c r="D411" s="331">
        <v>128</v>
      </c>
      <c r="E411" s="116">
        <v>0.2</v>
      </c>
      <c r="F411" s="2" t="s">
        <v>9</v>
      </c>
      <c r="G411" s="2" t="s">
        <v>303</v>
      </c>
      <c r="H411" s="2">
        <v>4.4000000000000004</v>
      </c>
      <c r="I411" s="2" t="str" cm="1">
        <f t="array" ref="I411">_xlfn.IFS(a.nike.original.man[[#This Row],[Rating]]&lt;=2.9, "0 - 2.9",a.nike.original.man[[#This Row],[Rating]]&lt;=3.9,"3 - 3.9", a.nike.original.man[[#This Row],[Rating]]&lt;=5,"4 - 5")</f>
        <v>4 - 5</v>
      </c>
      <c r="J411" s="2">
        <v>18</v>
      </c>
      <c r="K411" s="2" t="str" cm="1">
        <f t="array" ref="K411">_xlfn.IFS(a.nike.original.man[[#This Row],[Reviews]]&lt;=7, "Below Average", a.nike.original.man[[#This Row],[Reviews]]&gt;=8, "Average +")</f>
        <v>Average +</v>
      </c>
      <c r="L411" s="12" t="s">
        <v>1609</v>
      </c>
      <c r="M411" s="2" t="s">
        <v>1470</v>
      </c>
    </row>
    <row r="412" spans="1:13" x14ac:dyDescent="0.2">
      <c r="A412" s="1" t="s">
        <v>1084</v>
      </c>
      <c r="B412" s="1" t="s">
        <v>1085</v>
      </c>
      <c r="C412" s="330">
        <v>159.94999999999999</v>
      </c>
      <c r="D412" s="330">
        <v>112</v>
      </c>
      <c r="E412" s="116">
        <v>0.3</v>
      </c>
      <c r="F412" s="1" t="s">
        <v>9</v>
      </c>
      <c r="G412" s="1" t="s">
        <v>1086</v>
      </c>
      <c r="H412" s="1">
        <v>0</v>
      </c>
      <c r="I412" s="1" t="str" cm="1">
        <f t="array" ref="I412">_xlfn.IFS(a.nike.original.man[[#This Row],[Rating]]&lt;=2.9, "0 - 2.9",a.nike.original.man[[#This Row],[Rating]]&lt;=3.9,"3 - 3.9", a.nike.original.man[[#This Row],[Rating]]&lt;=5,"4 - 5")</f>
        <v>0 - 2.9</v>
      </c>
      <c r="J412" s="1">
        <v>0</v>
      </c>
      <c r="K412" s="1" t="str" cm="1">
        <f t="array" ref="K412">_xlfn.IFS(a.nike.original.man[[#This Row],[Reviews]]&lt;=7, "Below Average", a.nike.original.man[[#This Row],[Reviews]]&gt;=8, "Average +")</f>
        <v>Below Average</v>
      </c>
      <c r="L412" s="11" t="s">
        <v>1610</v>
      </c>
      <c r="M412" s="1" t="s">
        <v>1470</v>
      </c>
    </row>
    <row r="413" spans="1:13" x14ac:dyDescent="0.2">
      <c r="A413" s="2" t="s">
        <v>298</v>
      </c>
      <c r="B413" s="2" t="s">
        <v>1087</v>
      </c>
      <c r="C413" s="331">
        <v>0</v>
      </c>
      <c r="D413" s="331">
        <v>120</v>
      </c>
      <c r="E413" s="116">
        <v>0</v>
      </c>
      <c r="F413" s="2" t="s">
        <v>9</v>
      </c>
      <c r="G413" s="2" t="s">
        <v>1088</v>
      </c>
      <c r="H413" s="2">
        <v>5</v>
      </c>
      <c r="I413" s="2" t="str" cm="1">
        <f t="array" ref="I413">_xlfn.IFS(a.nike.original.man[[#This Row],[Rating]]&lt;=2.9, "0 - 2.9",a.nike.original.man[[#This Row],[Rating]]&lt;=3.9,"3 - 3.9", a.nike.original.man[[#This Row],[Rating]]&lt;=5,"4 - 5")</f>
        <v>4 - 5</v>
      </c>
      <c r="J413" s="2">
        <v>1</v>
      </c>
      <c r="K413" s="2" t="str" cm="1">
        <f t="array" ref="K413">_xlfn.IFS(a.nike.original.man[[#This Row],[Reviews]]&lt;=7, "Below Average", a.nike.original.man[[#This Row],[Reviews]]&gt;=8, "Average +")</f>
        <v>Below Average</v>
      </c>
      <c r="L413" s="12" t="s">
        <v>1611</v>
      </c>
      <c r="M413" s="2" t="s">
        <v>1470</v>
      </c>
    </row>
    <row r="414" spans="1:13" x14ac:dyDescent="0.2">
      <c r="A414" s="1" t="s">
        <v>1089</v>
      </c>
      <c r="B414" s="1" t="s">
        <v>1090</v>
      </c>
      <c r="C414" s="330">
        <v>99.95</v>
      </c>
      <c r="D414" s="330">
        <v>80</v>
      </c>
      <c r="E414" s="116">
        <v>0.2</v>
      </c>
      <c r="F414" s="1" t="s">
        <v>9</v>
      </c>
      <c r="G414" s="1" t="s">
        <v>1091</v>
      </c>
      <c r="H414" s="1">
        <v>1</v>
      </c>
      <c r="I414" s="1" t="str" cm="1">
        <f t="array" ref="I414">_xlfn.IFS(a.nike.original.man[[#This Row],[Rating]]&lt;=2.9, "0 - 2.9",a.nike.original.man[[#This Row],[Rating]]&lt;=3.9,"3 - 3.9", a.nike.original.man[[#This Row],[Rating]]&lt;=5,"4 - 5")</f>
        <v>0 - 2.9</v>
      </c>
      <c r="J414" s="1">
        <v>1</v>
      </c>
      <c r="K414" s="1" t="str" cm="1">
        <f t="array" ref="K414">_xlfn.IFS(a.nike.original.man[[#This Row],[Reviews]]&lt;=7, "Below Average", a.nike.original.man[[#This Row],[Reviews]]&gt;=8, "Average +")</f>
        <v>Below Average</v>
      </c>
      <c r="L414" s="11" t="s">
        <v>1612</v>
      </c>
      <c r="M414" s="1" t="s">
        <v>1470</v>
      </c>
    </row>
    <row r="415" spans="1:13" x14ac:dyDescent="0.2">
      <c r="A415" s="2" t="s">
        <v>72</v>
      </c>
      <c r="B415" s="2" t="s">
        <v>452</v>
      </c>
      <c r="C415" s="331">
        <v>0</v>
      </c>
      <c r="D415" s="331">
        <v>110</v>
      </c>
      <c r="E415" s="116">
        <v>0</v>
      </c>
      <c r="F415" s="2" t="s">
        <v>9</v>
      </c>
      <c r="G415" s="2" t="s">
        <v>453</v>
      </c>
      <c r="H415" s="2">
        <v>3.7</v>
      </c>
      <c r="I415" s="2" t="str" cm="1">
        <f t="array" ref="I415">_xlfn.IFS(a.nike.original.man[[#This Row],[Rating]]&lt;=2.9, "0 - 2.9",a.nike.original.man[[#This Row],[Rating]]&lt;=3.9,"3 - 3.9", a.nike.original.man[[#This Row],[Rating]]&lt;=5,"4 - 5")</f>
        <v>3 - 3.9</v>
      </c>
      <c r="J415" s="2">
        <v>31</v>
      </c>
      <c r="K415" s="2" t="str" cm="1">
        <f t="array" ref="K415">_xlfn.IFS(a.nike.original.man[[#This Row],[Reviews]]&lt;=7, "Below Average", a.nike.original.man[[#This Row],[Reviews]]&gt;=8, "Average +")</f>
        <v>Average +</v>
      </c>
      <c r="L415" s="12" t="s">
        <v>1613</v>
      </c>
      <c r="M415" s="2" t="s">
        <v>1470</v>
      </c>
    </row>
    <row r="416" spans="1:13" x14ac:dyDescent="0.2">
      <c r="A416" s="1" t="s">
        <v>658</v>
      </c>
      <c r="B416" s="1" t="s">
        <v>1092</v>
      </c>
      <c r="C416" s="330">
        <v>0</v>
      </c>
      <c r="D416" s="330">
        <v>25</v>
      </c>
      <c r="E416" s="116">
        <v>0</v>
      </c>
      <c r="F416" s="1" t="s">
        <v>9</v>
      </c>
      <c r="G416" s="1" t="s">
        <v>1093</v>
      </c>
      <c r="H416" s="1">
        <v>4.0999999999999996</v>
      </c>
      <c r="I416" s="1" t="str" cm="1">
        <f t="array" ref="I416">_xlfn.IFS(a.nike.original.man[[#This Row],[Rating]]&lt;=2.9, "0 - 2.9",a.nike.original.man[[#This Row],[Rating]]&lt;=3.9,"3 - 3.9", a.nike.original.man[[#This Row],[Rating]]&lt;=5,"4 - 5")</f>
        <v>4 - 5</v>
      </c>
      <c r="J416" s="1">
        <v>33</v>
      </c>
      <c r="K416" s="1" t="str" cm="1">
        <f t="array" ref="K416">_xlfn.IFS(a.nike.original.man[[#This Row],[Reviews]]&lt;=7, "Below Average", a.nike.original.man[[#This Row],[Reviews]]&gt;=8, "Average +")</f>
        <v>Average +</v>
      </c>
      <c r="L416" s="11" t="s">
        <v>1614</v>
      </c>
      <c r="M416" s="1" t="s">
        <v>1470</v>
      </c>
    </row>
    <row r="417" spans="1:13" x14ac:dyDescent="0.2">
      <c r="A417" s="2" t="s">
        <v>1094</v>
      </c>
      <c r="B417" s="2" t="s">
        <v>1095</v>
      </c>
      <c r="C417" s="331">
        <v>129.94999999999999</v>
      </c>
      <c r="D417" s="331">
        <v>104</v>
      </c>
      <c r="E417" s="116">
        <v>0.2</v>
      </c>
      <c r="F417" s="2" t="s">
        <v>9</v>
      </c>
      <c r="G417" s="2" t="s">
        <v>1096</v>
      </c>
      <c r="H417" s="2">
        <v>4.5999999999999996</v>
      </c>
      <c r="I417" s="2" t="str" cm="1">
        <f t="array" ref="I417">_xlfn.IFS(a.nike.original.man[[#This Row],[Rating]]&lt;=2.9, "0 - 2.9",a.nike.original.man[[#This Row],[Rating]]&lt;=3.9,"3 - 3.9", a.nike.original.man[[#This Row],[Rating]]&lt;=5,"4 - 5")</f>
        <v>4 - 5</v>
      </c>
      <c r="J417" s="2">
        <v>5</v>
      </c>
      <c r="K417" s="2" t="str" cm="1">
        <f t="array" ref="K417">_xlfn.IFS(a.nike.original.man[[#This Row],[Reviews]]&lt;=7, "Below Average", a.nike.original.man[[#This Row],[Reviews]]&gt;=8, "Average +")</f>
        <v>Below Average</v>
      </c>
      <c r="L417" s="12" t="s">
        <v>1615</v>
      </c>
      <c r="M417" s="2" t="s">
        <v>1470</v>
      </c>
    </row>
    <row r="418" spans="1:13" x14ac:dyDescent="0.2">
      <c r="A418" s="1" t="s">
        <v>395</v>
      </c>
      <c r="B418" s="1" t="s">
        <v>1097</v>
      </c>
      <c r="C418" s="330">
        <v>0</v>
      </c>
      <c r="D418" s="330">
        <v>100</v>
      </c>
      <c r="E418" s="116">
        <v>0</v>
      </c>
      <c r="F418" s="1" t="s">
        <v>9</v>
      </c>
      <c r="G418" s="1" t="s">
        <v>1098</v>
      </c>
      <c r="H418" s="1">
        <v>4.8</v>
      </c>
      <c r="I418" s="1" t="str" cm="1">
        <f t="array" ref="I418">_xlfn.IFS(a.nike.original.man[[#This Row],[Rating]]&lt;=2.9, "0 - 2.9",a.nike.original.man[[#This Row],[Rating]]&lt;=3.9,"3 - 3.9", a.nike.original.man[[#This Row],[Rating]]&lt;=5,"4 - 5")</f>
        <v>4 - 5</v>
      </c>
      <c r="J418" s="1">
        <v>4</v>
      </c>
      <c r="K418" s="1" t="str" cm="1">
        <f t="array" ref="K418">_xlfn.IFS(a.nike.original.man[[#This Row],[Reviews]]&lt;=7, "Below Average", a.nike.original.man[[#This Row],[Reviews]]&gt;=8, "Average +")</f>
        <v>Below Average</v>
      </c>
      <c r="L418" s="11" t="s">
        <v>1615</v>
      </c>
      <c r="M418" s="1" t="s">
        <v>1470</v>
      </c>
    </row>
    <row r="419" spans="1:13" x14ac:dyDescent="0.2">
      <c r="A419" s="2" t="s">
        <v>37</v>
      </c>
      <c r="B419" s="2" t="s">
        <v>1099</v>
      </c>
      <c r="C419" s="331">
        <v>119.95</v>
      </c>
      <c r="D419" s="331">
        <v>96</v>
      </c>
      <c r="E419" s="116">
        <v>0.2</v>
      </c>
      <c r="F419" s="2" t="s">
        <v>9</v>
      </c>
      <c r="G419" s="2" t="s">
        <v>1100</v>
      </c>
      <c r="H419" s="2">
        <v>4.8</v>
      </c>
      <c r="I419" s="2" t="str" cm="1">
        <f t="array" ref="I419">_xlfn.IFS(a.nike.original.man[[#This Row],[Rating]]&lt;=2.9, "0 - 2.9",a.nike.original.man[[#This Row],[Rating]]&lt;=3.9,"3 - 3.9", a.nike.original.man[[#This Row],[Rating]]&lt;=5,"4 - 5")</f>
        <v>4 - 5</v>
      </c>
      <c r="J419" s="2">
        <v>5</v>
      </c>
      <c r="K419" s="2" t="str" cm="1">
        <f t="array" ref="K419">_xlfn.IFS(a.nike.original.man[[#This Row],[Reviews]]&lt;=7, "Below Average", a.nike.original.man[[#This Row],[Reviews]]&gt;=8, "Average +")</f>
        <v>Below Average</v>
      </c>
      <c r="L419" s="12" t="s">
        <v>1616</v>
      </c>
      <c r="M419" s="2" t="s">
        <v>1470</v>
      </c>
    </row>
    <row r="420" spans="1:13" x14ac:dyDescent="0.2">
      <c r="A420" s="1" t="s">
        <v>400</v>
      </c>
      <c r="B420" s="1" t="s">
        <v>1101</v>
      </c>
      <c r="C420" s="330">
        <v>0</v>
      </c>
      <c r="D420" s="330">
        <v>110</v>
      </c>
      <c r="E420" s="116">
        <v>0</v>
      </c>
      <c r="F420" s="1" t="s">
        <v>9</v>
      </c>
      <c r="G420" s="1" t="s">
        <v>1102</v>
      </c>
      <c r="H420" s="1">
        <v>5</v>
      </c>
      <c r="I420" s="1" t="str" cm="1">
        <f t="array" ref="I420">_xlfn.IFS(a.nike.original.man[[#This Row],[Rating]]&lt;=2.9, "0 - 2.9",a.nike.original.man[[#This Row],[Rating]]&lt;=3.9,"3 - 3.9", a.nike.original.man[[#This Row],[Rating]]&lt;=5,"4 - 5")</f>
        <v>4 - 5</v>
      </c>
      <c r="J420" s="1">
        <v>2</v>
      </c>
      <c r="K420" s="1" t="str" cm="1">
        <f t="array" ref="K420">_xlfn.IFS(a.nike.original.man[[#This Row],[Reviews]]&lt;=7, "Below Average", a.nike.original.man[[#This Row],[Reviews]]&gt;=8, "Average +")</f>
        <v>Below Average</v>
      </c>
      <c r="L420" s="11" t="s">
        <v>1617</v>
      </c>
      <c r="M420" s="1" t="s">
        <v>1470</v>
      </c>
    </row>
    <row r="421" spans="1:13" x14ac:dyDescent="0.2">
      <c r="A421" s="2" t="s">
        <v>1103</v>
      </c>
      <c r="B421" s="2" t="s">
        <v>1104</v>
      </c>
      <c r="C421" s="331">
        <v>159.94999999999999</v>
      </c>
      <c r="D421" s="331">
        <v>112</v>
      </c>
      <c r="E421" s="116">
        <v>0.3</v>
      </c>
      <c r="F421" s="2" t="s">
        <v>9</v>
      </c>
      <c r="G421" s="2" t="s">
        <v>1105</v>
      </c>
      <c r="H421" s="2">
        <v>0</v>
      </c>
      <c r="I421" s="2" t="str" cm="1">
        <f t="array" ref="I421">_xlfn.IFS(a.nike.original.man[[#This Row],[Rating]]&lt;=2.9, "0 - 2.9",a.nike.original.man[[#This Row],[Rating]]&lt;=3.9,"3 - 3.9", a.nike.original.man[[#This Row],[Rating]]&lt;=5,"4 - 5")</f>
        <v>0 - 2.9</v>
      </c>
      <c r="J421" s="2">
        <v>0</v>
      </c>
      <c r="K421" s="2" t="str" cm="1">
        <f t="array" ref="K421">_xlfn.IFS(a.nike.original.man[[#This Row],[Reviews]]&lt;=7, "Below Average", a.nike.original.man[[#This Row],[Reviews]]&gt;=8, "Average +")</f>
        <v>Below Average</v>
      </c>
      <c r="L421" s="12" t="s">
        <v>1617</v>
      </c>
      <c r="M421" s="2" t="s">
        <v>1470</v>
      </c>
    </row>
    <row r="422" spans="1:13" x14ac:dyDescent="0.2">
      <c r="A422" s="2" t="s">
        <v>1108</v>
      </c>
      <c r="B422" s="2" t="s">
        <v>1109</v>
      </c>
      <c r="C422" s="331">
        <v>0</v>
      </c>
      <c r="D422" s="331">
        <v>110</v>
      </c>
      <c r="E422" s="116">
        <v>0</v>
      </c>
      <c r="F422" s="2" t="s">
        <v>9</v>
      </c>
      <c r="G422" s="2" t="s">
        <v>1110</v>
      </c>
      <c r="H422" s="2">
        <v>0</v>
      </c>
      <c r="I422" s="2" t="str" cm="1">
        <f t="array" ref="I422">_xlfn.IFS(a.nike.original.man[[#This Row],[Rating]]&lt;=2.9, "0 - 2.9",a.nike.original.man[[#This Row],[Rating]]&lt;=3.9,"3 - 3.9", a.nike.original.man[[#This Row],[Rating]]&lt;=5,"4 - 5")</f>
        <v>0 - 2.9</v>
      </c>
      <c r="J422" s="2">
        <v>0</v>
      </c>
      <c r="K422" s="2" t="str" cm="1">
        <f t="array" ref="K422">_xlfn.IFS(a.nike.original.man[[#This Row],[Reviews]]&lt;=7, "Below Average", a.nike.original.man[[#This Row],[Reviews]]&gt;=8, "Average +")</f>
        <v>Below Average</v>
      </c>
      <c r="L422" s="12" t="s">
        <v>1618</v>
      </c>
      <c r="M422" s="2" t="s">
        <v>1470</v>
      </c>
    </row>
    <row r="423" spans="1:13" x14ac:dyDescent="0.2">
      <c r="A423" s="1" t="s">
        <v>505</v>
      </c>
      <c r="B423" s="1" t="s">
        <v>1106</v>
      </c>
      <c r="C423" s="330">
        <v>0</v>
      </c>
      <c r="D423" s="330">
        <v>140</v>
      </c>
      <c r="E423" s="116">
        <v>0</v>
      </c>
      <c r="F423" s="1" t="s">
        <v>9</v>
      </c>
      <c r="G423" s="1" t="s">
        <v>1107</v>
      </c>
      <c r="H423" s="1">
        <v>4.8</v>
      </c>
      <c r="I423" s="1" t="str" cm="1">
        <f t="array" ref="I423">_xlfn.IFS(a.nike.original.man[[#This Row],[Rating]]&lt;=2.9, "0 - 2.9",a.nike.original.man[[#This Row],[Rating]]&lt;=3.9,"3 - 3.9", a.nike.original.man[[#This Row],[Rating]]&lt;=5,"4 - 5")</f>
        <v>4 - 5</v>
      </c>
      <c r="J423" s="1">
        <v>12</v>
      </c>
      <c r="K423" s="1" t="str" cm="1">
        <f t="array" ref="K423">_xlfn.IFS(a.nike.original.man[[#This Row],[Reviews]]&lt;=7, "Below Average", a.nike.original.man[[#This Row],[Reviews]]&gt;=8, "Average +")</f>
        <v>Average +</v>
      </c>
      <c r="L423" s="11" t="s">
        <v>1618</v>
      </c>
      <c r="M423" s="1" t="s">
        <v>1470</v>
      </c>
    </row>
    <row r="424" spans="1:13" x14ac:dyDescent="0.2">
      <c r="A424" s="1" t="s">
        <v>414</v>
      </c>
      <c r="B424" s="1" t="s">
        <v>415</v>
      </c>
      <c r="C424" s="330">
        <v>0</v>
      </c>
      <c r="D424" s="330">
        <v>90</v>
      </c>
      <c r="E424" s="116">
        <v>0</v>
      </c>
      <c r="F424" s="1" t="s">
        <v>9</v>
      </c>
      <c r="G424" s="1" t="s">
        <v>416</v>
      </c>
      <c r="H424" s="1">
        <v>4.8</v>
      </c>
      <c r="I424" s="1" t="str" cm="1">
        <f t="array" ref="I424">_xlfn.IFS(a.nike.original.man[[#This Row],[Rating]]&lt;=2.9, "0 - 2.9",a.nike.original.man[[#This Row],[Rating]]&lt;=3.9,"3 - 3.9", a.nike.original.man[[#This Row],[Rating]]&lt;=5,"4 - 5")</f>
        <v>4 - 5</v>
      </c>
      <c r="J424" s="1">
        <v>20</v>
      </c>
      <c r="K424" s="1" t="str" cm="1">
        <f t="array" ref="K424">_xlfn.IFS(a.nike.original.man[[#This Row],[Reviews]]&lt;=7, "Below Average", a.nike.original.man[[#This Row],[Reviews]]&gt;=8, "Average +")</f>
        <v>Average +</v>
      </c>
      <c r="L424" s="11" t="s">
        <v>1619</v>
      </c>
      <c r="M424" s="1" t="s">
        <v>1470</v>
      </c>
    </row>
    <row r="425" spans="1:13" x14ac:dyDescent="0.2">
      <c r="A425" s="2" t="s">
        <v>1111</v>
      </c>
      <c r="B425" s="2" t="s">
        <v>1112</v>
      </c>
      <c r="C425" s="331">
        <v>139.94999999999999</v>
      </c>
      <c r="D425" s="331">
        <v>84</v>
      </c>
      <c r="E425" s="116">
        <v>0.4</v>
      </c>
      <c r="F425" s="2" t="s">
        <v>9</v>
      </c>
      <c r="G425" s="2" t="s">
        <v>1113</v>
      </c>
      <c r="H425" s="2">
        <v>5</v>
      </c>
      <c r="I425" s="2" t="str" cm="1">
        <f t="array" ref="I425">_xlfn.IFS(a.nike.original.man[[#This Row],[Rating]]&lt;=2.9, "0 - 2.9",a.nike.original.man[[#This Row],[Rating]]&lt;=3.9,"3 - 3.9", a.nike.original.man[[#This Row],[Rating]]&lt;=5,"4 - 5")</f>
        <v>4 - 5</v>
      </c>
      <c r="J425" s="2">
        <v>1</v>
      </c>
      <c r="K425" s="2" t="str" cm="1">
        <f t="array" ref="K425">_xlfn.IFS(a.nike.original.man[[#This Row],[Reviews]]&lt;=7, "Below Average", a.nike.original.man[[#This Row],[Reviews]]&gt;=8, "Average +")</f>
        <v>Below Average</v>
      </c>
      <c r="L425" s="12" t="s">
        <v>1620</v>
      </c>
      <c r="M425" s="2" t="s">
        <v>1470</v>
      </c>
    </row>
    <row r="426" spans="1:13" x14ac:dyDescent="0.2">
      <c r="A426" s="1" t="s">
        <v>1114</v>
      </c>
      <c r="B426" s="1" t="s">
        <v>1115</v>
      </c>
      <c r="C426" s="330">
        <v>0</v>
      </c>
      <c r="D426" s="330">
        <v>45</v>
      </c>
      <c r="E426" s="116">
        <v>0</v>
      </c>
      <c r="F426" s="1" t="s">
        <v>9</v>
      </c>
      <c r="G426" s="1" t="s">
        <v>1116</v>
      </c>
      <c r="H426" s="1">
        <v>5</v>
      </c>
      <c r="I426" s="1" t="str" cm="1">
        <f t="array" ref="I426">_xlfn.IFS(a.nike.original.man[[#This Row],[Rating]]&lt;=2.9, "0 - 2.9",a.nike.original.man[[#This Row],[Rating]]&lt;=3.9,"3 - 3.9", a.nike.original.man[[#This Row],[Rating]]&lt;=5,"4 - 5")</f>
        <v>4 - 5</v>
      </c>
      <c r="J426" s="1">
        <v>1</v>
      </c>
      <c r="K426" s="1" t="str" cm="1">
        <f t="array" ref="K426">_xlfn.IFS(a.nike.original.man[[#This Row],[Reviews]]&lt;=7, "Below Average", a.nike.original.man[[#This Row],[Reviews]]&gt;=8, "Average +")</f>
        <v>Below Average</v>
      </c>
      <c r="L426" s="11" t="s">
        <v>1621</v>
      </c>
      <c r="M426" s="1" t="s">
        <v>1470</v>
      </c>
    </row>
    <row r="427" spans="1:13" x14ac:dyDescent="0.2">
      <c r="A427" s="2" t="s">
        <v>1117</v>
      </c>
      <c r="B427" s="2" t="s">
        <v>1118</v>
      </c>
      <c r="C427" s="331">
        <v>74.95</v>
      </c>
      <c r="D427" s="331">
        <v>52</v>
      </c>
      <c r="E427" s="116">
        <v>0.3</v>
      </c>
      <c r="F427" s="2" t="s">
        <v>9</v>
      </c>
      <c r="G427" s="2" t="s">
        <v>1119</v>
      </c>
      <c r="H427" s="2">
        <v>0</v>
      </c>
      <c r="I427" s="2" t="str" cm="1">
        <f t="array" ref="I427">_xlfn.IFS(a.nike.original.man[[#This Row],[Rating]]&lt;=2.9, "0 - 2.9",a.nike.original.man[[#This Row],[Rating]]&lt;=3.9,"3 - 3.9", a.nike.original.man[[#This Row],[Rating]]&lt;=5,"4 - 5")</f>
        <v>0 - 2.9</v>
      </c>
      <c r="J427" s="2">
        <v>0</v>
      </c>
      <c r="K427" s="2" t="str" cm="1">
        <f t="array" ref="K427">_xlfn.IFS(a.nike.original.man[[#This Row],[Reviews]]&lt;=7, "Below Average", a.nike.original.man[[#This Row],[Reviews]]&gt;=8, "Average +")</f>
        <v>Below Average</v>
      </c>
      <c r="L427" s="12" t="s">
        <v>1621</v>
      </c>
      <c r="M427" s="2" t="s">
        <v>1470</v>
      </c>
    </row>
    <row r="428" spans="1:13" x14ac:dyDescent="0.2">
      <c r="A428" s="1" t="s">
        <v>1126</v>
      </c>
      <c r="B428" s="1" t="s">
        <v>1127</v>
      </c>
      <c r="C428" s="330">
        <v>0</v>
      </c>
      <c r="D428" s="330">
        <v>90</v>
      </c>
      <c r="E428" s="116">
        <v>0</v>
      </c>
      <c r="F428" s="1" t="s">
        <v>9</v>
      </c>
      <c r="G428" s="1" t="s">
        <v>1128</v>
      </c>
      <c r="H428" s="1">
        <v>4.5</v>
      </c>
      <c r="I428" s="1" t="str" cm="1">
        <f t="array" ref="I428">_xlfn.IFS(a.nike.original.man[[#This Row],[Rating]]&lt;=2.9, "0 - 2.9",a.nike.original.man[[#This Row],[Rating]]&lt;=3.9,"3 - 3.9", a.nike.original.man[[#This Row],[Rating]]&lt;=5,"4 - 5")</f>
        <v>4 - 5</v>
      </c>
      <c r="J428" s="1">
        <v>63</v>
      </c>
      <c r="K428" s="1" t="str" cm="1">
        <f t="array" ref="K428">_xlfn.IFS(a.nike.original.man[[#This Row],[Reviews]]&lt;=7, "Below Average", a.nike.original.man[[#This Row],[Reviews]]&gt;=8, "Average +")</f>
        <v>Average +</v>
      </c>
      <c r="L428" s="11" t="s">
        <v>1622</v>
      </c>
      <c r="M428" s="1" t="s">
        <v>1470</v>
      </c>
    </row>
    <row r="429" spans="1:13" x14ac:dyDescent="0.2">
      <c r="A429" s="1" t="s">
        <v>1120</v>
      </c>
      <c r="B429" s="1" t="s">
        <v>1121</v>
      </c>
      <c r="C429" s="330">
        <v>159.94999999999999</v>
      </c>
      <c r="D429" s="330">
        <v>112</v>
      </c>
      <c r="E429" s="116">
        <v>0.3</v>
      </c>
      <c r="F429" s="1" t="s">
        <v>9</v>
      </c>
      <c r="G429" s="1" t="s">
        <v>1122</v>
      </c>
      <c r="H429" s="1">
        <v>4.5</v>
      </c>
      <c r="I429" s="1" t="str" cm="1">
        <f t="array" ref="I429">_xlfn.IFS(a.nike.original.man[[#This Row],[Rating]]&lt;=2.9, "0 - 2.9",a.nike.original.man[[#This Row],[Rating]]&lt;=3.9,"3 - 3.9", a.nike.original.man[[#This Row],[Rating]]&lt;=5,"4 - 5")</f>
        <v>4 - 5</v>
      </c>
      <c r="J429" s="1">
        <v>2</v>
      </c>
      <c r="K429" s="1" t="str" cm="1">
        <f t="array" ref="K429">_xlfn.IFS(a.nike.original.man[[#This Row],[Reviews]]&lt;=7, "Below Average", a.nike.original.man[[#This Row],[Reviews]]&gt;=8, "Average +")</f>
        <v>Below Average</v>
      </c>
      <c r="L429" s="11" t="s">
        <v>1622</v>
      </c>
      <c r="M429" s="1" t="s">
        <v>1470</v>
      </c>
    </row>
    <row r="430" spans="1:13" x14ac:dyDescent="0.2">
      <c r="A430" s="2" t="s">
        <v>1123</v>
      </c>
      <c r="B430" s="2" t="s">
        <v>1124</v>
      </c>
      <c r="C430" s="331">
        <v>44.95</v>
      </c>
      <c r="D430" s="331">
        <v>36</v>
      </c>
      <c r="E430" s="116">
        <v>0.2</v>
      </c>
      <c r="F430" s="2" t="s">
        <v>9</v>
      </c>
      <c r="G430" s="2" t="s">
        <v>1125</v>
      </c>
      <c r="H430" s="2">
        <v>1.5</v>
      </c>
      <c r="I430" s="2" t="str" cm="1">
        <f t="array" ref="I430">_xlfn.IFS(a.nike.original.man[[#This Row],[Rating]]&lt;=2.9, "0 - 2.9",a.nike.original.man[[#This Row],[Rating]]&lt;=3.9,"3 - 3.9", a.nike.original.man[[#This Row],[Rating]]&lt;=5,"4 - 5")</f>
        <v>0 - 2.9</v>
      </c>
      <c r="J430" s="2">
        <v>2</v>
      </c>
      <c r="K430" s="2" t="str" cm="1">
        <f t="array" ref="K430">_xlfn.IFS(a.nike.original.man[[#This Row],[Reviews]]&lt;=7, "Below Average", a.nike.original.man[[#This Row],[Reviews]]&gt;=8, "Average +")</f>
        <v>Below Average</v>
      </c>
      <c r="L430" s="12" t="s">
        <v>1622</v>
      </c>
      <c r="M430" s="2" t="s">
        <v>1470</v>
      </c>
    </row>
    <row r="431" spans="1:13" x14ac:dyDescent="0.2">
      <c r="A431" s="1" t="s">
        <v>256</v>
      </c>
      <c r="B431" s="1" t="s">
        <v>257</v>
      </c>
      <c r="C431" s="330">
        <v>0</v>
      </c>
      <c r="D431" s="330">
        <v>75</v>
      </c>
      <c r="E431" s="116">
        <v>0</v>
      </c>
      <c r="F431" s="1" t="s">
        <v>9</v>
      </c>
      <c r="G431" s="1" t="s">
        <v>258</v>
      </c>
      <c r="H431" s="1">
        <v>2.8</v>
      </c>
      <c r="I431" s="1" t="str" cm="1">
        <f t="array" ref="I431">_xlfn.IFS(a.nike.original.man[[#This Row],[Rating]]&lt;=2.9, "0 - 2.9",a.nike.original.man[[#This Row],[Rating]]&lt;=3.9,"3 - 3.9", a.nike.original.man[[#This Row],[Rating]]&lt;=5,"4 - 5")</f>
        <v>0 - 2.9</v>
      </c>
      <c r="J431" s="1">
        <v>5</v>
      </c>
      <c r="K431" s="1" t="str" cm="1">
        <f t="array" ref="K431">_xlfn.IFS(a.nike.original.man[[#This Row],[Reviews]]&lt;=7, "Below Average", a.nike.original.man[[#This Row],[Reviews]]&gt;=8, "Average +")</f>
        <v>Below Average</v>
      </c>
      <c r="L431" s="11" t="s">
        <v>1623</v>
      </c>
      <c r="M431" s="1" t="s">
        <v>1470</v>
      </c>
    </row>
    <row r="432" spans="1:13" x14ac:dyDescent="0.2">
      <c r="A432" s="2" t="s">
        <v>236</v>
      </c>
      <c r="B432" s="2" t="s">
        <v>237</v>
      </c>
      <c r="C432" s="331">
        <v>0</v>
      </c>
      <c r="D432" s="331">
        <v>80</v>
      </c>
      <c r="E432" s="116">
        <v>0</v>
      </c>
      <c r="F432" s="2" t="s">
        <v>9</v>
      </c>
      <c r="G432" s="2" t="s">
        <v>238</v>
      </c>
      <c r="H432" s="2">
        <v>0</v>
      </c>
      <c r="I432" s="2" t="str" cm="1">
        <f t="array" ref="I432">_xlfn.IFS(a.nike.original.man[[#This Row],[Rating]]&lt;=2.9, "0 - 2.9",a.nike.original.man[[#This Row],[Rating]]&lt;=3.9,"3 - 3.9", a.nike.original.man[[#This Row],[Rating]]&lt;=5,"4 - 5")</f>
        <v>0 - 2.9</v>
      </c>
      <c r="J432" s="2">
        <v>0</v>
      </c>
      <c r="K432" s="2" t="str" cm="1">
        <f t="array" ref="K432">_xlfn.IFS(a.nike.original.man[[#This Row],[Reviews]]&lt;=7, "Below Average", a.nike.original.man[[#This Row],[Reviews]]&gt;=8, "Average +")</f>
        <v>Below Average</v>
      </c>
      <c r="L432" s="12" t="s">
        <v>1623</v>
      </c>
      <c r="M432" s="2" t="s">
        <v>1470</v>
      </c>
    </row>
    <row r="433" spans="1:13" x14ac:dyDescent="0.2">
      <c r="A433" s="1" t="s">
        <v>739</v>
      </c>
      <c r="B433" s="1" t="s">
        <v>740</v>
      </c>
      <c r="C433" s="330">
        <v>0</v>
      </c>
      <c r="D433" s="330">
        <v>230</v>
      </c>
      <c r="E433" s="116">
        <v>0</v>
      </c>
      <c r="F433" s="1" t="s">
        <v>9</v>
      </c>
      <c r="G433" s="1" t="s">
        <v>741</v>
      </c>
      <c r="H433" s="1">
        <v>5</v>
      </c>
      <c r="I433" s="1" t="str" cm="1">
        <f t="array" ref="I433">_xlfn.IFS(a.nike.original.man[[#This Row],[Rating]]&lt;=2.9, "0 - 2.9",a.nike.original.man[[#This Row],[Rating]]&lt;=3.9,"3 - 3.9", a.nike.original.man[[#This Row],[Rating]]&lt;=5,"4 - 5")</f>
        <v>4 - 5</v>
      </c>
      <c r="J433" s="1">
        <v>1</v>
      </c>
      <c r="K433" s="1" t="str" cm="1">
        <f t="array" ref="K433">_xlfn.IFS(a.nike.original.man[[#This Row],[Reviews]]&lt;=7, "Below Average", a.nike.original.man[[#This Row],[Reviews]]&gt;=8, "Average +")</f>
        <v>Below Average</v>
      </c>
      <c r="L433" s="11" t="s">
        <v>1624</v>
      </c>
      <c r="M433" s="1" t="s">
        <v>1470</v>
      </c>
    </row>
    <row r="434" spans="1:13" x14ac:dyDescent="0.2">
      <c r="A434" s="2" t="s">
        <v>377</v>
      </c>
      <c r="B434" s="2" t="s">
        <v>378</v>
      </c>
      <c r="C434" s="331">
        <v>49.95</v>
      </c>
      <c r="D434" s="331">
        <v>40</v>
      </c>
      <c r="E434" s="116">
        <v>0.2</v>
      </c>
      <c r="F434" s="2" t="s">
        <v>9</v>
      </c>
      <c r="G434" s="2" t="s">
        <v>379</v>
      </c>
      <c r="H434" s="2">
        <v>0</v>
      </c>
      <c r="I434" s="2" t="str" cm="1">
        <f t="array" ref="I434">_xlfn.IFS(a.nike.original.man[[#This Row],[Rating]]&lt;=2.9, "0 - 2.9",a.nike.original.man[[#This Row],[Rating]]&lt;=3.9,"3 - 3.9", a.nike.original.man[[#This Row],[Rating]]&lt;=5,"4 - 5")</f>
        <v>0 - 2.9</v>
      </c>
      <c r="J434" s="2">
        <v>0</v>
      </c>
      <c r="K434" s="2" t="str" cm="1">
        <f t="array" ref="K434">_xlfn.IFS(a.nike.original.man[[#This Row],[Reviews]]&lt;=7, "Below Average", a.nike.original.man[[#This Row],[Reviews]]&gt;=8, "Average +")</f>
        <v>Below Average</v>
      </c>
      <c r="L434" s="12" t="s">
        <v>1624</v>
      </c>
      <c r="M434" s="2" t="s">
        <v>1470</v>
      </c>
    </row>
    <row r="435" spans="1:13" x14ac:dyDescent="0.2">
      <c r="A435" s="2" t="s">
        <v>860</v>
      </c>
      <c r="B435" s="2" t="s">
        <v>1129</v>
      </c>
      <c r="C435" s="331">
        <v>78.95</v>
      </c>
      <c r="D435" s="331">
        <v>63</v>
      </c>
      <c r="E435" s="116">
        <v>0.2</v>
      </c>
      <c r="F435" s="2" t="s">
        <v>9</v>
      </c>
      <c r="G435" s="2" t="s">
        <v>1130</v>
      </c>
      <c r="H435" s="2">
        <v>3.8</v>
      </c>
      <c r="I435" s="2" t="str" cm="1">
        <f t="array" ref="I435">_xlfn.IFS(a.nike.original.man[[#This Row],[Rating]]&lt;=2.9, "0 - 2.9",a.nike.original.man[[#This Row],[Rating]]&lt;=3.9,"3 - 3.9", a.nike.original.man[[#This Row],[Rating]]&lt;=5,"4 - 5")</f>
        <v>3 - 3.9</v>
      </c>
      <c r="J435" s="2">
        <v>4</v>
      </c>
      <c r="K435" s="2" t="str" cm="1">
        <f t="array" ref="K435">_xlfn.IFS(a.nike.original.man[[#This Row],[Reviews]]&lt;=7, "Below Average", a.nike.original.man[[#This Row],[Reviews]]&gt;=8, "Average +")</f>
        <v>Below Average</v>
      </c>
      <c r="L435" s="12" t="s">
        <v>1625</v>
      </c>
      <c r="M435" s="2" t="s">
        <v>1470</v>
      </c>
    </row>
    <row r="436" spans="1:13" x14ac:dyDescent="0.2">
      <c r="A436" s="1" t="s">
        <v>162</v>
      </c>
      <c r="B436" s="1" t="s">
        <v>1131</v>
      </c>
      <c r="C436" s="330">
        <v>0</v>
      </c>
      <c r="D436" s="330">
        <v>120</v>
      </c>
      <c r="E436" s="116">
        <v>0</v>
      </c>
      <c r="F436" s="1" t="s">
        <v>9</v>
      </c>
      <c r="G436" s="1" t="s">
        <v>164</v>
      </c>
      <c r="H436" s="1">
        <v>0</v>
      </c>
      <c r="I436" s="1" t="str" cm="1">
        <f t="array" ref="I436">_xlfn.IFS(a.nike.original.man[[#This Row],[Rating]]&lt;=2.9, "0 - 2.9",a.nike.original.man[[#This Row],[Rating]]&lt;=3.9,"3 - 3.9", a.nike.original.man[[#This Row],[Rating]]&lt;=5,"4 - 5")</f>
        <v>0 - 2.9</v>
      </c>
      <c r="J436" s="1">
        <v>0</v>
      </c>
      <c r="K436" s="1" t="str" cm="1">
        <f t="array" ref="K436">_xlfn.IFS(a.nike.original.man[[#This Row],[Reviews]]&lt;=7, "Below Average", a.nike.original.man[[#This Row],[Reviews]]&gt;=8, "Average +")</f>
        <v>Below Average</v>
      </c>
      <c r="L436" s="11" t="s">
        <v>1626</v>
      </c>
      <c r="M436" s="1" t="s">
        <v>1470</v>
      </c>
    </row>
    <row r="437" spans="1:13" x14ac:dyDescent="0.2">
      <c r="A437" s="1" t="s">
        <v>1134</v>
      </c>
      <c r="B437" s="1" t="s">
        <v>1135</v>
      </c>
      <c r="C437" s="330">
        <v>109.95</v>
      </c>
      <c r="D437" s="330">
        <v>77</v>
      </c>
      <c r="E437" s="116">
        <v>0.3</v>
      </c>
      <c r="F437" s="1" t="s">
        <v>9</v>
      </c>
      <c r="G437" s="1" t="s">
        <v>1136</v>
      </c>
      <c r="H437" s="1">
        <v>5</v>
      </c>
      <c r="I437" s="1" t="str" cm="1">
        <f t="array" ref="I437">_xlfn.IFS(a.nike.original.man[[#This Row],[Rating]]&lt;=2.9, "0 - 2.9",a.nike.original.man[[#This Row],[Rating]]&lt;=3.9,"3 - 3.9", a.nike.original.man[[#This Row],[Rating]]&lt;=5,"4 - 5")</f>
        <v>4 - 5</v>
      </c>
      <c r="J437" s="1">
        <v>1</v>
      </c>
      <c r="K437" s="1" t="str" cm="1">
        <f t="array" ref="K437">_xlfn.IFS(a.nike.original.man[[#This Row],[Reviews]]&lt;=7, "Below Average", a.nike.original.man[[#This Row],[Reviews]]&gt;=8, "Average +")</f>
        <v>Below Average</v>
      </c>
      <c r="L437" s="11" t="s">
        <v>1627</v>
      </c>
      <c r="M437" s="1" t="s">
        <v>1470</v>
      </c>
    </row>
    <row r="438" spans="1:13" x14ac:dyDescent="0.2">
      <c r="A438" s="2" t="s">
        <v>132</v>
      </c>
      <c r="B438" s="2" t="s">
        <v>1132</v>
      </c>
      <c r="C438" s="331">
        <v>0</v>
      </c>
      <c r="D438" s="331">
        <v>140</v>
      </c>
      <c r="E438" s="116">
        <v>0</v>
      </c>
      <c r="F438" s="2" t="s">
        <v>9</v>
      </c>
      <c r="G438" s="2" t="s">
        <v>1133</v>
      </c>
      <c r="H438" s="2">
        <v>0</v>
      </c>
      <c r="I438" s="2" t="str" cm="1">
        <f t="array" ref="I438">_xlfn.IFS(a.nike.original.man[[#This Row],[Rating]]&lt;=2.9, "0 - 2.9",a.nike.original.man[[#This Row],[Rating]]&lt;=3.9,"3 - 3.9", a.nike.original.man[[#This Row],[Rating]]&lt;=5,"4 - 5")</f>
        <v>0 - 2.9</v>
      </c>
      <c r="J438" s="2">
        <v>0</v>
      </c>
      <c r="K438" s="2" t="str" cm="1">
        <f t="array" ref="K438">_xlfn.IFS(a.nike.original.man[[#This Row],[Reviews]]&lt;=7, "Below Average", a.nike.original.man[[#This Row],[Reviews]]&gt;=8, "Average +")</f>
        <v>Below Average</v>
      </c>
      <c r="L438" s="12" t="s">
        <v>1627</v>
      </c>
      <c r="M438" s="2" t="s">
        <v>1470</v>
      </c>
    </row>
    <row r="439" spans="1:13" x14ac:dyDescent="0.2">
      <c r="A439" s="2" t="s">
        <v>361</v>
      </c>
      <c r="B439" s="2" t="s">
        <v>362</v>
      </c>
      <c r="C439" s="331">
        <v>0</v>
      </c>
      <c r="D439" s="331">
        <v>160</v>
      </c>
      <c r="E439" s="116">
        <v>0</v>
      </c>
      <c r="F439" s="2" t="s">
        <v>9</v>
      </c>
      <c r="G439" s="2" t="s">
        <v>363</v>
      </c>
      <c r="H439" s="2">
        <v>4.5</v>
      </c>
      <c r="I439" s="2" t="str" cm="1">
        <f t="array" ref="I439">_xlfn.IFS(a.nike.original.man[[#This Row],[Rating]]&lt;=2.9, "0 - 2.9",a.nike.original.man[[#This Row],[Rating]]&lt;=3.9,"3 - 3.9", a.nike.original.man[[#This Row],[Rating]]&lt;=5,"4 - 5")</f>
        <v>4 - 5</v>
      </c>
      <c r="J439" s="2">
        <v>24</v>
      </c>
      <c r="K439" s="2" t="str" cm="1">
        <f t="array" ref="K439">_xlfn.IFS(a.nike.original.man[[#This Row],[Reviews]]&lt;=7, "Below Average", a.nike.original.man[[#This Row],[Reviews]]&gt;=8, "Average +")</f>
        <v>Average +</v>
      </c>
      <c r="L439" s="12" t="s">
        <v>1628</v>
      </c>
      <c r="M439" s="2" t="s">
        <v>1470</v>
      </c>
    </row>
    <row r="440" spans="1:13" x14ac:dyDescent="0.2">
      <c r="A440" s="1" t="s">
        <v>1137</v>
      </c>
      <c r="B440" s="1" t="s">
        <v>1138</v>
      </c>
      <c r="C440" s="330">
        <v>159.94999999999999</v>
      </c>
      <c r="D440" s="330">
        <v>128</v>
      </c>
      <c r="E440" s="116">
        <v>0.2</v>
      </c>
      <c r="F440" s="1" t="s">
        <v>9</v>
      </c>
      <c r="G440" s="1" t="s">
        <v>1139</v>
      </c>
      <c r="H440" s="1">
        <v>4.5</v>
      </c>
      <c r="I440" s="1" t="str" cm="1">
        <f t="array" ref="I440">_xlfn.IFS(a.nike.original.man[[#This Row],[Rating]]&lt;=2.9, "0 - 2.9",a.nike.original.man[[#This Row],[Rating]]&lt;=3.9,"3 - 3.9", a.nike.original.man[[#This Row],[Rating]]&lt;=5,"4 - 5")</f>
        <v>4 - 5</v>
      </c>
      <c r="J440" s="1">
        <v>6</v>
      </c>
      <c r="K440" s="1" t="str" cm="1">
        <f t="array" ref="K440">_xlfn.IFS(a.nike.original.man[[#This Row],[Reviews]]&lt;=7, "Below Average", a.nike.original.man[[#This Row],[Reviews]]&gt;=8, "Average +")</f>
        <v>Below Average</v>
      </c>
      <c r="L440" s="11" t="s">
        <v>1629</v>
      </c>
      <c r="M440" s="1" t="s">
        <v>1470</v>
      </c>
    </row>
    <row r="441" spans="1:13" x14ac:dyDescent="0.2">
      <c r="A441" s="2" t="s">
        <v>346</v>
      </c>
      <c r="B441" s="2" t="s">
        <v>347</v>
      </c>
      <c r="C441" s="331">
        <v>0</v>
      </c>
      <c r="D441" s="331">
        <v>60</v>
      </c>
      <c r="E441" s="116">
        <v>0</v>
      </c>
      <c r="F441" s="2" t="s">
        <v>9</v>
      </c>
      <c r="G441" s="2" t="s">
        <v>348</v>
      </c>
      <c r="H441" s="2">
        <v>0</v>
      </c>
      <c r="I441" s="2" t="str" cm="1">
        <f t="array" ref="I441">_xlfn.IFS(a.nike.original.man[[#This Row],[Rating]]&lt;=2.9, "0 - 2.9",a.nike.original.man[[#This Row],[Rating]]&lt;=3.9,"3 - 3.9", a.nike.original.man[[#This Row],[Rating]]&lt;=5,"4 - 5")</f>
        <v>0 - 2.9</v>
      </c>
      <c r="J441" s="2">
        <v>0</v>
      </c>
      <c r="K441" s="2" t="str" cm="1">
        <f t="array" ref="K441">_xlfn.IFS(a.nike.original.man[[#This Row],[Reviews]]&lt;=7, "Below Average", a.nike.original.man[[#This Row],[Reviews]]&gt;=8, "Average +")</f>
        <v>Below Average</v>
      </c>
      <c r="L441" s="12" t="s">
        <v>1629</v>
      </c>
      <c r="M441" s="2" t="s">
        <v>1470</v>
      </c>
    </row>
    <row r="442" spans="1:13" x14ac:dyDescent="0.2">
      <c r="A442" s="1" t="s">
        <v>462</v>
      </c>
      <c r="B442" s="1" t="s">
        <v>463</v>
      </c>
      <c r="C442" s="330">
        <v>0</v>
      </c>
      <c r="D442" s="330">
        <v>90</v>
      </c>
      <c r="E442" s="116">
        <v>0</v>
      </c>
      <c r="F442" s="1" t="s">
        <v>9</v>
      </c>
      <c r="G442" s="1" t="s">
        <v>464</v>
      </c>
      <c r="H442" s="1">
        <v>4.8</v>
      </c>
      <c r="I442" s="1" t="str" cm="1">
        <f t="array" ref="I442">_xlfn.IFS(a.nike.original.man[[#This Row],[Rating]]&lt;=2.9, "0 - 2.9",a.nike.original.man[[#This Row],[Rating]]&lt;=3.9,"3 - 3.9", a.nike.original.man[[#This Row],[Rating]]&lt;=5,"4 - 5")</f>
        <v>4 - 5</v>
      </c>
      <c r="J442" s="1">
        <v>4</v>
      </c>
      <c r="K442" s="1" t="str" cm="1">
        <f t="array" ref="K442">_xlfn.IFS(a.nike.original.man[[#This Row],[Reviews]]&lt;=7, "Below Average", a.nike.original.man[[#This Row],[Reviews]]&gt;=8, "Average +")</f>
        <v>Below Average</v>
      </c>
      <c r="L442" s="11" t="s">
        <v>1630</v>
      </c>
      <c r="M442" s="1" t="s">
        <v>1470</v>
      </c>
    </row>
    <row r="443" spans="1:13" x14ac:dyDescent="0.2">
      <c r="A443" s="1" t="s">
        <v>1140</v>
      </c>
      <c r="B443" s="1" t="s">
        <v>1141</v>
      </c>
      <c r="C443" s="330">
        <v>0</v>
      </c>
      <c r="D443" s="330">
        <v>75</v>
      </c>
      <c r="E443" s="116">
        <v>0</v>
      </c>
      <c r="F443" s="1" t="s">
        <v>9</v>
      </c>
      <c r="G443" s="1" t="s">
        <v>1142</v>
      </c>
      <c r="H443" s="1">
        <v>5</v>
      </c>
      <c r="I443" s="1" t="str" cm="1">
        <f t="array" ref="I443">_xlfn.IFS(a.nike.original.man[[#This Row],[Rating]]&lt;=2.9, "0 - 2.9",a.nike.original.man[[#This Row],[Rating]]&lt;=3.9,"3 - 3.9", a.nike.original.man[[#This Row],[Rating]]&lt;=5,"4 - 5")</f>
        <v>4 - 5</v>
      </c>
      <c r="J443" s="1">
        <v>1</v>
      </c>
      <c r="K443" s="1" t="str" cm="1">
        <f t="array" ref="K443">_xlfn.IFS(a.nike.original.man[[#This Row],[Reviews]]&lt;=7, "Below Average", a.nike.original.man[[#This Row],[Reviews]]&gt;=8, "Average +")</f>
        <v>Below Average</v>
      </c>
      <c r="L443" s="11" t="s">
        <v>1630</v>
      </c>
      <c r="M443" s="1" t="s">
        <v>1470</v>
      </c>
    </row>
    <row r="444" spans="1:13" x14ac:dyDescent="0.2">
      <c r="A444" s="2" t="s">
        <v>369</v>
      </c>
      <c r="B444" s="2" t="s">
        <v>370</v>
      </c>
      <c r="C444" s="331">
        <v>0</v>
      </c>
      <c r="D444" s="331">
        <v>90</v>
      </c>
      <c r="E444" s="116">
        <v>0</v>
      </c>
      <c r="F444" s="2" t="s">
        <v>9</v>
      </c>
      <c r="G444" s="2" t="s">
        <v>371</v>
      </c>
      <c r="H444" s="2">
        <v>0</v>
      </c>
      <c r="I444" s="2" t="str" cm="1">
        <f t="array" ref="I444">_xlfn.IFS(a.nike.original.man[[#This Row],[Rating]]&lt;=2.9, "0 - 2.9",a.nike.original.man[[#This Row],[Rating]]&lt;=3.9,"3 - 3.9", a.nike.original.man[[#This Row],[Rating]]&lt;=5,"4 - 5")</f>
        <v>0 - 2.9</v>
      </c>
      <c r="J444" s="2">
        <v>0</v>
      </c>
      <c r="K444" s="2" t="str" cm="1">
        <f t="array" ref="K444">_xlfn.IFS(a.nike.original.man[[#This Row],[Reviews]]&lt;=7, "Below Average", a.nike.original.man[[#This Row],[Reviews]]&gt;=8, "Average +")</f>
        <v>Below Average</v>
      </c>
      <c r="L444" s="12" t="s">
        <v>1630</v>
      </c>
      <c r="M444" s="2" t="s">
        <v>1470</v>
      </c>
    </row>
    <row r="445" spans="1:13" x14ac:dyDescent="0.2">
      <c r="A445" s="2" t="s">
        <v>343</v>
      </c>
      <c r="B445" s="2" t="s">
        <v>344</v>
      </c>
      <c r="C445" s="331">
        <v>0</v>
      </c>
      <c r="D445" s="331">
        <v>210</v>
      </c>
      <c r="E445" s="2">
        <v>0</v>
      </c>
      <c r="F445" s="2" t="s">
        <v>9</v>
      </c>
      <c r="G445" s="2" t="s">
        <v>345</v>
      </c>
      <c r="H445" s="2">
        <v>3.1</v>
      </c>
      <c r="I445" s="2" t="str" cm="1">
        <f t="array" ref="I445">_xlfn.IFS(a.nike.original.man[[#This Row],[Rating]]&lt;=2.9, "0 - 2.9",a.nike.original.man[[#This Row],[Rating]]&lt;=3.9,"3 - 3.9", a.nike.original.man[[#This Row],[Rating]]&lt;=5,"4 - 5")</f>
        <v>3 - 3.9</v>
      </c>
      <c r="J445" s="2">
        <v>7</v>
      </c>
      <c r="K445" s="2" t="str" cm="1">
        <f t="array" ref="K445">_xlfn.IFS(a.nike.original.man[[#This Row],[Reviews]]&lt;=7, "Below Average", a.nike.original.man[[#This Row],[Reviews]]&gt;=8, "Average +")</f>
        <v>Below Average</v>
      </c>
      <c r="L445" s="12" t="s">
        <v>1631</v>
      </c>
      <c r="M445" s="2" t="s">
        <v>1470</v>
      </c>
    </row>
    <row r="446" spans="1:13" x14ac:dyDescent="0.2">
      <c r="A446" s="2" t="s">
        <v>991</v>
      </c>
      <c r="B446" s="2" t="s">
        <v>992</v>
      </c>
      <c r="C446" s="331">
        <v>84.95</v>
      </c>
      <c r="D446" s="331">
        <v>59</v>
      </c>
      <c r="E446" s="116">
        <v>0.3</v>
      </c>
      <c r="F446" s="2" t="s">
        <v>9</v>
      </c>
      <c r="G446" s="2" t="s">
        <v>993</v>
      </c>
      <c r="H446" s="2">
        <v>4</v>
      </c>
      <c r="I446" s="2" t="str" cm="1">
        <f t="array" ref="I446">_xlfn.IFS(a.nike.original.man[[#This Row],[Rating]]&lt;=2.9, "0 - 2.9",a.nike.original.man[[#This Row],[Rating]]&lt;=3.9,"3 - 3.9", a.nike.original.man[[#This Row],[Rating]]&lt;=5,"4 - 5")</f>
        <v>4 - 5</v>
      </c>
      <c r="J446" s="2">
        <v>5</v>
      </c>
      <c r="K446" s="2" t="str" cm="1">
        <f t="array" ref="K446">_xlfn.IFS(a.nike.original.man[[#This Row],[Reviews]]&lt;=7, "Below Average", a.nike.original.man[[#This Row],[Reviews]]&gt;=8, "Average +")</f>
        <v>Below Average</v>
      </c>
      <c r="L446" s="12" t="s">
        <v>1631</v>
      </c>
      <c r="M446" s="2" t="s">
        <v>1470</v>
      </c>
    </row>
    <row r="447" spans="1:13" x14ac:dyDescent="0.2">
      <c r="A447" s="1" t="s">
        <v>1144</v>
      </c>
      <c r="B447" s="1" t="s">
        <v>1145</v>
      </c>
      <c r="C447" s="330">
        <v>0</v>
      </c>
      <c r="D447" s="330">
        <v>70</v>
      </c>
      <c r="E447" s="116">
        <v>0</v>
      </c>
      <c r="F447" s="1" t="s">
        <v>9</v>
      </c>
      <c r="G447" s="1" t="s">
        <v>1146</v>
      </c>
      <c r="H447" s="1">
        <v>3.4</v>
      </c>
      <c r="I447" s="1" t="str" cm="1">
        <f t="array" ref="I447">_xlfn.IFS(a.nike.original.man[[#This Row],[Rating]]&lt;=2.9, "0 - 2.9",a.nike.original.man[[#This Row],[Rating]]&lt;=3.9,"3 - 3.9", a.nike.original.man[[#This Row],[Rating]]&lt;=5,"4 - 5")</f>
        <v>3 - 3.9</v>
      </c>
      <c r="J447" s="1">
        <v>5</v>
      </c>
      <c r="K447" s="1" t="str" cm="1">
        <f t="array" ref="K447">_xlfn.IFS(a.nike.original.man[[#This Row],[Reviews]]&lt;=7, "Below Average", a.nike.original.man[[#This Row],[Reviews]]&gt;=8, "Average +")</f>
        <v>Below Average</v>
      </c>
      <c r="L447" s="11" t="s">
        <v>1631</v>
      </c>
      <c r="M447" s="1" t="s">
        <v>1470</v>
      </c>
    </row>
    <row r="448" spans="1:13" x14ac:dyDescent="0.2">
      <c r="A448" s="1" t="s">
        <v>132</v>
      </c>
      <c r="B448" s="1" t="s">
        <v>1143</v>
      </c>
      <c r="C448" s="330">
        <v>129.94999999999999</v>
      </c>
      <c r="D448" s="330">
        <v>78</v>
      </c>
      <c r="E448" s="116">
        <v>0.4</v>
      </c>
      <c r="F448" s="1" t="s">
        <v>9</v>
      </c>
      <c r="G448" s="1" t="s">
        <v>216</v>
      </c>
      <c r="H448" s="1">
        <v>4.2</v>
      </c>
      <c r="I448" s="1" t="str" cm="1">
        <f t="array" ref="I448">_xlfn.IFS(a.nike.original.man[[#This Row],[Rating]]&lt;=2.9, "0 - 2.9",a.nike.original.man[[#This Row],[Rating]]&lt;=3.9,"3 - 3.9", a.nike.original.man[[#This Row],[Rating]]&lt;=5,"4 - 5")</f>
        <v>4 - 5</v>
      </c>
      <c r="J448" s="1">
        <v>30</v>
      </c>
      <c r="K448" s="1" t="str" cm="1">
        <f t="array" ref="K448">_xlfn.IFS(a.nike.original.man[[#This Row],[Reviews]]&lt;=7, "Below Average", a.nike.original.man[[#This Row],[Reviews]]&gt;=8, "Average +")</f>
        <v>Average +</v>
      </c>
      <c r="L448" s="11" t="s">
        <v>1631</v>
      </c>
      <c r="M448" s="1" t="s">
        <v>1470</v>
      </c>
    </row>
    <row r="449" spans="1:13" x14ac:dyDescent="0.2">
      <c r="A449" s="2" t="s">
        <v>1147</v>
      </c>
      <c r="B449" s="2" t="s">
        <v>1148</v>
      </c>
      <c r="C449" s="331">
        <v>59.95</v>
      </c>
      <c r="D449" s="331">
        <v>42</v>
      </c>
      <c r="E449" s="116">
        <v>0.3</v>
      </c>
      <c r="F449" s="2" t="s">
        <v>9</v>
      </c>
      <c r="G449" s="2" t="s">
        <v>1149</v>
      </c>
      <c r="H449" s="2">
        <v>0</v>
      </c>
      <c r="I449" s="2" t="str" cm="1">
        <f t="array" ref="I449">_xlfn.IFS(a.nike.original.man[[#This Row],[Rating]]&lt;=2.9, "0 - 2.9",a.nike.original.man[[#This Row],[Rating]]&lt;=3.9,"3 - 3.9", a.nike.original.man[[#This Row],[Rating]]&lt;=5,"4 - 5")</f>
        <v>0 - 2.9</v>
      </c>
      <c r="J449" s="2">
        <v>0</v>
      </c>
      <c r="K449" s="2" t="str" cm="1">
        <f t="array" ref="K449">_xlfn.IFS(a.nike.original.man[[#This Row],[Reviews]]&lt;=7, "Below Average", a.nike.original.man[[#This Row],[Reviews]]&gt;=8, "Average +")</f>
        <v>Below Average</v>
      </c>
      <c r="L449" s="12" t="s">
        <v>1631</v>
      </c>
      <c r="M449" s="2" t="s">
        <v>1470</v>
      </c>
    </row>
    <row r="450" spans="1:13" x14ac:dyDescent="0.2">
      <c r="A450" s="1" t="s">
        <v>1150</v>
      </c>
      <c r="B450" s="1" t="s">
        <v>1151</v>
      </c>
      <c r="C450" s="330">
        <v>0</v>
      </c>
      <c r="D450" s="330">
        <v>110</v>
      </c>
      <c r="E450" s="116">
        <v>0</v>
      </c>
      <c r="F450" s="1" t="s">
        <v>9</v>
      </c>
      <c r="G450" s="1" t="s">
        <v>1152</v>
      </c>
      <c r="H450" s="1">
        <v>3</v>
      </c>
      <c r="I450" s="1" t="str" cm="1">
        <f t="array" ref="I450">_xlfn.IFS(a.nike.original.man[[#This Row],[Rating]]&lt;=2.9, "0 - 2.9",a.nike.original.man[[#This Row],[Rating]]&lt;=3.9,"3 - 3.9", a.nike.original.man[[#This Row],[Rating]]&lt;=5,"4 - 5")</f>
        <v>3 - 3.9</v>
      </c>
      <c r="J450" s="1">
        <v>2</v>
      </c>
      <c r="K450" s="1" t="str" cm="1">
        <f t="array" ref="K450">_xlfn.IFS(a.nike.original.man[[#This Row],[Reviews]]&lt;=7, "Below Average", a.nike.original.man[[#This Row],[Reviews]]&gt;=8, "Average +")</f>
        <v>Below Average</v>
      </c>
      <c r="L450" s="11" t="s">
        <v>1632</v>
      </c>
      <c r="M450" s="1" t="s">
        <v>1470</v>
      </c>
    </row>
    <row r="451" spans="1:13" x14ac:dyDescent="0.2">
      <c r="A451" s="2" t="s">
        <v>1153</v>
      </c>
      <c r="B451" s="2" t="s">
        <v>1154</v>
      </c>
      <c r="C451" s="331">
        <v>0</v>
      </c>
      <c r="D451" s="331">
        <v>150</v>
      </c>
      <c r="E451" s="116">
        <v>0</v>
      </c>
      <c r="F451" s="2" t="s">
        <v>9</v>
      </c>
      <c r="G451" s="2" t="s">
        <v>1155</v>
      </c>
      <c r="H451" s="2">
        <v>5</v>
      </c>
      <c r="I451" s="2" t="str" cm="1">
        <f t="array" ref="I451">_xlfn.IFS(a.nike.original.man[[#This Row],[Rating]]&lt;=2.9, "0 - 2.9",a.nike.original.man[[#This Row],[Rating]]&lt;=3.9,"3 - 3.9", a.nike.original.man[[#This Row],[Rating]]&lt;=5,"4 - 5")</f>
        <v>4 - 5</v>
      </c>
      <c r="J451" s="2">
        <v>1</v>
      </c>
      <c r="K451" s="2" t="str" cm="1">
        <f t="array" ref="K451">_xlfn.IFS(a.nike.original.man[[#This Row],[Reviews]]&lt;=7, "Below Average", a.nike.original.man[[#This Row],[Reviews]]&gt;=8, "Average +")</f>
        <v>Below Average</v>
      </c>
      <c r="L451" s="12" t="s">
        <v>1633</v>
      </c>
      <c r="M451" s="2" t="s">
        <v>1470</v>
      </c>
    </row>
    <row r="452" spans="1:13" x14ac:dyDescent="0.2">
      <c r="A452" s="1" t="s">
        <v>37</v>
      </c>
      <c r="B452" s="1" t="s">
        <v>1156</v>
      </c>
      <c r="C452" s="330">
        <v>139.94999999999999</v>
      </c>
      <c r="D452" s="330">
        <v>98</v>
      </c>
      <c r="E452" s="116">
        <v>0.3</v>
      </c>
      <c r="F452" s="1" t="s">
        <v>9</v>
      </c>
      <c r="G452" s="1" t="s">
        <v>1157</v>
      </c>
      <c r="H452" s="1">
        <v>5</v>
      </c>
      <c r="I452" s="1" t="str" cm="1">
        <f t="array" ref="I452">_xlfn.IFS(a.nike.original.man[[#This Row],[Rating]]&lt;=2.9, "0 - 2.9",a.nike.original.man[[#This Row],[Rating]]&lt;=3.9,"3 - 3.9", a.nike.original.man[[#This Row],[Rating]]&lt;=5,"4 - 5")</f>
        <v>4 - 5</v>
      </c>
      <c r="J452" s="1">
        <v>1</v>
      </c>
      <c r="K452" s="1" t="str" cm="1">
        <f t="array" ref="K452">_xlfn.IFS(a.nike.original.man[[#This Row],[Reviews]]&lt;=7, "Below Average", a.nike.original.man[[#This Row],[Reviews]]&gt;=8, "Average +")</f>
        <v>Below Average</v>
      </c>
      <c r="L452" s="11" t="s">
        <v>1633</v>
      </c>
      <c r="M452" s="1" t="s">
        <v>1470</v>
      </c>
    </row>
    <row r="453" spans="1:13" x14ac:dyDescent="0.2">
      <c r="A453" s="1" t="s">
        <v>315</v>
      </c>
      <c r="B453" s="1" t="s">
        <v>316</v>
      </c>
      <c r="C453" s="330">
        <v>0</v>
      </c>
      <c r="D453" s="330">
        <v>60</v>
      </c>
      <c r="E453" s="116">
        <v>0</v>
      </c>
      <c r="F453" s="1" t="s">
        <v>9</v>
      </c>
      <c r="G453" s="1" t="s">
        <v>317</v>
      </c>
      <c r="H453" s="1">
        <v>0</v>
      </c>
      <c r="I453" s="1" t="str" cm="1">
        <f t="array" ref="I453">_xlfn.IFS(a.nike.original.man[[#This Row],[Rating]]&lt;=2.9, "0 - 2.9",a.nike.original.man[[#This Row],[Rating]]&lt;=3.9,"3 - 3.9", a.nike.original.man[[#This Row],[Rating]]&lt;=5,"4 - 5")</f>
        <v>0 - 2.9</v>
      </c>
      <c r="J453" s="1">
        <v>0</v>
      </c>
      <c r="K453" s="1" t="str" cm="1">
        <f t="array" ref="K453">_xlfn.IFS(a.nike.original.man[[#This Row],[Reviews]]&lt;=7, "Below Average", a.nike.original.man[[#This Row],[Reviews]]&gt;=8, "Average +")</f>
        <v>Below Average</v>
      </c>
      <c r="L453" s="11" t="s">
        <v>1634</v>
      </c>
      <c r="M453" s="1" t="s">
        <v>1470</v>
      </c>
    </row>
    <row r="454" spans="1:13" x14ac:dyDescent="0.2">
      <c r="A454" s="2" t="s">
        <v>1158</v>
      </c>
      <c r="B454" s="2" t="s">
        <v>1159</v>
      </c>
      <c r="C454" s="331">
        <v>29.95</v>
      </c>
      <c r="D454" s="331">
        <v>24</v>
      </c>
      <c r="E454" s="116">
        <v>0.2</v>
      </c>
      <c r="F454" s="2" t="s">
        <v>9</v>
      </c>
      <c r="G454" s="2" t="s">
        <v>1160</v>
      </c>
      <c r="H454" s="2">
        <v>4.0999999999999996</v>
      </c>
      <c r="I454" s="2" t="str" cm="1">
        <f t="array" ref="I454">_xlfn.IFS(a.nike.original.man[[#This Row],[Rating]]&lt;=2.9, "0 - 2.9",a.nike.original.man[[#This Row],[Rating]]&lt;=3.9,"3 - 3.9", a.nike.original.man[[#This Row],[Rating]]&lt;=5,"4 - 5")</f>
        <v>4 - 5</v>
      </c>
      <c r="J454" s="2">
        <v>8</v>
      </c>
      <c r="K454" s="2" t="str" cm="1">
        <f t="array" ref="K454">_xlfn.IFS(a.nike.original.man[[#This Row],[Reviews]]&lt;=7, "Below Average", a.nike.original.man[[#This Row],[Reviews]]&gt;=8, "Average +")</f>
        <v>Average +</v>
      </c>
      <c r="L454" s="12" t="s">
        <v>1634</v>
      </c>
      <c r="M454" s="2" t="s">
        <v>1470</v>
      </c>
    </row>
    <row r="455" spans="1:13" x14ac:dyDescent="0.2">
      <c r="A455" s="1" t="s">
        <v>903</v>
      </c>
      <c r="B455" s="1" t="s">
        <v>1161</v>
      </c>
      <c r="C455" s="330">
        <v>129.94999999999999</v>
      </c>
      <c r="D455" s="330">
        <v>104</v>
      </c>
      <c r="E455" s="116">
        <v>0.2</v>
      </c>
      <c r="F455" s="1" t="s">
        <v>9</v>
      </c>
      <c r="G455" s="1" t="s">
        <v>905</v>
      </c>
      <c r="H455" s="1">
        <v>4.2</v>
      </c>
      <c r="I455" s="1" t="str" cm="1">
        <f t="array" ref="I455">_xlfn.IFS(a.nike.original.man[[#This Row],[Rating]]&lt;=2.9, "0 - 2.9",a.nike.original.man[[#This Row],[Rating]]&lt;=3.9,"3 - 3.9", a.nike.original.man[[#This Row],[Rating]]&lt;=5,"4 - 5")</f>
        <v>4 - 5</v>
      </c>
      <c r="J455" s="1">
        <v>45</v>
      </c>
      <c r="K455" s="1" t="str" cm="1">
        <f t="array" ref="K455">_xlfn.IFS(a.nike.original.man[[#This Row],[Reviews]]&lt;=7, "Below Average", a.nike.original.man[[#This Row],[Reviews]]&gt;=8, "Average +")</f>
        <v>Average +</v>
      </c>
      <c r="L455" s="11" t="s">
        <v>1635</v>
      </c>
      <c r="M455" s="1" t="s">
        <v>1470</v>
      </c>
    </row>
    <row r="456" spans="1:13" x14ac:dyDescent="0.2">
      <c r="A456" s="2" t="s">
        <v>1114</v>
      </c>
      <c r="B456" s="2" t="s">
        <v>1115</v>
      </c>
      <c r="C456" s="331">
        <v>0</v>
      </c>
      <c r="D456" s="331">
        <v>45</v>
      </c>
      <c r="E456" s="116">
        <v>0</v>
      </c>
      <c r="F456" s="2" t="s">
        <v>9</v>
      </c>
      <c r="G456" s="2" t="s">
        <v>1116</v>
      </c>
      <c r="H456" s="2">
        <v>5</v>
      </c>
      <c r="I456" s="2" t="str" cm="1">
        <f t="array" ref="I456">_xlfn.IFS(a.nike.original.man[[#This Row],[Rating]]&lt;=2.9, "0 - 2.9",a.nike.original.man[[#This Row],[Rating]]&lt;=3.9,"3 - 3.9", a.nike.original.man[[#This Row],[Rating]]&lt;=5,"4 - 5")</f>
        <v>4 - 5</v>
      </c>
      <c r="J456" s="2">
        <v>1</v>
      </c>
      <c r="K456" s="2" t="str" cm="1">
        <f t="array" ref="K456">_xlfn.IFS(a.nike.original.man[[#This Row],[Reviews]]&lt;=7, "Below Average", a.nike.original.man[[#This Row],[Reviews]]&gt;=8, "Average +")</f>
        <v>Below Average</v>
      </c>
      <c r="L456" s="12" t="s">
        <v>1635</v>
      </c>
      <c r="M456" s="2" t="s">
        <v>1470</v>
      </c>
    </row>
    <row r="457" spans="1:13" x14ac:dyDescent="0.2">
      <c r="A457" s="2" t="s">
        <v>517</v>
      </c>
      <c r="B457" s="2" t="s">
        <v>518</v>
      </c>
      <c r="C457" s="331">
        <v>59.95</v>
      </c>
      <c r="D457" s="331">
        <v>45</v>
      </c>
      <c r="E457" s="116">
        <v>0.25</v>
      </c>
      <c r="F457" s="2" t="s">
        <v>9</v>
      </c>
      <c r="G457" s="2" t="s">
        <v>519</v>
      </c>
      <c r="H457" s="2">
        <v>5</v>
      </c>
      <c r="I457" s="2" t="str" cm="1">
        <f t="array" ref="I457">_xlfn.IFS(a.nike.original.man[[#This Row],[Rating]]&lt;=2.9, "0 - 2.9",a.nike.original.man[[#This Row],[Rating]]&lt;=3.9,"3 - 3.9", a.nike.original.man[[#This Row],[Rating]]&lt;=5,"4 - 5")</f>
        <v>4 - 5</v>
      </c>
      <c r="J457" s="2">
        <v>1</v>
      </c>
      <c r="K457" s="2" t="str" cm="1">
        <f t="array" ref="K457">_xlfn.IFS(a.nike.original.man[[#This Row],[Reviews]]&lt;=7, "Below Average", a.nike.original.man[[#This Row],[Reviews]]&gt;=8, "Average +")</f>
        <v>Below Average</v>
      </c>
      <c r="L457" s="12" t="s">
        <v>1636</v>
      </c>
      <c r="M457" s="2" t="s">
        <v>1470</v>
      </c>
    </row>
    <row r="458" spans="1:13" x14ac:dyDescent="0.2">
      <c r="A458" s="2" t="s">
        <v>1164</v>
      </c>
      <c r="B458" s="2" t="s">
        <v>1165</v>
      </c>
      <c r="C458" s="331">
        <v>0</v>
      </c>
      <c r="D458" s="331">
        <v>100</v>
      </c>
      <c r="E458" s="116">
        <v>0</v>
      </c>
      <c r="F458" s="2" t="s">
        <v>9</v>
      </c>
      <c r="G458" s="2" t="s">
        <v>1166</v>
      </c>
      <c r="H458" s="2">
        <v>5</v>
      </c>
      <c r="I458" s="2" t="str" cm="1">
        <f t="array" ref="I458">_xlfn.IFS(a.nike.original.man[[#This Row],[Rating]]&lt;=2.9, "0 - 2.9",a.nike.original.man[[#This Row],[Rating]]&lt;=3.9,"3 - 3.9", a.nike.original.man[[#This Row],[Rating]]&lt;=5,"4 - 5")</f>
        <v>4 - 5</v>
      </c>
      <c r="J458" s="2">
        <v>1</v>
      </c>
      <c r="K458" s="2" t="str" cm="1">
        <f t="array" ref="K458">_xlfn.IFS(a.nike.original.man[[#This Row],[Reviews]]&lt;=7, "Below Average", a.nike.original.man[[#This Row],[Reviews]]&gt;=8, "Average +")</f>
        <v>Below Average</v>
      </c>
      <c r="L458" s="12" t="s">
        <v>1636</v>
      </c>
      <c r="M458" s="2" t="s">
        <v>1470</v>
      </c>
    </row>
    <row r="459" spans="1:13" x14ac:dyDescent="0.2">
      <c r="A459" s="1" t="s">
        <v>422</v>
      </c>
      <c r="B459" s="1" t="s">
        <v>423</v>
      </c>
      <c r="C459" s="330">
        <v>89.95</v>
      </c>
      <c r="D459" s="330">
        <v>72</v>
      </c>
      <c r="E459" s="116">
        <v>0.2</v>
      </c>
      <c r="F459" s="1" t="s">
        <v>9</v>
      </c>
      <c r="G459" s="1" t="s">
        <v>424</v>
      </c>
      <c r="H459" s="1">
        <v>3</v>
      </c>
      <c r="I459" s="1" t="str" cm="1">
        <f t="array" ref="I459">_xlfn.IFS(a.nike.original.man[[#This Row],[Rating]]&lt;=2.9, "0 - 2.9",a.nike.original.man[[#This Row],[Rating]]&lt;=3.9,"3 - 3.9", a.nike.original.man[[#This Row],[Rating]]&lt;=5,"4 - 5")</f>
        <v>3 - 3.9</v>
      </c>
      <c r="J459" s="1">
        <v>1</v>
      </c>
      <c r="K459" s="1" t="str" cm="1">
        <f t="array" ref="K459">_xlfn.IFS(a.nike.original.man[[#This Row],[Reviews]]&lt;=7, "Below Average", a.nike.original.man[[#This Row],[Reviews]]&gt;=8, "Average +")</f>
        <v>Below Average</v>
      </c>
      <c r="L459" s="11" t="s">
        <v>1636</v>
      </c>
      <c r="M459" s="1" t="s">
        <v>1470</v>
      </c>
    </row>
    <row r="460" spans="1:13" x14ac:dyDescent="0.2">
      <c r="A460" s="1" t="s">
        <v>56</v>
      </c>
      <c r="B460" s="1" t="s">
        <v>1162</v>
      </c>
      <c r="C460" s="330">
        <v>169.95</v>
      </c>
      <c r="D460" s="330">
        <v>119</v>
      </c>
      <c r="E460" s="116">
        <v>0.3</v>
      </c>
      <c r="F460" s="1" t="s">
        <v>9</v>
      </c>
      <c r="G460" s="1" t="s">
        <v>1163</v>
      </c>
      <c r="H460" s="1">
        <v>4.3</v>
      </c>
      <c r="I460" s="1" t="str" cm="1">
        <f t="array" ref="I460">_xlfn.IFS(a.nike.original.man[[#This Row],[Rating]]&lt;=2.9, "0 - 2.9",a.nike.original.man[[#This Row],[Rating]]&lt;=3.9,"3 - 3.9", a.nike.original.man[[#This Row],[Rating]]&lt;=5,"4 - 5")</f>
        <v>4 - 5</v>
      </c>
      <c r="J460" s="1">
        <v>17</v>
      </c>
      <c r="K460" s="1" t="str" cm="1">
        <f t="array" ref="K460">_xlfn.IFS(a.nike.original.man[[#This Row],[Reviews]]&lt;=7, "Below Average", a.nike.original.man[[#This Row],[Reviews]]&gt;=8, "Average +")</f>
        <v>Average +</v>
      </c>
      <c r="L460" s="11" t="s">
        <v>1636</v>
      </c>
      <c r="M460" s="1" t="s">
        <v>1470</v>
      </c>
    </row>
    <row r="461" spans="1:13" x14ac:dyDescent="0.2">
      <c r="A461" s="2" t="s">
        <v>468</v>
      </c>
      <c r="B461" s="2" t="s">
        <v>1167</v>
      </c>
      <c r="C461" s="331">
        <v>89.95</v>
      </c>
      <c r="D461" s="331">
        <v>72</v>
      </c>
      <c r="E461" s="116">
        <v>0.2</v>
      </c>
      <c r="F461" s="2" t="s">
        <v>9</v>
      </c>
      <c r="G461" s="2" t="s">
        <v>1168</v>
      </c>
      <c r="H461" s="2">
        <v>3</v>
      </c>
      <c r="I461" s="2" t="str" cm="1">
        <f t="array" ref="I461">_xlfn.IFS(a.nike.original.man[[#This Row],[Rating]]&lt;=2.9, "0 - 2.9",a.nike.original.man[[#This Row],[Rating]]&lt;=3.9,"3 - 3.9", a.nike.original.man[[#This Row],[Rating]]&lt;=5,"4 - 5")</f>
        <v>3 - 3.9</v>
      </c>
      <c r="J461" s="2">
        <v>1</v>
      </c>
      <c r="K461" s="2" t="str" cm="1">
        <f t="array" ref="K461">_xlfn.IFS(a.nike.original.man[[#This Row],[Reviews]]&lt;=7, "Below Average", a.nike.original.man[[#This Row],[Reviews]]&gt;=8, "Average +")</f>
        <v>Below Average</v>
      </c>
      <c r="L461" s="12" t="s">
        <v>1637</v>
      </c>
      <c r="M461" s="2" t="s">
        <v>1470</v>
      </c>
    </row>
    <row r="462" spans="1:13" x14ac:dyDescent="0.2">
      <c r="A462" s="2" t="s">
        <v>586</v>
      </c>
      <c r="B462" s="2" t="s">
        <v>1172</v>
      </c>
      <c r="C462" s="331">
        <v>129.94999999999999</v>
      </c>
      <c r="D462" s="331">
        <v>78</v>
      </c>
      <c r="E462" s="116">
        <v>0.4</v>
      </c>
      <c r="F462" s="2" t="s">
        <v>9</v>
      </c>
      <c r="G462" s="2" t="s">
        <v>1173</v>
      </c>
      <c r="H462" s="2">
        <v>4.9000000000000004</v>
      </c>
      <c r="I462" s="2" t="str" cm="1">
        <f t="array" ref="I462">_xlfn.IFS(a.nike.original.man[[#This Row],[Rating]]&lt;=2.9, "0 - 2.9",a.nike.original.man[[#This Row],[Rating]]&lt;=3.9,"3 - 3.9", a.nike.original.man[[#This Row],[Rating]]&lt;=5,"4 - 5")</f>
        <v>4 - 5</v>
      </c>
      <c r="J462" s="2">
        <v>17</v>
      </c>
      <c r="K462" s="2" t="str" cm="1">
        <f t="array" ref="K462">_xlfn.IFS(a.nike.original.man[[#This Row],[Reviews]]&lt;=7, "Below Average", a.nike.original.man[[#This Row],[Reviews]]&gt;=8, "Average +")</f>
        <v>Average +</v>
      </c>
      <c r="L462" s="12" t="s">
        <v>1637</v>
      </c>
      <c r="M462" s="2" t="s">
        <v>1470</v>
      </c>
    </row>
    <row r="463" spans="1:13" x14ac:dyDescent="0.2">
      <c r="A463" s="1" t="s">
        <v>1169</v>
      </c>
      <c r="B463" s="1" t="s">
        <v>1170</v>
      </c>
      <c r="C463" s="330">
        <v>139.94999999999999</v>
      </c>
      <c r="D463" s="330">
        <v>98</v>
      </c>
      <c r="E463" s="116">
        <v>0.3</v>
      </c>
      <c r="F463" s="1" t="s">
        <v>9</v>
      </c>
      <c r="G463" s="1" t="s">
        <v>1171</v>
      </c>
      <c r="H463" s="1">
        <v>0</v>
      </c>
      <c r="I463" s="1" t="str" cm="1">
        <f t="array" ref="I463">_xlfn.IFS(a.nike.original.man[[#This Row],[Rating]]&lt;=2.9, "0 - 2.9",a.nike.original.man[[#This Row],[Rating]]&lt;=3.9,"3 - 3.9", a.nike.original.man[[#This Row],[Rating]]&lt;=5,"4 - 5")</f>
        <v>0 - 2.9</v>
      </c>
      <c r="J463" s="1">
        <v>0</v>
      </c>
      <c r="K463" s="1" t="str" cm="1">
        <f t="array" ref="K463">_xlfn.IFS(a.nike.original.man[[#This Row],[Reviews]]&lt;=7, "Below Average", a.nike.original.man[[#This Row],[Reviews]]&gt;=8, "Average +")</f>
        <v>Below Average</v>
      </c>
      <c r="L463" s="11" t="s">
        <v>1637</v>
      </c>
      <c r="M463" s="1" t="s">
        <v>1470</v>
      </c>
    </row>
    <row r="464" spans="1:13" x14ac:dyDescent="0.2">
      <c r="A464" s="1" t="s">
        <v>541</v>
      </c>
      <c r="B464" s="1" t="s">
        <v>542</v>
      </c>
      <c r="C464" s="330">
        <v>0</v>
      </c>
      <c r="D464" s="330">
        <v>80</v>
      </c>
      <c r="E464" s="116">
        <v>0</v>
      </c>
      <c r="F464" s="1" t="s">
        <v>9</v>
      </c>
      <c r="G464" s="1" t="s">
        <v>543</v>
      </c>
      <c r="H464" s="1">
        <v>0</v>
      </c>
      <c r="I464" s="1" t="str" cm="1">
        <f t="array" ref="I464">_xlfn.IFS(a.nike.original.man[[#This Row],[Rating]]&lt;=2.9, "0 - 2.9",a.nike.original.man[[#This Row],[Rating]]&lt;=3.9,"3 - 3.9", a.nike.original.man[[#This Row],[Rating]]&lt;=5,"4 - 5")</f>
        <v>0 - 2.9</v>
      </c>
      <c r="J464" s="1">
        <v>0</v>
      </c>
      <c r="K464" s="1" t="str" cm="1">
        <f t="array" ref="K464">_xlfn.IFS(a.nike.original.man[[#This Row],[Reviews]]&lt;=7, "Below Average", a.nike.original.man[[#This Row],[Reviews]]&gt;=8, "Average +")</f>
        <v>Below Average</v>
      </c>
      <c r="L464" s="11" t="s">
        <v>1637</v>
      </c>
      <c r="M464" s="1" t="s">
        <v>1470</v>
      </c>
    </row>
    <row r="465" spans="1:13" x14ac:dyDescent="0.2">
      <c r="A465" s="2" t="s">
        <v>1174</v>
      </c>
      <c r="B465" s="2" t="s">
        <v>1175</v>
      </c>
      <c r="C465" s="331">
        <v>169.95</v>
      </c>
      <c r="D465" s="331">
        <v>136</v>
      </c>
      <c r="E465" s="116">
        <v>0.2</v>
      </c>
      <c r="F465" s="2" t="s">
        <v>9</v>
      </c>
      <c r="G465" s="2" t="s">
        <v>1176</v>
      </c>
      <c r="H465" s="2">
        <v>0</v>
      </c>
      <c r="I465" s="2" t="str" cm="1">
        <f t="array" ref="I465">_xlfn.IFS(a.nike.original.man[[#This Row],[Rating]]&lt;=2.9, "0 - 2.9",a.nike.original.man[[#This Row],[Rating]]&lt;=3.9,"3 - 3.9", a.nike.original.man[[#This Row],[Rating]]&lt;=5,"4 - 5")</f>
        <v>0 - 2.9</v>
      </c>
      <c r="J465" s="2">
        <v>0</v>
      </c>
      <c r="K465" s="2" t="str" cm="1">
        <f t="array" ref="K465">_xlfn.IFS(a.nike.original.man[[#This Row],[Reviews]]&lt;=7, "Below Average", a.nike.original.man[[#This Row],[Reviews]]&gt;=8, "Average +")</f>
        <v>Below Average</v>
      </c>
      <c r="L465" s="12" t="s">
        <v>1637</v>
      </c>
      <c r="M465" s="2" t="s">
        <v>1470</v>
      </c>
    </row>
    <row r="466" spans="1:13" x14ac:dyDescent="0.2">
      <c r="A466" s="1" t="s">
        <v>1036</v>
      </c>
      <c r="B466" s="1" t="s">
        <v>1037</v>
      </c>
      <c r="C466" s="330">
        <v>0</v>
      </c>
      <c r="D466" s="330">
        <v>80</v>
      </c>
      <c r="E466" s="116">
        <v>0</v>
      </c>
      <c r="F466" s="1" t="s">
        <v>9</v>
      </c>
      <c r="G466" s="1" t="s">
        <v>1038</v>
      </c>
      <c r="H466" s="1">
        <v>5</v>
      </c>
      <c r="I466" s="1" t="str" cm="1">
        <f t="array" ref="I466">_xlfn.IFS(a.nike.original.man[[#This Row],[Rating]]&lt;=2.9, "0 - 2.9",a.nike.original.man[[#This Row],[Rating]]&lt;=3.9,"3 - 3.9", a.nike.original.man[[#This Row],[Rating]]&lt;=5,"4 - 5")</f>
        <v>4 - 5</v>
      </c>
      <c r="J466" s="1">
        <v>1</v>
      </c>
      <c r="K466" s="1" t="str" cm="1">
        <f t="array" ref="K466">_xlfn.IFS(a.nike.original.man[[#This Row],[Reviews]]&lt;=7, "Below Average", a.nike.original.man[[#This Row],[Reviews]]&gt;=8, "Average +")</f>
        <v>Below Average</v>
      </c>
      <c r="L466" s="11" t="s">
        <v>1638</v>
      </c>
      <c r="M466" s="1" t="s">
        <v>1470</v>
      </c>
    </row>
    <row r="467" spans="1:13" x14ac:dyDescent="0.2">
      <c r="A467" s="2" t="s">
        <v>120</v>
      </c>
      <c r="B467" s="2" t="s">
        <v>1177</v>
      </c>
      <c r="C467" s="331">
        <v>0</v>
      </c>
      <c r="D467" s="331">
        <v>100</v>
      </c>
      <c r="E467" s="116">
        <v>0</v>
      </c>
      <c r="F467" s="2" t="s">
        <v>9</v>
      </c>
      <c r="G467" s="2" t="s">
        <v>1178</v>
      </c>
      <c r="H467" s="2">
        <v>0</v>
      </c>
      <c r="I467" s="2" t="str" cm="1">
        <f t="array" ref="I467">_xlfn.IFS(a.nike.original.man[[#This Row],[Rating]]&lt;=2.9, "0 - 2.9",a.nike.original.man[[#This Row],[Rating]]&lt;=3.9,"3 - 3.9", a.nike.original.man[[#This Row],[Rating]]&lt;=5,"4 - 5")</f>
        <v>0 - 2.9</v>
      </c>
      <c r="J467" s="2">
        <v>0</v>
      </c>
      <c r="K467" s="2" t="str" cm="1">
        <f t="array" ref="K467">_xlfn.IFS(a.nike.original.man[[#This Row],[Reviews]]&lt;=7, "Below Average", a.nike.original.man[[#This Row],[Reviews]]&gt;=8, "Average +")</f>
        <v>Below Average</v>
      </c>
      <c r="L467" s="12" t="s">
        <v>1638</v>
      </c>
      <c r="M467" s="2" t="s">
        <v>1470</v>
      </c>
    </row>
    <row r="468" spans="1:13" x14ac:dyDescent="0.2">
      <c r="A468" s="2" t="s">
        <v>1182</v>
      </c>
      <c r="B468" s="2" t="s">
        <v>1183</v>
      </c>
      <c r="C468" s="331">
        <v>0</v>
      </c>
      <c r="D468" s="331">
        <v>90</v>
      </c>
      <c r="E468" s="116">
        <v>0</v>
      </c>
      <c r="F468" s="2" t="s">
        <v>9</v>
      </c>
      <c r="G468" s="2" t="s">
        <v>1184</v>
      </c>
      <c r="H468" s="2">
        <v>4</v>
      </c>
      <c r="I468" s="2" t="str" cm="1">
        <f t="array" ref="I468">_xlfn.IFS(a.nike.original.man[[#This Row],[Rating]]&lt;=2.9, "0 - 2.9",a.nike.original.man[[#This Row],[Rating]]&lt;=3.9,"3 - 3.9", a.nike.original.man[[#This Row],[Rating]]&lt;=5,"4 - 5")</f>
        <v>4 - 5</v>
      </c>
      <c r="J468" s="2">
        <v>9</v>
      </c>
      <c r="K468" s="2" t="str" cm="1">
        <f t="array" ref="K468">_xlfn.IFS(a.nike.original.man[[#This Row],[Reviews]]&lt;=7, "Below Average", a.nike.original.man[[#This Row],[Reviews]]&gt;=8, "Average +")</f>
        <v>Average +</v>
      </c>
      <c r="L468" s="12" t="s">
        <v>1638</v>
      </c>
      <c r="M468" s="2" t="s">
        <v>1470</v>
      </c>
    </row>
    <row r="469" spans="1:13" x14ac:dyDescent="0.2">
      <c r="A469" s="1" t="s">
        <v>1179</v>
      </c>
      <c r="B469" s="1" t="s">
        <v>1180</v>
      </c>
      <c r="C469" s="330">
        <v>0</v>
      </c>
      <c r="D469" s="330">
        <v>230</v>
      </c>
      <c r="E469" s="116">
        <v>0</v>
      </c>
      <c r="F469" s="1" t="s">
        <v>9</v>
      </c>
      <c r="G469" s="1" t="s">
        <v>1181</v>
      </c>
      <c r="H469" s="1">
        <v>4.3</v>
      </c>
      <c r="I469" s="1" t="str" cm="1">
        <f t="array" ref="I469">_xlfn.IFS(a.nike.original.man[[#This Row],[Rating]]&lt;=2.9, "0 - 2.9",a.nike.original.man[[#This Row],[Rating]]&lt;=3.9,"3 - 3.9", a.nike.original.man[[#This Row],[Rating]]&lt;=5,"4 - 5")</f>
        <v>4 - 5</v>
      </c>
      <c r="J469" s="1">
        <v>8</v>
      </c>
      <c r="K469" s="1" t="str" cm="1">
        <f t="array" ref="K469">_xlfn.IFS(a.nike.original.man[[#This Row],[Reviews]]&lt;=7, "Below Average", a.nike.original.man[[#This Row],[Reviews]]&gt;=8, "Average +")</f>
        <v>Average +</v>
      </c>
      <c r="L469" s="11" t="s">
        <v>1638</v>
      </c>
      <c r="M469" s="1" t="s">
        <v>1470</v>
      </c>
    </row>
    <row r="470" spans="1:13" x14ac:dyDescent="0.2">
      <c r="A470" s="1" t="s">
        <v>1185</v>
      </c>
      <c r="B470" s="1" t="s">
        <v>1186</v>
      </c>
      <c r="C470" s="330">
        <v>109.95</v>
      </c>
      <c r="D470" s="330">
        <v>66</v>
      </c>
      <c r="E470" s="116">
        <v>0.4</v>
      </c>
      <c r="F470" s="1" t="s">
        <v>9</v>
      </c>
      <c r="G470" s="1" t="s">
        <v>1187</v>
      </c>
      <c r="H470" s="1">
        <v>5</v>
      </c>
      <c r="I470" s="1" t="str" cm="1">
        <f t="array" ref="I470">_xlfn.IFS(a.nike.original.man[[#This Row],[Rating]]&lt;=2.9, "0 - 2.9",a.nike.original.man[[#This Row],[Rating]]&lt;=3.9,"3 - 3.9", a.nike.original.man[[#This Row],[Rating]]&lt;=5,"4 - 5")</f>
        <v>4 - 5</v>
      </c>
      <c r="J470" s="1">
        <v>5</v>
      </c>
      <c r="K470" s="1" t="str" cm="1">
        <f t="array" ref="K470">_xlfn.IFS(a.nike.original.man[[#This Row],[Reviews]]&lt;=7, "Below Average", a.nike.original.man[[#This Row],[Reviews]]&gt;=8, "Average +")</f>
        <v>Below Average</v>
      </c>
      <c r="L470" s="11" t="s">
        <v>1639</v>
      </c>
      <c r="M470" s="1" t="s">
        <v>1470</v>
      </c>
    </row>
    <row r="471" spans="1:13" x14ac:dyDescent="0.2">
      <c r="A471" s="1" t="s">
        <v>1189</v>
      </c>
      <c r="B471" s="1" t="s">
        <v>1190</v>
      </c>
      <c r="C471" s="330">
        <v>47.95</v>
      </c>
      <c r="D471" s="330">
        <v>34</v>
      </c>
      <c r="E471" s="116">
        <v>0.3</v>
      </c>
      <c r="F471" s="1" t="s">
        <v>9</v>
      </c>
      <c r="G471" s="1" t="s">
        <v>1191</v>
      </c>
      <c r="H471" s="1">
        <v>4.2</v>
      </c>
      <c r="I471" s="1" t="str" cm="1">
        <f t="array" ref="I471">_xlfn.IFS(a.nike.original.man[[#This Row],[Rating]]&lt;=2.9, "0 - 2.9",a.nike.original.man[[#This Row],[Rating]]&lt;=3.9,"3 - 3.9", a.nike.original.man[[#This Row],[Rating]]&lt;=5,"4 - 5")</f>
        <v>4 - 5</v>
      </c>
      <c r="J471" s="1">
        <v>25</v>
      </c>
      <c r="K471" s="1" t="str" cm="1">
        <f t="array" ref="K471">_xlfn.IFS(a.nike.original.man[[#This Row],[Reviews]]&lt;=7, "Below Average", a.nike.original.man[[#This Row],[Reviews]]&gt;=8, "Average +")</f>
        <v>Average +</v>
      </c>
      <c r="L471" s="11" t="s">
        <v>1639</v>
      </c>
      <c r="M471" s="1" t="s">
        <v>1470</v>
      </c>
    </row>
    <row r="472" spans="1:13" x14ac:dyDescent="0.2">
      <c r="A472" s="2" t="s">
        <v>716</v>
      </c>
      <c r="B472" s="2" t="s">
        <v>1188</v>
      </c>
      <c r="C472" s="331">
        <v>64.95</v>
      </c>
      <c r="D472" s="331">
        <v>45</v>
      </c>
      <c r="E472" s="116">
        <v>0.3</v>
      </c>
      <c r="F472" s="2" t="s">
        <v>9</v>
      </c>
      <c r="G472" s="2" t="s">
        <v>718</v>
      </c>
      <c r="H472" s="2">
        <v>2</v>
      </c>
      <c r="I472" s="2" t="str" cm="1">
        <f t="array" ref="I472">_xlfn.IFS(a.nike.original.man[[#This Row],[Rating]]&lt;=2.9, "0 - 2.9",a.nike.original.man[[#This Row],[Rating]]&lt;=3.9,"3 - 3.9", a.nike.original.man[[#This Row],[Rating]]&lt;=5,"4 - 5")</f>
        <v>0 - 2.9</v>
      </c>
      <c r="J472" s="2">
        <v>1</v>
      </c>
      <c r="K472" s="2" t="str" cm="1">
        <f t="array" ref="K472">_xlfn.IFS(a.nike.original.man[[#This Row],[Reviews]]&lt;=7, "Below Average", a.nike.original.man[[#This Row],[Reviews]]&gt;=8, "Average +")</f>
        <v>Below Average</v>
      </c>
      <c r="L472" s="12" t="s">
        <v>1639</v>
      </c>
      <c r="M472" s="2" t="s">
        <v>1470</v>
      </c>
    </row>
    <row r="473" spans="1:13" x14ac:dyDescent="0.2">
      <c r="A473" s="2" t="s">
        <v>1192</v>
      </c>
      <c r="B473" s="2" t="s">
        <v>1193</v>
      </c>
      <c r="C473" s="331">
        <v>0</v>
      </c>
      <c r="D473" s="331">
        <v>130</v>
      </c>
      <c r="E473" s="116">
        <v>0</v>
      </c>
      <c r="F473" s="2" t="s">
        <v>9</v>
      </c>
      <c r="G473" s="2" t="s">
        <v>1194</v>
      </c>
      <c r="H473" s="2">
        <v>4</v>
      </c>
      <c r="I473" s="2" t="str" cm="1">
        <f t="array" ref="I473">_xlfn.IFS(a.nike.original.man[[#This Row],[Rating]]&lt;=2.9, "0 - 2.9",a.nike.original.man[[#This Row],[Rating]]&lt;=3.9,"3 - 3.9", a.nike.original.man[[#This Row],[Rating]]&lt;=5,"4 - 5")</f>
        <v>4 - 5</v>
      </c>
      <c r="J473" s="2">
        <v>1</v>
      </c>
      <c r="K473" s="2" t="str" cm="1">
        <f t="array" ref="K473">_xlfn.IFS(a.nike.original.man[[#This Row],[Reviews]]&lt;=7, "Below Average", a.nike.original.man[[#This Row],[Reviews]]&gt;=8, "Average +")</f>
        <v>Below Average</v>
      </c>
      <c r="L473" s="12" t="s">
        <v>1639</v>
      </c>
      <c r="M473" s="2" t="s">
        <v>1470</v>
      </c>
    </row>
    <row r="474" spans="1:13" x14ac:dyDescent="0.2">
      <c r="A474" s="1" t="s">
        <v>389</v>
      </c>
      <c r="B474" s="1" t="s">
        <v>390</v>
      </c>
      <c r="C474" s="330">
        <v>0</v>
      </c>
      <c r="D474" s="330">
        <v>55</v>
      </c>
      <c r="E474" s="116">
        <v>0</v>
      </c>
      <c r="F474" s="1" t="s">
        <v>9</v>
      </c>
      <c r="G474" s="1" t="s">
        <v>391</v>
      </c>
      <c r="H474" s="1">
        <v>0</v>
      </c>
      <c r="I474" s="1" t="str" cm="1">
        <f t="array" ref="I474">_xlfn.IFS(a.nike.original.man[[#This Row],[Rating]]&lt;=2.9, "0 - 2.9",a.nike.original.man[[#This Row],[Rating]]&lt;=3.9,"3 - 3.9", a.nike.original.man[[#This Row],[Rating]]&lt;=5,"4 - 5")</f>
        <v>0 - 2.9</v>
      </c>
      <c r="J474" s="1">
        <v>0</v>
      </c>
      <c r="K474" s="1" t="str" cm="1">
        <f t="array" ref="K474">_xlfn.IFS(a.nike.original.man[[#This Row],[Reviews]]&lt;=7, "Below Average", a.nike.original.man[[#This Row],[Reviews]]&gt;=8, "Average +")</f>
        <v>Below Average</v>
      </c>
      <c r="L474" s="11" t="s">
        <v>1639</v>
      </c>
      <c r="M474" s="1" t="s">
        <v>1470</v>
      </c>
    </row>
    <row r="475" spans="1:13" x14ac:dyDescent="0.2">
      <c r="A475" s="2" t="s">
        <v>182</v>
      </c>
      <c r="B475" s="2" t="s">
        <v>1195</v>
      </c>
      <c r="C475" s="331">
        <v>0</v>
      </c>
      <c r="D475" s="331">
        <v>140</v>
      </c>
      <c r="E475" s="116">
        <v>0</v>
      </c>
      <c r="F475" s="2" t="s">
        <v>9</v>
      </c>
      <c r="G475" s="2" t="s">
        <v>1196</v>
      </c>
      <c r="H475" s="2">
        <v>5</v>
      </c>
      <c r="I475" s="2" t="str" cm="1">
        <f t="array" ref="I475">_xlfn.IFS(a.nike.original.man[[#This Row],[Rating]]&lt;=2.9, "0 - 2.9",a.nike.original.man[[#This Row],[Rating]]&lt;=3.9,"3 - 3.9", a.nike.original.man[[#This Row],[Rating]]&lt;=5,"4 - 5")</f>
        <v>4 - 5</v>
      </c>
      <c r="J475" s="2">
        <v>1</v>
      </c>
      <c r="K475" s="2" t="str" cm="1">
        <f t="array" ref="K475">_xlfn.IFS(a.nike.original.man[[#This Row],[Reviews]]&lt;=7, "Below Average", a.nike.original.man[[#This Row],[Reviews]]&gt;=8, "Average +")</f>
        <v>Below Average</v>
      </c>
      <c r="L475" s="12" t="s">
        <v>1640</v>
      </c>
      <c r="M475" s="2" t="s">
        <v>1470</v>
      </c>
    </row>
    <row r="476" spans="1:13" x14ac:dyDescent="0.2">
      <c r="A476" s="1" t="s">
        <v>1013</v>
      </c>
      <c r="B476" s="1" t="s">
        <v>1014</v>
      </c>
      <c r="C476" s="330">
        <v>139.94999999999999</v>
      </c>
      <c r="D476" s="330">
        <v>112</v>
      </c>
      <c r="E476" s="116">
        <v>0.2</v>
      </c>
      <c r="F476" s="1" t="s">
        <v>9</v>
      </c>
      <c r="G476" s="1" t="s">
        <v>1015</v>
      </c>
      <c r="H476" s="1">
        <v>0</v>
      </c>
      <c r="I476" s="1" t="str" cm="1">
        <f t="array" ref="I476">_xlfn.IFS(a.nike.original.man[[#This Row],[Rating]]&lt;=2.9, "0 - 2.9",a.nike.original.man[[#This Row],[Rating]]&lt;=3.9,"3 - 3.9", a.nike.original.man[[#This Row],[Rating]]&lt;=5,"4 - 5")</f>
        <v>0 - 2.9</v>
      </c>
      <c r="J476" s="1">
        <v>0</v>
      </c>
      <c r="K476" s="1" t="str" cm="1">
        <f t="array" ref="K476">_xlfn.IFS(a.nike.original.man[[#This Row],[Reviews]]&lt;=7, "Below Average", a.nike.original.man[[#This Row],[Reviews]]&gt;=8, "Average +")</f>
        <v>Below Average</v>
      </c>
      <c r="L476" s="11" t="s">
        <v>1640</v>
      </c>
      <c r="M476" s="1" t="s">
        <v>1470</v>
      </c>
    </row>
    <row r="477" spans="1:13" x14ac:dyDescent="0.2">
      <c r="A477" s="1" t="s">
        <v>1006</v>
      </c>
      <c r="B477" s="1" t="s">
        <v>1205</v>
      </c>
      <c r="C477" s="330">
        <v>179.95</v>
      </c>
      <c r="D477" s="330">
        <v>126</v>
      </c>
      <c r="E477" s="116">
        <v>0.3</v>
      </c>
      <c r="F477" s="1" t="s">
        <v>9</v>
      </c>
      <c r="G477" s="1" t="s">
        <v>1008</v>
      </c>
      <c r="H477" s="1">
        <v>4.5</v>
      </c>
      <c r="I477" s="1" t="str" cm="1">
        <f t="array" ref="I477">_xlfn.IFS(a.nike.original.man[[#This Row],[Rating]]&lt;=2.9, "0 - 2.9",a.nike.original.man[[#This Row],[Rating]]&lt;=3.9,"3 - 3.9", a.nike.original.man[[#This Row],[Rating]]&lt;=5,"4 - 5")</f>
        <v>4 - 5</v>
      </c>
      <c r="J477" s="1">
        <v>4</v>
      </c>
      <c r="K477" s="1" t="str" cm="1">
        <f t="array" ref="K477">_xlfn.IFS(a.nike.original.man[[#This Row],[Reviews]]&lt;=7, "Below Average", a.nike.original.man[[#This Row],[Reviews]]&gt;=8, "Average +")</f>
        <v>Below Average</v>
      </c>
      <c r="L477" s="11" t="s">
        <v>1641</v>
      </c>
      <c r="M477" s="1" t="s">
        <v>1470</v>
      </c>
    </row>
    <row r="478" spans="1:13" x14ac:dyDescent="0.2">
      <c r="A478" s="2" t="s">
        <v>683</v>
      </c>
      <c r="B478" s="2" t="s">
        <v>1197</v>
      </c>
      <c r="C478" s="331">
        <v>0</v>
      </c>
      <c r="D478" s="331">
        <v>80</v>
      </c>
      <c r="E478" s="116">
        <v>0</v>
      </c>
      <c r="F478" s="2" t="s">
        <v>9</v>
      </c>
      <c r="G478" s="2" t="s">
        <v>1198</v>
      </c>
      <c r="H478" s="2">
        <v>0</v>
      </c>
      <c r="I478" s="2" t="str" cm="1">
        <f t="array" ref="I478">_xlfn.IFS(a.nike.original.man[[#This Row],[Rating]]&lt;=2.9, "0 - 2.9",a.nike.original.man[[#This Row],[Rating]]&lt;=3.9,"3 - 3.9", a.nike.original.man[[#This Row],[Rating]]&lt;=5,"4 - 5")</f>
        <v>0 - 2.9</v>
      </c>
      <c r="J478" s="2">
        <v>0</v>
      </c>
      <c r="K478" s="2" t="str" cm="1">
        <f t="array" ref="K478">_xlfn.IFS(a.nike.original.man[[#This Row],[Reviews]]&lt;=7, "Below Average", a.nike.original.man[[#This Row],[Reviews]]&gt;=8, "Average +")</f>
        <v>Below Average</v>
      </c>
      <c r="L478" s="12" t="s">
        <v>1641</v>
      </c>
      <c r="M478" s="2" t="s">
        <v>1470</v>
      </c>
    </row>
    <row r="479" spans="1:13" x14ac:dyDescent="0.2">
      <c r="A479" s="1" t="s">
        <v>1199</v>
      </c>
      <c r="B479" s="1" t="s">
        <v>1200</v>
      </c>
      <c r="C479" s="330">
        <v>159.94999999999999</v>
      </c>
      <c r="D479" s="330">
        <v>112</v>
      </c>
      <c r="E479" s="116">
        <v>0.3</v>
      </c>
      <c r="F479" s="1" t="s">
        <v>9</v>
      </c>
      <c r="G479" s="1" t="s">
        <v>1201</v>
      </c>
      <c r="H479" s="1">
        <v>0</v>
      </c>
      <c r="I479" s="1" t="str" cm="1">
        <f t="array" ref="I479">_xlfn.IFS(a.nike.original.man[[#This Row],[Rating]]&lt;=2.9, "0 - 2.9",a.nike.original.man[[#This Row],[Rating]]&lt;=3.9,"3 - 3.9", a.nike.original.man[[#This Row],[Rating]]&lt;=5,"4 - 5")</f>
        <v>0 - 2.9</v>
      </c>
      <c r="J479" s="1">
        <v>0</v>
      </c>
      <c r="K479" s="1" t="str" cm="1">
        <f t="array" ref="K479">_xlfn.IFS(a.nike.original.man[[#This Row],[Reviews]]&lt;=7, "Below Average", a.nike.original.man[[#This Row],[Reviews]]&gt;=8, "Average +")</f>
        <v>Below Average</v>
      </c>
      <c r="L479" s="11" t="s">
        <v>1641</v>
      </c>
      <c r="M479" s="1" t="s">
        <v>1470</v>
      </c>
    </row>
    <row r="480" spans="1:13" x14ac:dyDescent="0.2">
      <c r="A480" s="2" t="s">
        <v>1202</v>
      </c>
      <c r="B480" s="2" t="s">
        <v>1203</v>
      </c>
      <c r="C480" s="331">
        <v>0</v>
      </c>
      <c r="D480" s="331">
        <v>30</v>
      </c>
      <c r="E480" s="116">
        <v>0</v>
      </c>
      <c r="F480" s="2" t="s">
        <v>9</v>
      </c>
      <c r="G480" s="2" t="s">
        <v>1204</v>
      </c>
      <c r="H480" s="2">
        <v>0</v>
      </c>
      <c r="I480" s="2" t="str" cm="1">
        <f t="array" ref="I480">_xlfn.IFS(a.nike.original.man[[#This Row],[Rating]]&lt;=2.9, "0 - 2.9",a.nike.original.man[[#This Row],[Rating]]&lt;=3.9,"3 - 3.9", a.nike.original.man[[#This Row],[Rating]]&lt;=5,"4 - 5")</f>
        <v>0 - 2.9</v>
      </c>
      <c r="J480" s="2">
        <v>0</v>
      </c>
      <c r="K480" s="2" t="str" cm="1">
        <f t="array" ref="K480">_xlfn.IFS(a.nike.original.man[[#This Row],[Reviews]]&lt;=7, "Below Average", a.nike.original.man[[#This Row],[Reviews]]&gt;=8, "Average +")</f>
        <v>Below Average</v>
      </c>
      <c r="L480" s="12" t="s">
        <v>1641</v>
      </c>
      <c r="M480" s="2" t="s">
        <v>1470</v>
      </c>
    </row>
    <row r="481" spans="1:13" x14ac:dyDescent="0.2">
      <c r="A481" s="1" t="s">
        <v>1208</v>
      </c>
      <c r="B481" s="1" t="s">
        <v>1209</v>
      </c>
      <c r="C481" s="330">
        <v>0</v>
      </c>
      <c r="D481" s="330">
        <v>160</v>
      </c>
      <c r="E481" s="116">
        <v>0</v>
      </c>
      <c r="F481" s="1" t="s">
        <v>9</v>
      </c>
      <c r="G481" s="1" t="s">
        <v>1210</v>
      </c>
      <c r="H481" s="1">
        <v>3</v>
      </c>
      <c r="I481" s="1" t="str" cm="1">
        <f t="array" ref="I481">_xlfn.IFS(a.nike.original.man[[#This Row],[Rating]]&lt;=2.9, "0 - 2.9",a.nike.original.man[[#This Row],[Rating]]&lt;=3.9,"3 - 3.9", a.nike.original.man[[#This Row],[Rating]]&lt;=5,"4 - 5")</f>
        <v>3 - 3.9</v>
      </c>
      <c r="J481" s="1">
        <v>1</v>
      </c>
      <c r="K481" s="1" t="str" cm="1">
        <f t="array" ref="K481">_xlfn.IFS(a.nike.original.man[[#This Row],[Reviews]]&lt;=7, "Below Average", a.nike.original.man[[#This Row],[Reviews]]&gt;=8, "Average +")</f>
        <v>Below Average</v>
      </c>
      <c r="L481" s="11" t="s">
        <v>1642</v>
      </c>
      <c r="M481" s="1" t="s">
        <v>1470</v>
      </c>
    </row>
    <row r="482" spans="1:13" x14ac:dyDescent="0.2">
      <c r="A482" s="2" t="s">
        <v>56</v>
      </c>
      <c r="B482" s="2" t="s">
        <v>1206</v>
      </c>
      <c r="C482" s="331">
        <v>159.94999999999999</v>
      </c>
      <c r="D482" s="331">
        <v>96</v>
      </c>
      <c r="E482" s="116">
        <v>0.4</v>
      </c>
      <c r="F482" s="2" t="s">
        <v>9</v>
      </c>
      <c r="G482" s="2" t="s">
        <v>1207</v>
      </c>
      <c r="H482" s="2">
        <v>0</v>
      </c>
      <c r="I482" s="2" t="str" cm="1">
        <f t="array" ref="I482">_xlfn.IFS(a.nike.original.man[[#This Row],[Rating]]&lt;=2.9, "0 - 2.9",a.nike.original.man[[#This Row],[Rating]]&lt;=3.9,"3 - 3.9", a.nike.original.man[[#This Row],[Rating]]&lt;=5,"4 - 5")</f>
        <v>0 - 2.9</v>
      </c>
      <c r="J482" s="2">
        <v>0</v>
      </c>
      <c r="K482" s="2" t="str" cm="1">
        <f t="array" ref="K482">_xlfn.IFS(a.nike.original.man[[#This Row],[Reviews]]&lt;=7, "Below Average", a.nike.original.man[[#This Row],[Reviews]]&gt;=8, "Average +")</f>
        <v>Below Average</v>
      </c>
      <c r="L482" s="12" t="s">
        <v>1642</v>
      </c>
      <c r="M482" s="2" t="s">
        <v>1470</v>
      </c>
    </row>
    <row r="483" spans="1:13" x14ac:dyDescent="0.2">
      <c r="A483" s="2" t="s">
        <v>1211</v>
      </c>
      <c r="B483" s="2" t="s">
        <v>1212</v>
      </c>
      <c r="C483" s="331">
        <v>0</v>
      </c>
      <c r="D483" s="331">
        <v>37</v>
      </c>
      <c r="E483" s="116">
        <v>0</v>
      </c>
      <c r="F483" s="2" t="s">
        <v>9</v>
      </c>
      <c r="G483" s="2" t="s">
        <v>1213</v>
      </c>
      <c r="H483" s="2">
        <v>4.5</v>
      </c>
      <c r="I483" s="2" t="str" cm="1">
        <f t="array" ref="I483">_xlfn.IFS(a.nike.original.man[[#This Row],[Rating]]&lt;=2.9, "0 - 2.9",a.nike.original.man[[#This Row],[Rating]]&lt;=3.9,"3 - 3.9", a.nike.original.man[[#This Row],[Rating]]&lt;=5,"4 - 5")</f>
        <v>4 - 5</v>
      </c>
      <c r="J483" s="2">
        <v>6</v>
      </c>
      <c r="K483" s="2" t="str" cm="1">
        <f t="array" ref="K483">_xlfn.IFS(a.nike.original.man[[#This Row],[Reviews]]&lt;=7, "Below Average", a.nike.original.man[[#This Row],[Reviews]]&gt;=8, "Average +")</f>
        <v>Below Average</v>
      </c>
      <c r="L483" s="12" t="s">
        <v>1643</v>
      </c>
      <c r="M483" s="2" t="s">
        <v>1470</v>
      </c>
    </row>
    <row r="484" spans="1:13" x14ac:dyDescent="0.2">
      <c r="A484" s="1" t="s">
        <v>947</v>
      </c>
      <c r="B484" s="1" t="s">
        <v>1214</v>
      </c>
      <c r="C484" s="330">
        <v>0</v>
      </c>
      <c r="D484" s="330">
        <v>70</v>
      </c>
      <c r="E484" s="116">
        <v>0</v>
      </c>
      <c r="F484" s="1" t="s">
        <v>9</v>
      </c>
      <c r="G484" s="1" t="s">
        <v>1215</v>
      </c>
      <c r="H484" s="1">
        <v>4.5</v>
      </c>
      <c r="I484" s="1" t="str" cm="1">
        <f t="array" ref="I484">_xlfn.IFS(a.nike.original.man[[#This Row],[Rating]]&lt;=2.9, "0 - 2.9",a.nike.original.man[[#This Row],[Rating]]&lt;=3.9,"3 - 3.9", a.nike.original.man[[#This Row],[Rating]]&lt;=5,"4 - 5")</f>
        <v>4 - 5</v>
      </c>
      <c r="J484" s="1">
        <v>34</v>
      </c>
      <c r="K484" s="1" t="str" cm="1">
        <f t="array" ref="K484">_xlfn.IFS(a.nike.original.man[[#This Row],[Reviews]]&lt;=7, "Below Average", a.nike.original.man[[#This Row],[Reviews]]&gt;=8, "Average +")</f>
        <v>Average +</v>
      </c>
      <c r="L484" s="11" t="s">
        <v>1643</v>
      </c>
      <c r="M484" s="1" t="s">
        <v>1470</v>
      </c>
    </row>
    <row r="485" spans="1:13" x14ac:dyDescent="0.2">
      <c r="A485" s="2" t="s">
        <v>686</v>
      </c>
      <c r="B485" s="2" t="s">
        <v>687</v>
      </c>
      <c r="C485" s="331">
        <v>0</v>
      </c>
      <c r="D485" s="331">
        <v>55</v>
      </c>
      <c r="E485" s="116">
        <v>0</v>
      </c>
      <c r="F485" s="2" t="s">
        <v>9</v>
      </c>
      <c r="G485" s="2" t="s">
        <v>688</v>
      </c>
      <c r="H485" s="2">
        <v>0</v>
      </c>
      <c r="I485" s="2" t="str" cm="1">
        <f t="array" ref="I485">_xlfn.IFS(a.nike.original.man[[#This Row],[Rating]]&lt;=2.9, "0 - 2.9",a.nike.original.man[[#This Row],[Rating]]&lt;=3.9,"3 - 3.9", a.nike.original.man[[#This Row],[Rating]]&lt;=5,"4 - 5")</f>
        <v>0 - 2.9</v>
      </c>
      <c r="J485" s="2">
        <v>0</v>
      </c>
      <c r="K485" s="2" t="str" cm="1">
        <f t="array" ref="K485">_xlfn.IFS(a.nike.original.man[[#This Row],[Reviews]]&lt;=7, "Below Average", a.nike.original.man[[#This Row],[Reviews]]&gt;=8, "Average +")</f>
        <v>Below Average</v>
      </c>
      <c r="L485" s="12" t="s">
        <v>1644</v>
      </c>
      <c r="M485" s="2" t="s">
        <v>1470</v>
      </c>
    </row>
    <row r="486" spans="1:13" x14ac:dyDescent="0.2">
      <c r="A486" s="1" t="s">
        <v>607</v>
      </c>
      <c r="B486" s="1" t="s">
        <v>1216</v>
      </c>
      <c r="C486" s="330">
        <v>99.95</v>
      </c>
      <c r="D486" s="330">
        <v>60</v>
      </c>
      <c r="E486" s="116">
        <v>0.4</v>
      </c>
      <c r="F486" s="1" t="s">
        <v>9</v>
      </c>
      <c r="G486" s="1" t="s">
        <v>1217</v>
      </c>
      <c r="H486" s="1">
        <v>4.5999999999999996</v>
      </c>
      <c r="I486" s="1" t="str" cm="1">
        <f t="array" ref="I486">_xlfn.IFS(a.nike.original.man[[#This Row],[Rating]]&lt;=2.9, "0 - 2.9",a.nike.original.man[[#This Row],[Rating]]&lt;=3.9,"3 - 3.9", a.nike.original.man[[#This Row],[Rating]]&lt;=5,"4 - 5")</f>
        <v>4 - 5</v>
      </c>
      <c r="J486" s="1">
        <v>16</v>
      </c>
      <c r="K486" s="1" t="str" cm="1">
        <f t="array" ref="K486">_xlfn.IFS(a.nike.original.man[[#This Row],[Reviews]]&lt;=7, "Below Average", a.nike.original.man[[#This Row],[Reviews]]&gt;=8, "Average +")</f>
        <v>Average +</v>
      </c>
      <c r="L486" s="11" t="s">
        <v>1645</v>
      </c>
      <c r="M486" s="1" t="s">
        <v>1470</v>
      </c>
    </row>
    <row r="487" spans="1:13" x14ac:dyDescent="0.2">
      <c r="A487" s="2" t="s">
        <v>312</v>
      </c>
      <c r="B487" s="2" t="s">
        <v>1218</v>
      </c>
      <c r="C487" s="331">
        <v>0</v>
      </c>
      <c r="D487" s="331">
        <v>140</v>
      </c>
      <c r="E487" s="116">
        <v>0</v>
      </c>
      <c r="F487" s="2" t="s">
        <v>9</v>
      </c>
      <c r="G487" s="2" t="s">
        <v>1219</v>
      </c>
      <c r="H487" s="2">
        <v>3.9</v>
      </c>
      <c r="I487" s="2" t="str" cm="1">
        <f t="array" ref="I487">_xlfn.IFS(a.nike.original.man[[#This Row],[Rating]]&lt;=2.9, "0 - 2.9",a.nike.original.man[[#This Row],[Rating]]&lt;=3.9,"3 - 3.9", a.nike.original.man[[#This Row],[Rating]]&lt;=5,"4 - 5")</f>
        <v>3 - 3.9</v>
      </c>
      <c r="J487" s="2">
        <v>63</v>
      </c>
      <c r="K487" s="2" t="str" cm="1">
        <f t="array" ref="K487">_xlfn.IFS(a.nike.original.man[[#This Row],[Reviews]]&lt;=7, "Below Average", a.nike.original.man[[#This Row],[Reviews]]&gt;=8, "Average +")</f>
        <v>Average +</v>
      </c>
      <c r="L487" s="12" t="s">
        <v>1646</v>
      </c>
      <c r="M487" s="2" t="s">
        <v>1470</v>
      </c>
    </row>
    <row r="488" spans="1:13" x14ac:dyDescent="0.2">
      <c r="A488" s="1" t="s">
        <v>239</v>
      </c>
      <c r="B488" s="1" t="s">
        <v>1220</v>
      </c>
      <c r="C488" s="330">
        <v>74.95</v>
      </c>
      <c r="D488" s="330">
        <v>52</v>
      </c>
      <c r="E488" s="116">
        <v>0.3</v>
      </c>
      <c r="F488" s="1" t="s">
        <v>9</v>
      </c>
      <c r="G488" s="1" t="s">
        <v>241</v>
      </c>
      <c r="H488" s="1">
        <v>0</v>
      </c>
      <c r="I488" s="1" t="str" cm="1">
        <f t="array" ref="I488">_xlfn.IFS(a.nike.original.man[[#This Row],[Rating]]&lt;=2.9, "0 - 2.9",a.nike.original.man[[#This Row],[Rating]]&lt;=3.9,"3 - 3.9", a.nike.original.man[[#This Row],[Rating]]&lt;=5,"4 - 5")</f>
        <v>0 - 2.9</v>
      </c>
      <c r="J488" s="1">
        <v>0</v>
      </c>
      <c r="K488" s="1" t="str" cm="1">
        <f t="array" ref="K488">_xlfn.IFS(a.nike.original.man[[#This Row],[Reviews]]&lt;=7, "Below Average", a.nike.original.man[[#This Row],[Reviews]]&gt;=8, "Average +")</f>
        <v>Below Average</v>
      </c>
      <c r="L488" s="11" t="s">
        <v>1646</v>
      </c>
      <c r="M488" s="1" t="s">
        <v>1470</v>
      </c>
    </row>
    <row r="489" spans="1:13" x14ac:dyDescent="0.2">
      <c r="A489" s="2" t="s">
        <v>1221</v>
      </c>
      <c r="B489" s="2" t="s">
        <v>1222</v>
      </c>
      <c r="C489" s="331">
        <v>0</v>
      </c>
      <c r="D489" s="331">
        <v>140</v>
      </c>
      <c r="E489" s="116">
        <v>0</v>
      </c>
      <c r="F489" s="2" t="s">
        <v>9</v>
      </c>
      <c r="G489" s="2" t="s">
        <v>1223</v>
      </c>
      <c r="H489" s="2">
        <v>3.8</v>
      </c>
      <c r="I489" s="2" t="str" cm="1">
        <f t="array" ref="I489">_xlfn.IFS(a.nike.original.man[[#This Row],[Rating]]&lt;=2.9, "0 - 2.9",a.nike.original.man[[#This Row],[Rating]]&lt;=3.9,"3 - 3.9", a.nike.original.man[[#This Row],[Rating]]&lt;=5,"4 - 5")</f>
        <v>3 - 3.9</v>
      </c>
      <c r="J489" s="2">
        <v>15</v>
      </c>
      <c r="K489" s="2" t="str" cm="1">
        <f t="array" ref="K489">_xlfn.IFS(a.nike.original.man[[#This Row],[Reviews]]&lt;=7, "Below Average", a.nike.original.man[[#This Row],[Reviews]]&gt;=8, "Average +")</f>
        <v>Average +</v>
      </c>
      <c r="L489" s="12" t="s">
        <v>1647</v>
      </c>
      <c r="M489" s="2" t="s">
        <v>1470</v>
      </c>
    </row>
    <row r="490" spans="1:13" x14ac:dyDescent="0.2">
      <c r="A490" s="1" t="s">
        <v>114</v>
      </c>
      <c r="B490" s="1" t="s">
        <v>1224</v>
      </c>
      <c r="C490" s="330">
        <v>0</v>
      </c>
      <c r="D490" s="330">
        <v>90</v>
      </c>
      <c r="E490" s="116">
        <v>0</v>
      </c>
      <c r="F490" s="1" t="s">
        <v>9</v>
      </c>
      <c r="G490" s="1" t="s">
        <v>1225</v>
      </c>
      <c r="H490" s="1">
        <v>5</v>
      </c>
      <c r="I490" s="1" t="str" cm="1">
        <f t="array" ref="I490">_xlfn.IFS(a.nike.original.man[[#This Row],[Rating]]&lt;=2.9, "0 - 2.9",a.nike.original.man[[#This Row],[Rating]]&lt;=3.9,"3 - 3.9", a.nike.original.man[[#This Row],[Rating]]&lt;=5,"4 - 5")</f>
        <v>4 - 5</v>
      </c>
      <c r="J490" s="1">
        <v>3</v>
      </c>
      <c r="K490" s="1" t="str" cm="1">
        <f t="array" ref="K490">_xlfn.IFS(a.nike.original.man[[#This Row],[Reviews]]&lt;=7, "Below Average", a.nike.original.man[[#This Row],[Reviews]]&gt;=8, "Average +")</f>
        <v>Below Average</v>
      </c>
      <c r="L490" s="11" t="s">
        <v>1648</v>
      </c>
      <c r="M490" s="1" t="s">
        <v>1470</v>
      </c>
    </row>
    <row r="491" spans="1:13" x14ac:dyDescent="0.2">
      <c r="A491" s="1" t="s">
        <v>1229</v>
      </c>
      <c r="B491" s="1" t="s">
        <v>1230</v>
      </c>
      <c r="C491" s="330">
        <v>119.95</v>
      </c>
      <c r="D491" s="330">
        <v>84</v>
      </c>
      <c r="E491" s="116">
        <v>0.3</v>
      </c>
      <c r="F491" s="1" t="s">
        <v>9</v>
      </c>
      <c r="G491" s="1" t="s">
        <v>1231</v>
      </c>
      <c r="H491" s="1">
        <v>4</v>
      </c>
      <c r="I491" s="1" t="str" cm="1">
        <f t="array" ref="I491">_xlfn.IFS(a.nike.original.man[[#This Row],[Rating]]&lt;=2.9, "0 - 2.9",a.nike.original.man[[#This Row],[Rating]]&lt;=3.9,"3 - 3.9", a.nike.original.man[[#This Row],[Rating]]&lt;=5,"4 - 5")</f>
        <v>4 - 5</v>
      </c>
      <c r="J491" s="1">
        <v>2</v>
      </c>
      <c r="K491" s="1" t="str" cm="1">
        <f t="array" ref="K491">_xlfn.IFS(a.nike.original.man[[#This Row],[Reviews]]&lt;=7, "Below Average", a.nike.original.man[[#This Row],[Reviews]]&gt;=8, "Average +")</f>
        <v>Below Average</v>
      </c>
      <c r="L491" s="11" t="s">
        <v>1648</v>
      </c>
      <c r="M491" s="1" t="s">
        <v>1470</v>
      </c>
    </row>
    <row r="492" spans="1:13" x14ac:dyDescent="0.2">
      <c r="A492" s="2" t="s">
        <v>1226</v>
      </c>
      <c r="B492" s="2" t="s">
        <v>1227</v>
      </c>
      <c r="C492" s="331">
        <v>0</v>
      </c>
      <c r="D492" s="331">
        <v>65</v>
      </c>
      <c r="E492" s="116">
        <v>0</v>
      </c>
      <c r="F492" s="2" t="s">
        <v>9</v>
      </c>
      <c r="G492" s="2" t="s">
        <v>1228</v>
      </c>
      <c r="H492" s="2">
        <v>0</v>
      </c>
      <c r="I492" s="2" t="str" cm="1">
        <f t="array" ref="I492">_xlfn.IFS(a.nike.original.man[[#This Row],[Rating]]&lt;=2.9, "0 - 2.9",a.nike.original.man[[#This Row],[Rating]]&lt;=3.9,"3 - 3.9", a.nike.original.man[[#This Row],[Rating]]&lt;=5,"4 - 5")</f>
        <v>0 - 2.9</v>
      </c>
      <c r="J492" s="2">
        <v>0</v>
      </c>
      <c r="K492" s="2" t="str" cm="1">
        <f t="array" ref="K492">_xlfn.IFS(a.nike.original.man[[#This Row],[Reviews]]&lt;=7, "Below Average", a.nike.original.man[[#This Row],[Reviews]]&gt;=8, "Average +")</f>
        <v>Below Average</v>
      </c>
      <c r="L492" s="12" t="s">
        <v>1648</v>
      </c>
      <c r="M492" s="2" t="s">
        <v>1470</v>
      </c>
    </row>
    <row r="493" spans="1:13" x14ac:dyDescent="0.2">
      <c r="A493" s="2" t="s">
        <v>1232</v>
      </c>
      <c r="B493" s="2" t="s">
        <v>1233</v>
      </c>
      <c r="C493" s="331">
        <v>84.95</v>
      </c>
      <c r="D493" s="331">
        <v>68</v>
      </c>
      <c r="E493" s="116">
        <v>0.2</v>
      </c>
      <c r="F493" s="2" t="s">
        <v>9</v>
      </c>
      <c r="G493" s="2" t="s">
        <v>1234</v>
      </c>
      <c r="H493" s="2">
        <v>0</v>
      </c>
      <c r="I493" s="2" t="str" cm="1">
        <f t="array" ref="I493">_xlfn.IFS(a.nike.original.man[[#This Row],[Rating]]&lt;=2.9, "0 - 2.9",a.nike.original.man[[#This Row],[Rating]]&lt;=3.9,"3 - 3.9", a.nike.original.man[[#This Row],[Rating]]&lt;=5,"4 - 5")</f>
        <v>0 - 2.9</v>
      </c>
      <c r="J493" s="2">
        <v>0</v>
      </c>
      <c r="K493" s="2" t="str" cm="1">
        <f t="array" ref="K493">_xlfn.IFS(a.nike.original.man[[#This Row],[Reviews]]&lt;=7, "Below Average", a.nike.original.man[[#This Row],[Reviews]]&gt;=8, "Average +")</f>
        <v>Below Average</v>
      </c>
      <c r="L493" s="12" t="s">
        <v>1648</v>
      </c>
      <c r="M493" s="2" t="s">
        <v>1470</v>
      </c>
    </row>
    <row r="494" spans="1:13" x14ac:dyDescent="0.2">
      <c r="A494" s="1" t="s">
        <v>529</v>
      </c>
      <c r="B494" s="1" t="s">
        <v>530</v>
      </c>
      <c r="C494" s="330">
        <v>0</v>
      </c>
      <c r="D494" s="330">
        <v>90</v>
      </c>
      <c r="E494" s="116">
        <v>0</v>
      </c>
      <c r="F494" s="1" t="s">
        <v>9</v>
      </c>
      <c r="G494" s="1" t="s">
        <v>531</v>
      </c>
      <c r="H494" s="1">
        <v>4.5999999999999996</v>
      </c>
      <c r="I494" s="1" t="str" cm="1">
        <f t="array" ref="I494">_xlfn.IFS(a.nike.original.man[[#This Row],[Rating]]&lt;=2.9, "0 - 2.9",a.nike.original.man[[#This Row],[Rating]]&lt;=3.9,"3 - 3.9", a.nike.original.man[[#This Row],[Rating]]&lt;=5,"4 - 5")</f>
        <v>4 - 5</v>
      </c>
      <c r="J494" s="1">
        <v>34</v>
      </c>
      <c r="K494" s="1" t="str" cm="1">
        <f t="array" ref="K494">_xlfn.IFS(a.nike.original.man[[#This Row],[Reviews]]&lt;=7, "Below Average", a.nike.original.man[[#This Row],[Reviews]]&gt;=8, "Average +")</f>
        <v>Average +</v>
      </c>
      <c r="L494" s="11" t="s">
        <v>1649</v>
      </c>
      <c r="M494" s="1" t="s">
        <v>1470</v>
      </c>
    </row>
    <row r="495" spans="1:13" x14ac:dyDescent="0.2">
      <c r="A495" s="2" t="s">
        <v>1235</v>
      </c>
      <c r="B495" s="2" t="s">
        <v>1236</v>
      </c>
      <c r="C495" s="331">
        <v>0</v>
      </c>
      <c r="D495" s="331">
        <v>65</v>
      </c>
      <c r="E495" s="116">
        <v>0</v>
      </c>
      <c r="F495" s="2" t="s">
        <v>9</v>
      </c>
      <c r="G495" s="2" t="s">
        <v>1237</v>
      </c>
      <c r="H495" s="2">
        <v>4.3</v>
      </c>
      <c r="I495" s="2" t="str" cm="1">
        <f t="array" ref="I495">_xlfn.IFS(a.nike.original.man[[#This Row],[Rating]]&lt;=2.9, "0 - 2.9",a.nike.original.man[[#This Row],[Rating]]&lt;=3.9,"3 - 3.9", a.nike.original.man[[#This Row],[Rating]]&lt;=5,"4 - 5")</f>
        <v>4 - 5</v>
      </c>
      <c r="J495" s="2">
        <v>12</v>
      </c>
      <c r="K495" s="2" t="str" cm="1">
        <f t="array" ref="K495">_xlfn.IFS(a.nike.original.man[[#This Row],[Reviews]]&lt;=7, "Below Average", a.nike.original.man[[#This Row],[Reviews]]&gt;=8, "Average +")</f>
        <v>Average +</v>
      </c>
      <c r="L495" s="12" t="s">
        <v>1649</v>
      </c>
      <c r="M495" s="2" t="s">
        <v>1470</v>
      </c>
    </row>
    <row r="496" spans="1:13" x14ac:dyDescent="0.2">
      <c r="A496" s="2" t="s">
        <v>640</v>
      </c>
      <c r="B496" s="2" t="s">
        <v>641</v>
      </c>
      <c r="C496" s="331">
        <v>139.94999999999999</v>
      </c>
      <c r="D496" s="331">
        <v>112</v>
      </c>
      <c r="E496" s="116">
        <v>0.2</v>
      </c>
      <c r="F496" s="2" t="s">
        <v>9</v>
      </c>
      <c r="G496" s="2" t="s">
        <v>642</v>
      </c>
      <c r="H496" s="2">
        <v>4.5999999999999996</v>
      </c>
      <c r="I496" s="2" t="str" cm="1">
        <f t="array" ref="I496">_xlfn.IFS(a.nike.original.man[[#This Row],[Rating]]&lt;=2.9, "0 - 2.9",a.nike.original.man[[#This Row],[Rating]]&lt;=3.9,"3 - 3.9", a.nike.original.man[[#This Row],[Rating]]&lt;=5,"4 - 5")</f>
        <v>4 - 5</v>
      </c>
      <c r="J496" s="2">
        <v>5</v>
      </c>
      <c r="K496" s="2" t="str" cm="1">
        <f t="array" ref="K496">_xlfn.IFS(a.nike.original.man[[#This Row],[Reviews]]&lt;=7, "Below Average", a.nike.original.man[[#This Row],[Reviews]]&gt;=8, "Average +")</f>
        <v>Below Average</v>
      </c>
      <c r="L496" s="12" t="s">
        <v>1650</v>
      </c>
      <c r="M496" s="2" t="s">
        <v>1470</v>
      </c>
    </row>
    <row r="497" spans="1:13" x14ac:dyDescent="0.2">
      <c r="A497" s="1" t="s">
        <v>1239</v>
      </c>
      <c r="B497" s="1" t="s">
        <v>1240</v>
      </c>
      <c r="C497" s="330">
        <v>0</v>
      </c>
      <c r="D497" s="330">
        <v>130</v>
      </c>
      <c r="E497" s="116">
        <v>0</v>
      </c>
      <c r="F497" s="1" t="s">
        <v>9</v>
      </c>
      <c r="G497" s="1" t="s">
        <v>1241</v>
      </c>
      <c r="H497" s="1">
        <v>4.7</v>
      </c>
      <c r="I497" s="1" t="str" cm="1">
        <f t="array" ref="I497">_xlfn.IFS(a.nike.original.man[[#This Row],[Rating]]&lt;=2.9, "0 - 2.9",a.nike.original.man[[#This Row],[Rating]]&lt;=3.9,"3 - 3.9", a.nike.original.man[[#This Row],[Rating]]&lt;=5,"4 - 5")</f>
        <v>4 - 5</v>
      </c>
      <c r="J497" s="1">
        <v>3</v>
      </c>
      <c r="K497" s="1" t="str" cm="1">
        <f t="array" ref="K497">_xlfn.IFS(a.nike.original.man[[#This Row],[Reviews]]&lt;=7, "Below Average", a.nike.original.man[[#This Row],[Reviews]]&gt;=8, "Average +")</f>
        <v>Below Average</v>
      </c>
      <c r="L497" s="11" t="s">
        <v>1650</v>
      </c>
      <c r="M497" s="1" t="s">
        <v>1470</v>
      </c>
    </row>
    <row r="498" spans="1:13" x14ac:dyDescent="0.2">
      <c r="A498" s="1" t="s">
        <v>620</v>
      </c>
      <c r="B498" s="1" t="s">
        <v>1238</v>
      </c>
      <c r="C498" s="330">
        <v>0</v>
      </c>
      <c r="D498" s="330">
        <v>110</v>
      </c>
      <c r="E498" s="116">
        <v>0</v>
      </c>
      <c r="F498" s="1" t="s">
        <v>9</v>
      </c>
      <c r="G498" s="1" t="s">
        <v>622</v>
      </c>
      <c r="H498" s="1">
        <v>5</v>
      </c>
      <c r="I498" s="1" t="str" cm="1">
        <f t="array" ref="I498">_xlfn.IFS(a.nike.original.man[[#This Row],[Rating]]&lt;=2.9, "0 - 2.9",a.nike.original.man[[#This Row],[Rating]]&lt;=3.9,"3 - 3.9", a.nike.original.man[[#This Row],[Rating]]&lt;=5,"4 - 5")</f>
        <v>4 - 5</v>
      </c>
      <c r="J498" s="1">
        <v>2</v>
      </c>
      <c r="K498" s="1" t="str" cm="1">
        <f t="array" ref="K498">_xlfn.IFS(a.nike.original.man[[#This Row],[Reviews]]&lt;=7, "Below Average", a.nike.original.man[[#This Row],[Reviews]]&gt;=8, "Average +")</f>
        <v>Below Average</v>
      </c>
      <c r="L498" s="11" t="s">
        <v>1650</v>
      </c>
      <c r="M498" s="1" t="s">
        <v>1470</v>
      </c>
    </row>
    <row r="499" spans="1:13" x14ac:dyDescent="0.2">
      <c r="A499" s="2" t="s">
        <v>1242</v>
      </c>
      <c r="B499" s="2" t="s">
        <v>1243</v>
      </c>
      <c r="C499" s="331">
        <v>0</v>
      </c>
      <c r="D499" s="331">
        <v>160</v>
      </c>
      <c r="E499" s="116">
        <v>0</v>
      </c>
      <c r="F499" s="2" t="s">
        <v>9</v>
      </c>
      <c r="G499" s="2" t="s">
        <v>1244</v>
      </c>
      <c r="H499" s="2">
        <v>3.6</v>
      </c>
      <c r="I499" s="2" t="str" cm="1">
        <f t="array" ref="I499">_xlfn.IFS(a.nike.original.man[[#This Row],[Rating]]&lt;=2.9, "0 - 2.9",a.nike.original.man[[#This Row],[Rating]]&lt;=3.9,"3 - 3.9", a.nike.original.man[[#This Row],[Rating]]&lt;=5,"4 - 5")</f>
        <v>3 - 3.9</v>
      </c>
      <c r="J499" s="2">
        <v>20</v>
      </c>
      <c r="K499" s="2" t="str" cm="1">
        <f t="array" ref="K499">_xlfn.IFS(a.nike.original.man[[#This Row],[Reviews]]&lt;=7, "Below Average", a.nike.original.man[[#This Row],[Reviews]]&gt;=8, "Average +")</f>
        <v>Average +</v>
      </c>
      <c r="L499" s="12" t="s">
        <v>1650</v>
      </c>
      <c r="M499" s="2" t="s">
        <v>1470</v>
      </c>
    </row>
    <row r="500" spans="1:13" x14ac:dyDescent="0.2">
      <c r="A500" s="1" t="s">
        <v>766</v>
      </c>
      <c r="B500" s="1" t="s">
        <v>1245</v>
      </c>
      <c r="C500" s="330">
        <v>79.95</v>
      </c>
      <c r="D500" s="330">
        <v>48</v>
      </c>
      <c r="E500" s="116">
        <v>0.4</v>
      </c>
      <c r="F500" s="1" t="s">
        <v>9</v>
      </c>
      <c r="G500" s="1" t="s">
        <v>1246</v>
      </c>
      <c r="H500" s="1">
        <v>4.2</v>
      </c>
      <c r="I500" s="1" t="str" cm="1">
        <f t="array" ref="I500">_xlfn.IFS(a.nike.original.man[[#This Row],[Rating]]&lt;=2.9, "0 - 2.9",a.nike.original.man[[#This Row],[Rating]]&lt;=3.9,"3 - 3.9", a.nike.original.man[[#This Row],[Rating]]&lt;=5,"4 - 5")</f>
        <v>4 - 5</v>
      </c>
      <c r="J500" s="1">
        <v>13</v>
      </c>
      <c r="K500" s="1" t="str" cm="1">
        <f t="array" ref="K500">_xlfn.IFS(a.nike.original.man[[#This Row],[Reviews]]&lt;=7, "Below Average", a.nike.original.man[[#This Row],[Reviews]]&gt;=8, "Average +")</f>
        <v>Average +</v>
      </c>
      <c r="L500" s="11" t="s">
        <v>1650</v>
      </c>
      <c r="M500" s="1" t="s">
        <v>1470</v>
      </c>
    </row>
    <row r="501" spans="1:13" x14ac:dyDescent="0.2">
      <c r="A501" s="1" t="s">
        <v>1251</v>
      </c>
      <c r="B501" s="1" t="s">
        <v>1252</v>
      </c>
      <c r="C501" s="330">
        <v>169.95</v>
      </c>
      <c r="D501" s="330">
        <v>136</v>
      </c>
      <c r="E501" s="116">
        <v>0.2</v>
      </c>
      <c r="F501" s="1" t="s">
        <v>9</v>
      </c>
      <c r="G501" s="1" t="s">
        <v>1253</v>
      </c>
      <c r="H501" s="1">
        <v>5</v>
      </c>
      <c r="I501" s="1" t="str" cm="1">
        <f t="array" ref="I501">_xlfn.IFS(a.nike.original.man[[#This Row],[Rating]]&lt;=2.9, "0 - 2.9",a.nike.original.man[[#This Row],[Rating]]&lt;=3.9,"3 - 3.9", a.nike.original.man[[#This Row],[Rating]]&lt;=5,"4 - 5")</f>
        <v>4 - 5</v>
      </c>
      <c r="J501" s="1">
        <v>1</v>
      </c>
      <c r="K501" s="1" t="str" cm="1">
        <f t="array" ref="K501">_xlfn.IFS(a.nike.original.man[[#This Row],[Reviews]]&lt;=7, "Below Average", a.nike.original.man[[#This Row],[Reviews]]&gt;=8, "Average +")</f>
        <v>Below Average</v>
      </c>
      <c r="L501" s="11" t="s">
        <v>1651</v>
      </c>
      <c r="M501" s="1" t="s">
        <v>1470</v>
      </c>
    </row>
    <row r="502" spans="1:13" x14ac:dyDescent="0.2">
      <c r="A502" s="2" t="s">
        <v>581</v>
      </c>
      <c r="B502" s="2" t="s">
        <v>582</v>
      </c>
      <c r="C502" s="331">
        <v>0</v>
      </c>
      <c r="D502" s="331">
        <v>120</v>
      </c>
      <c r="E502" s="116">
        <v>0</v>
      </c>
      <c r="F502" s="2" t="s">
        <v>9</v>
      </c>
      <c r="G502" s="2" t="s">
        <v>583</v>
      </c>
      <c r="H502" s="2">
        <v>0</v>
      </c>
      <c r="I502" s="2" t="str" cm="1">
        <f t="array" ref="I502">_xlfn.IFS(a.nike.original.man[[#This Row],[Rating]]&lt;=2.9, "0 - 2.9",a.nike.original.man[[#This Row],[Rating]]&lt;=3.9,"3 - 3.9", a.nike.original.man[[#This Row],[Rating]]&lt;=5,"4 - 5")</f>
        <v>0 - 2.9</v>
      </c>
      <c r="J502" s="2">
        <v>0</v>
      </c>
      <c r="K502" s="2" t="str" cm="1">
        <f t="array" ref="K502">_xlfn.IFS(a.nike.original.man[[#This Row],[Reviews]]&lt;=7, "Below Average", a.nike.original.man[[#This Row],[Reviews]]&gt;=8, "Average +")</f>
        <v>Below Average</v>
      </c>
      <c r="L502" s="12" t="s">
        <v>1651</v>
      </c>
      <c r="M502" s="2" t="s">
        <v>1470</v>
      </c>
    </row>
    <row r="503" spans="1:13" x14ac:dyDescent="0.2">
      <c r="A503" s="1" t="s">
        <v>400</v>
      </c>
      <c r="B503" s="1" t="s">
        <v>1247</v>
      </c>
      <c r="C503" s="330">
        <v>109.95</v>
      </c>
      <c r="D503" s="330">
        <v>66</v>
      </c>
      <c r="E503" s="116">
        <v>0.4</v>
      </c>
      <c r="F503" s="1" t="s">
        <v>9</v>
      </c>
      <c r="G503" s="1" t="s">
        <v>402</v>
      </c>
      <c r="H503" s="1">
        <v>0</v>
      </c>
      <c r="I503" s="1" t="str" cm="1">
        <f t="array" ref="I503">_xlfn.IFS(a.nike.original.man[[#This Row],[Rating]]&lt;=2.9, "0 - 2.9",a.nike.original.man[[#This Row],[Rating]]&lt;=3.9,"3 - 3.9", a.nike.original.man[[#This Row],[Rating]]&lt;=5,"4 - 5")</f>
        <v>0 - 2.9</v>
      </c>
      <c r="J503" s="1">
        <v>0</v>
      </c>
      <c r="K503" s="1" t="str" cm="1">
        <f t="array" ref="K503">_xlfn.IFS(a.nike.original.man[[#This Row],[Reviews]]&lt;=7, "Below Average", a.nike.original.man[[#This Row],[Reviews]]&gt;=8, "Average +")</f>
        <v>Below Average</v>
      </c>
      <c r="L503" s="11" t="s">
        <v>1651</v>
      </c>
      <c r="M503" s="1" t="s">
        <v>1470</v>
      </c>
    </row>
    <row r="504" spans="1:13" x14ac:dyDescent="0.2">
      <c r="A504" s="2" t="s">
        <v>1248</v>
      </c>
      <c r="B504" s="2" t="s">
        <v>1249</v>
      </c>
      <c r="C504" s="331">
        <v>149.94999999999999</v>
      </c>
      <c r="D504" s="331">
        <v>105</v>
      </c>
      <c r="E504" s="116">
        <v>0.3</v>
      </c>
      <c r="F504" s="2" t="s">
        <v>9</v>
      </c>
      <c r="G504" s="2" t="s">
        <v>1250</v>
      </c>
      <c r="H504" s="2">
        <v>0</v>
      </c>
      <c r="I504" s="2" t="str" cm="1">
        <f t="array" ref="I504">_xlfn.IFS(a.nike.original.man[[#This Row],[Rating]]&lt;=2.9, "0 - 2.9",a.nike.original.man[[#This Row],[Rating]]&lt;=3.9,"3 - 3.9", a.nike.original.man[[#This Row],[Rating]]&lt;=5,"4 - 5")</f>
        <v>0 - 2.9</v>
      </c>
      <c r="J504" s="2">
        <v>0</v>
      </c>
      <c r="K504" s="2" t="str" cm="1">
        <f t="array" ref="K504">_xlfn.IFS(a.nike.original.man[[#This Row],[Reviews]]&lt;=7, "Below Average", a.nike.original.man[[#This Row],[Reviews]]&gt;=8, "Average +")</f>
        <v>Below Average</v>
      </c>
      <c r="L504" s="12" t="s">
        <v>1651</v>
      </c>
      <c r="M504" s="2" t="s">
        <v>1470</v>
      </c>
    </row>
    <row r="505" spans="1:13" x14ac:dyDescent="0.2">
      <c r="A505" s="2" t="s">
        <v>1254</v>
      </c>
      <c r="B505" s="2" t="s">
        <v>1255</v>
      </c>
      <c r="C505" s="331">
        <v>0</v>
      </c>
      <c r="D505" s="331">
        <v>130</v>
      </c>
      <c r="E505" s="116">
        <v>0</v>
      </c>
      <c r="F505" s="2" t="s">
        <v>9</v>
      </c>
      <c r="G505" s="2" t="s">
        <v>1256</v>
      </c>
      <c r="H505" s="2">
        <v>4.7</v>
      </c>
      <c r="I505" s="2" t="str" cm="1">
        <f t="array" ref="I505">_xlfn.IFS(a.nike.original.man[[#This Row],[Rating]]&lt;=2.9, "0 - 2.9",a.nike.original.man[[#This Row],[Rating]]&lt;=3.9,"3 - 3.9", a.nike.original.man[[#This Row],[Rating]]&lt;=5,"4 - 5")</f>
        <v>4 - 5</v>
      </c>
      <c r="J505" s="2">
        <v>3</v>
      </c>
      <c r="K505" s="2" t="str" cm="1">
        <f t="array" ref="K505">_xlfn.IFS(a.nike.original.man[[#This Row],[Reviews]]&lt;=7, "Below Average", a.nike.original.man[[#This Row],[Reviews]]&gt;=8, "Average +")</f>
        <v>Below Average</v>
      </c>
      <c r="L505" s="12" t="s">
        <v>1652</v>
      </c>
      <c r="M505" s="2" t="s">
        <v>1470</v>
      </c>
    </row>
    <row r="506" spans="1:13" x14ac:dyDescent="0.2">
      <c r="A506" s="1" t="s">
        <v>1059</v>
      </c>
      <c r="B506" s="1" t="s">
        <v>1262</v>
      </c>
      <c r="C506" s="330">
        <v>0</v>
      </c>
      <c r="D506" s="330">
        <v>70</v>
      </c>
      <c r="E506" s="116">
        <v>0</v>
      </c>
      <c r="F506" s="1" t="s">
        <v>9</v>
      </c>
      <c r="G506" s="1" t="s">
        <v>1263</v>
      </c>
      <c r="H506" s="1">
        <v>4.5</v>
      </c>
      <c r="I506" s="1" t="str" cm="1">
        <f t="array" ref="I506">_xlfn.IFS(a.nike.original.man[[#This Row],[Rating]]&lt;=2.9, "0 - 2.9",a.nike.original.man[[#This Row],[Rating]]&lt;=3.9,"3 - 3.9", a.nike.original.man[[#This Row],[Rating]]&lt;=5,"4 - 5")</f>
        <v>4 - 5</v>
      </c>
      <c r="J506" s="1">
        <v>2</v>
      </c>
      <c r="K506" s="1" t="str" cm="1">
        <f t="array" ref="K506">_xlfn.IFS(a.nike.original.man[[#This Row],[Reviews]]&lt;=7, "Below Average", a.nike.original.man[[#This Row],[Reviews]]&gt;=8, "Average +")</f>
        <v>Below Average</v>
      </c>
      <c r="L506" s="11" t="s">
        <v>1652</v>
      </c>
      <c r="M506" s="1" t="s">
        <v>1470</v>
      </c>
    </row>
    <row r="507" spans="1:13" x14ac:dyDescent="0.2">
      <c r="A507" s="1" t="s">
        <v>1257</v>
      </c>
      <c r="B507" s="1" t="s">
        <v>1258</v>
      </c>
      <c r="C507" s="330">
        <v>0</v>
      </c>
      <c r="D507" s="330">
        <v>105</v>
      </c>
      <c r="E507" s="116">
        <v>0</v>
      </c>
      <c r="F507" s="1" t="s">
        <v>9</v>
      </c>
      <c r="G507" s="1" t="s">
        <v>1259</v>
      </c>
      <c r="H507" s="1">
        <v>5</v>
      </c>
      <c r="I507" s="1" t="str" cm="1">
        <f t="array" ref="I507">_xlfn.IFS(a.nike.original.man[[#This Row],[Rating]]&lt;=2.9, "0 - 2.9",a.nike.original.man[[#This Row],[Rating]]&lt;=3.9,"3 - 3.9", a.nike.original.man[[#This Row],[Rating]]&lt;=5,"4 - 5")</f>
        <v>4 - 5</v>
      </c>
      <c r="J507" s="1">
        <v>1</v>
      </c>
      <c r="K507" s="1" t="str" cm="1">
        <f t="array" ref="K507">_xlfn.IFS(a.nike.original.man[[#This Row],[Reviews]]&lt;=7, "Below Average", a.nike.original.man[[#This Row],[Reviews]]&gt;=8, "Average +")</f>
        <v>Below Average</v>
      </c>
      <c r="L507" s="11" t="s">
        <v>1652</v>
      </c>
      <c r="M507" s="1" t="s">
        <v>1470</v>
      </c>
    </row>
    <row r="508" spans="1:13" x14ac:dyDescent="0.2">
      <c r="A508" s="2" t="s">
        <v>1111</v>
      </c>
      <c r="B508" s="2" t="s">
        <v>1260</v>
      </c>
      <c r="C508" s="331">
        <v>159.94999999999999</v>
      </c>
      <c r="D508" s="331">
        <v>112</v>
      </c>
      <c r="E508" s="116">
        <v>0.3</v>
      </c>
      <c r="F508" s="2" t="s">
        <v>9</v>
      </c>
      <c r="G508" s="2" t="s">
        <v>1261</v>
      </c>
      <c r="H508" s="2">
        <v>0</v>
      </c>
      <c r="I508" s="2" t="str" cm="1">
        <f t="array" ref="I508">_xlfn.IFS(a.nike.original.man[[#This Row],[Rating]]&lt;=2.9, "0 - 2.9",a.nike.original.man[[#This Row],[Rating]]&lt;=3.9,"3 - 3.9", a.nike.original.man[[#This Row],[Rating]]&lt;=5,"4 - 5")</f>
        <v>0 - 2.9</v>
      </c>
      <c r="J508" s="2">
        <v>0</v>
      </c>
      <c r="K508" s="2" t="str" cm="1">
        <f t="array" ref="K508">_xlfn.IFS(a.nike.original.man[[#This Row],[Reviews]]&lt;=7, "Below Average", a.nike.original.man[[#This Row],[Reviews]]&gt;=8, "Average +")</f>
        <v>Below Average</v>
      </c>
      <c r="L508" s="12" t="s">
        <v>1652</v>
      </c>
      <c r="M508" s="2" t="s">
        <v>1470</v>
      </c>
    </row>
    <row r="509" spans="1:13" x14ac:dyDescent="0.2">
      <c r="A509" s="1" t="s">
        <v>551</v>
      </c>
      <c r="B509" s="1" t="s">
        <v>1264</v>
      </c>
      <c r="C509" s="330">
        <v>0</v>
      </c>
      <c r="D509" s="330">
        <v>100</v>
      </c>
      <c r="E509" s="1">
        <v>0</v>
      </c>
      <c r="F509" s="1" t="s">
        <v>9</v>
      </c>
      <c r="G509" s="2" t="s">
        <v>1465</v>
      </c>
      <c r="H509" s="1">
        <v>3</v>
      </c>
      <c r="I509" s="1" t="str" cm="1">
        <f t="array" ref="I509">_xlfn.IFS(a.nike.original.man[[#This Row],[Rating]]&lt;=2.9, "0 - 2.9",a.nike.original.man[[#This Row],[Rating]]&lt;=3.9,"3 - 3.9", a.nike.original.man[[#This Row],[Rating]]&lt;=5,"4 - 5")</f>
        <v>3 - 3.9</v>
      </c>
      <c r="J509" s="1">
        <v>7</v>
      </c>
      <c r="K509" s="1" t="str" cm="1">
        <f t="array" ref="K509">_xlfn.IFS(a.nike.original.man[[#This Row],[Reviews]]&lt;=7, "Below Average", a.nike.original.man[[#This Row],[Reviews]]&gt;=8, "Average +")</f>
        <v>Below Average</v>
      </c>
      <c r="L509" s="11" t="s">
        <v>1653</v>
      </c>
      <c r="M509" s="1" t="s">
        <v>1470</v>
      </c>
    </row>
    <row r="510" spans="1:13" x14ac:dyDescent="0.2">
      <c r="A510" s="1" t="s">
        <v>292</v>
      </c>
      <c r="B510" s="1" t="s">
        <v>1266</v>
      </c>
      <c r="C510" s="330">
        <v>0</v>
      </c>
      <c r="D510" s="330">
        <v>80</v>
      </c>
      <c r="E510" s="116">
        <v>0</v>
      </c>
      <c r="F510" s="1" t="s">
        <v>9</v>
      </c>
      <c r="G510" s="1" t="s">
        <v>294</v>
      </c>
      <c r="H510" s="1">
        <v>5</v>
      </c>
      <c r="I510" s="1" t="str" cm="1">
        <f t="array" ref="I510">_xlfn.IFS(a.nike.original.man[[#This Row],[Rating]]&lt;=2.9, "0 - 2.9",a.nike.original.man[[#This Row],[Rating]]&lt;=3.9,"3 - 3.9", a.nike.original.man[[#This Row],[Rating]]&lt;=5,"4 - 5")</f>
        <v>4 - 5</v>
      </c>
      <c r="J510" s="1">
        <v>1</v>
      </c>
      <c r="K510" s="1" t="str" cm="1">
        <f t="array" ref="K510">_xlfn.IFS(a.nike.original.man[[#This Row],[Reviews]]&lt;=7, "Below Average", a.nike.original.man[[#This Row],[Reviews]]&gt;=8, "Average +")</f>
        <v>Below Average</v>
      </c>
      <c r="L510" s="11" t="s">
        <v>1653</v>
      </c>
      <c r="M510" s="1" t="s">
        <v>1470</v>
      </c>
    </row>
    <row r="511" spans="1:13" x14ac:dyDescent="0.2">
      <c r="A511" s="2" t="s">
        <v>205</v>
      </c>
      <c r="B511" s="2" t="s">
        <v>206</v>
      </c>
      <c r="C511" s="331">
        <v>0</v>
      </c>
      <c r="D511" s="331">
        <v>60</v>
      </c>
      <c r="E511" s="116">
        <v>0</v>
      </c>
      <c r="F511" s="2" t="s">
        <v>9</v>
      </c>
      <c r="G511" s="2" t="s">
        <v>207</v>
      </c>
      <c r="H511" s="2">
        <v>0</v>
      </c>
      <c r="I511" s="2" t="str" cm="1">
        <f t="array" ref="I511">_xlfn.IFS(a.nike.original.man[[#This Row],[Rating]]&lt;=2.9, "0 - 2.9",a.nike.original.man[[#This Row],[Rating]]&lt;=3.9,"3 - 3.9", a.nike.original.man[[#This Row],[Rating]]&lt;=5,"4 - 5")</f>
        <v>0 - 2.9</v>
      </c>
      <c r="J511" s="2">
        <v>0</v>
      </c>
      <c r="K511" s="2" t="str" cm="1">
        <f t="array" ref="K511">_xlfn.IFS(a.nike.original.man[[#This Row],[Reviews]]&lt;=7, "Below Average", a.nike.original.man[[#This Row],[Reviews]]&gt;=8, "Average +")</f>
        <v>Below Average</v>
      </c>
      <c r="L511" s="12" t="s">
        <v>1653</v>
      </c>
      <c r="M511" s="2" t="s">
        <v>1470</v>
      </c>
    </row>
    <row r="512" spans="1:13" x14ac:dyDescent="0.2">
      <c r="A512" s="2" t="s">
        <v>900</v>
      </c>
      <c r="B512" s="2" t="s">
        <v>1265</v>
      </c>
      <c r="C512" s="331">
        <v>0</v>
      </c>
      <c r="D512" s="331">
        <v>75</v>
      </c>
      <c r="E512" s="116">
        <v>0</v>
      </c>
      <c r="F512" s="2" t="s">
        <v>9</v>
      </c>
      <c r="G512" s="2" t="s">
        <v>902</v>
      </c>
      <c r="H512" s="2">
        <v>0</v>
      </c>
      <c r="I512" s="2" t="str" cm="1">
        <f t="array" ref="I512">_xlfn.IFS(a.nike.original.man[[#This Row],[Rating]]&lt;=2.9, "0 - 2.9",a.nike.original.man[[#This Row],[Rating]]&lt;=3.9,"3 - 3.9", a.nike.original.man[[#This Row],[Rating]]&lt;=5,"4 - 5")</f>
        <v>0 - 2.9</v>
      </c>
      <c r="J512" s="2">
        <v>0</v>
      </c>
      <c r="K512" s="2" t="str" cm="1">
        <f t="array" ref="K512">_xlfn.IFS(a.nike.original.man[[#This Row],[Reviews]]&lt;=7, "Below Average", a.nike.original.man[[#This Row],[Reviews]]&gt;=8, "Average +")</f>
        <v>Below Average</v>
      </c>
      <c r="L512" s="12" t="s">
        <v>1653</v>
      </c>
      <c r="M512" s="2" t="s">
        <v>1470</v>
      </c>
    </row>
    <row r="513" spans="1:13" x14ac:dyDescent="0.2">
      <c r="A513" s="2" t="s">
        <v>352</v>
      </c>
      <c r="B513" s="2" t="s">
        <v>1270</v>
      </c>
      <c r="C513" s="331">
        <v>0</v>
      </c>
      <c r="D513" s="331">
        <v>70</v>
      </c>
      <c r="E513" s="116">
        <v>0</v>
      </c>
      <c r="F513" s="2" t="s">
        <v>9</v>
      </c>
      <c r="G513" s="2" t="s">
        <v>354</v>
      </c>
      <c r="H513" s="2">
        <v>4.8</v>
      </c>
      <c r="I513" s="2" t="str" cm="1">
        <f t="array" ref="I513">_xlfn.IFS(a.nike.original.man[[#This Row],[Rating]]&lt;=2.9, "0 - 2.9",a.nike.original.man[[#This Row],[Rating]]&lt;=3.9,"3 - 3.9", a.nike.original.man[[#This Row],[Rating]]&lt;=5,"4 - 5")</f>
        <v>4 - 5</v>
      </c>
      <c r="J513" s="2">
        <v>5</v>
      </c>
      <c r="K513" s="2" t="str" cm="1">
        <f t="array" ref="K513">_xlfn.IFS(a.nike.original.man[[#This Row],[Reviews]]&lt;=7, "Below Average", a.nike.original.man[[#This Row],[Reviews]]&gt;=8, "Average +")</f>
        <v>Below Average</v>
      </c>
      <c r="L513" s="12" t="s">
        <v>1654</v>
      </c>
      <c r="M513" s="2" t="s">
        <v>1470</v>
      </c>
    </row>
    <row r="514" spans="1:13" x14ac:dyDescent="0.2">
      <c r="A514" s="2" t="s">
        <v>947</v>
      </c>
      <c r="B514" s="2" t="s">
        <v>1267</v>
      </c>
      <c r="C514" s="331">
        <v>0</v>
      </c>
      <c r="D514" s="331">
        <v>70</v>
      </c>
      <c r="E514" s="116">
        <v>0</v>
      </c>
      <c r="F514" s="2" t="s">
        <v>9</v>
      </c>
      <c r="G514" s="2" t="s">
        <v>1215</v>
      </c>
      <c r="H514" s="2">
        <v>4.5</v>
      </c>
      <c r="I514" s="2" t="str" cm="1">
        <f t="array" ref="I514">_xlfn.IFS(a.nike.original.man[[#This Row],[Rating]]&lt;=2.9, "0 - 2.9",a.nike.original.man[[#This Row],[Rating]]&lt;=3.9,"3 - 3.9", a.nike.original.man[[#This Row],[Rating]]&lt;=5,"4 - 5")</f>
        <v>4 - 5</v>
      </c>
      <c r="J514" s="2">
        <v>34</v>
      </c>
      <c r="K514" s="2" t="str" cm="1">
        <f t="array" ref="K514">_xlfn.IFS(a.nike.original.man[[#This Row],[Reviews]]&lt;=7, "Below Average", a.nike.original.man[[#This Row],[Reviews]]&gt;=8, "Average +")</f>
        <v>Average +</v>
      </c>
      <c r="L514" s="12" t="s">
        <v>1654</v>
      </c>
      <c r="M514" s="2" t="s">
        <v>1470</v>
      </c>
    </row>
    <row r="515" spans="1:13" x14ac:dyDescent="0.2">
      <c r="A515" s="1" t="s">
        <v>195</v>
      </c>
      <c r="B515" s="1" t="s">
        <v>1268</v>
      </c>
      <c r="C515" s="330">
        <v>0</v>
      </c>
      <c r="D515" s="330">
        <v>120</v>
      </c>
      <c r="E515" s="116">
        <v>0</v>
      </c>
      <c r="F515" s="1" t="s">
        <v>9</v>
      </c>
      <c r="G515" s="1" t="s">
        <v>1269</v>
      </c>
      <c r="H515" s="1">
        <v>5</v>
      </c>
      <c r="I515" s="1" t="str" cm="1">
        <f t="array" ref="I515">_xlfn.IFS(a.nike.original.man[[#This Row],[Rating]]&lt;=2.9, "0 - 2.9",a.nike.original.man[[#This Row],[Rating]]&lt;=3.9,"3 - 3.9", a.nike.original.man[[#This Row],[Rating]]&lt;=5,"4 - 5")</f>
        <v>4 - 5</v>
      </c>
      <c r="J515" s="1">
        <v>2</v>
      </c>
      <c r="K515" s="1" t="str" cm="1">
        <f t="array" ref="K515">_xlfn.IFS(a.nike.original.man[[#This Row],[Reviews]]&lt;=7, "Below Average", a.nike.original.man[[#This Row],[Reviews]]&gt;=8, "Average +")</f>
        <v>Below Average</v>
      </c>
      <c r="L515" s="11" t="s">
        <v>1654</v>
      </c>
      <c r="M515" s="1" t="s">
        <v>1470</v>
      </c>
    </row>
    <row r="516" spans="1:13" x14ac:dyDescent="0.2">
      <c r="A516" s="1" t="s">
        <v>1271</v>
      </c>
      <c r="B516" s="1" t="s">
        <v>1272</v>
      </c>
      <c r="C516" s="330">
        <v>0</v>
      </c>
      <c r="D516" s="330">
        <v>150</v>
      </c>
      <c r="E516" s="116">
        <v>0</v>
      </c>
      <c r="F516" s="1" t="s">
        <v>9</v>
      </c>
      <c r="G516" s="1" t="s">
        <v>1273</v>
      </c>
      <c r="H516" s="1">
        <v>5</v>
      </c>
      <c r="I516" s="1" t="str" cm="1">
        <f t="array" ref="I516">_xlfn.IFS(a.nike.original.man[[#This Row],[Rating]]&lt;=2.9, "0 - 2.9",a.nike.original.man[[#This Row],[Rating]]&lt;=3.9,"3 - 3.9", a.nike.original.man[[#This Row],[Rating]]&lt;=5,"4 - 5")</f>
        <v>4 - 5</v>
      </c>
      <c r="J516" s="1">
        <v>1</v>
      </c>
      <c r="K516" s="1" t="str" cm="1">
        <f t="array" ref="K516">_xlfn.IFS(a.nike.original.man[[#This Row],[Reviews]]&lt;=7, "Below Average", a.nike.original.man[[#This Row],[Reviews]]&gt;=8, "Average +")</f>
        <v>Below Average</v>
      </c>
      <c r="L516" s="11" t="s">
        <v>1655</v>
      </c>
      <c r="M516" s="1" t="s">
        <v>1470</v>
      </c>
    </row>
    <row r="517" spans="1:13" x14ac:dyDescent="0.2">
      <c r="A517" s="1" t="s">
        <v>105</v>
      </c>
      <c r="B517" s="1" t="s">
        <v>1274</v>
      </c>
      <c r="C517" s="330">
        <v>0</v>
      </c>
      <c r="D517" s="330">
        <v>90</v>
      </c>
      <c r="E517" s="116">
        <v>0</v>
      </c>
      <c r="F517" s="1" t="s">
        <v>9</v>
      </c>
      <c r="G517" s="1" t="s">
        <v>1275</v>
      </c>
      <c r="H517" s="1">
        <v>4.5</v>
      </c>
      <c r="I517" s="1" t="str" cm="1">
        <f t="array" ref="I517">_xlfn.IFS(a.nike.original.man[[#This Row],[Rating]]&lt;=2.9, "0 - 2.9",a.nike.original.man[[#This Row],[Rating]]&lt;=3.9,"3 - 3.9", a.nike.original.man[[#This Row],[Rating]]&lt;=5,"4 - 5")</f>
        <v>4 - 5</v>
      </c>
      <c r="J517" s="1">
        <v>36</v>
      </c>
      <c r="K517" s="1" t="str" cm="1">
        <f t="array" ref="K517">_xlfn.IFS(a.nike.original.man[[#This Row],[Reviews]]&lt;=7, "Below Average", a.nike.original.man[[#This Row],[Reviews]]&gt;=8, "Average +")</f>
        <v>Average +</v>
      </c>
      <c r="L517" s="11" t="s">
        <v>1656</v>
      </c>
      <c r="M517" s="1" t="s">
        <v>1470</v>
      </c>
    </row>
    <row r="518" spans="1:13" x14ac:dyDescent="0.2">
      <c r="A518" s="2" t="s">
        <v>1276</v>
      </c>
      <c r="B518" s="2" t="s">
        <v>1277</v>
      </c>
      <c r="C518" s="331">
        <v>0</v>
      </c>
      <c r="D518" s="331">
        <v>110</v>
      </c>
      <c r="E518" s="116">
        <v>0</v>
      </c>
      <c r="F518" s="2" t="s">
        <v>9</v>
      </c>
      <c r="G518" s="2" t="s">
        <v>1278</v>
      </c>
      <c r="H518" s="2">
        <v>5</v>
      </c>
      <c r="I518" s="2" t="str" cm="1">
        <f t="array" ref="I518">_xlfn.IFS(a.nike.original.man[[#This Row],[Rating]]&lt;=2.9, "0 - 2.9",a.nike.original.man[[#This Row],[Rating]]&lt;=3.9,"3 - 3.9", a.nike.original.man[[#This Row],[Rating]]&lt;=5,"4 - 5")</f>
        <v>4 - 5</v>
      </c>
      <c r="J518" s="2">
        <v>2</v>
      </c>
      <c r="K518" s="2" t="str" cm="1">
        <f t="array" ref="K518">_xlfn.IFS(a.nike.original.man[[#This Row],[Reviews]]&lt;=7, "Below Average", a.nike.original.man[[#This Row],[Reviews]]&gt;=8, "Average +")</f>
        <v>Below Average</v>
      </c>
      <c r="L518" s="12" t="s">
        <v>1656</v>
      </c>
      <c r="M518" s="2" t="s">
        <v>1470</v>
      </c>
    </row>
    <row r="519" spans="1:13" x14ac:dyDescent="0.2">
      <c r="A519" s="2" t="s">
        <v>757</v>
      </c>
      <c r="B519" s="2" t="s">
        <v>758</v>
      </c>
      <c r="C519" s="331">
        <v>0</v>
      </c>
      <c r="D519" s="331">
        <v>140</v>
      </c>
      <c r="E519" s="116">
        <v>0</v>
      </c>
      <c r="F519" s="2" t="s">
        <v>9</v>
      </c>
      <c r="G519" s="2" t="s">
        <v>759</v>
      </c>
      <c r="H519" s="2">
        <v>0</v>
      </c>
      <c r="I519" s="2" t="str" cm="1">
        <f t="array" ref="I519">_xlfn.IFS(a.nike.original.man[[#This Row],[Rating]]&lt;=2.9, "0 - 2.9",a.nike.original.man[[#This Row],[Rating]]&lt;=3.9,"3 - 3.9", a.nike.original.man[[#This Row],[Rating]]&lt;=5,"4 - 5")</f>
        <v>0 - 2.9</v>
      </c>
      <c r="J519" s="2">
        <v>0</v>
      </c>
      <c r="K519" s="2" t="str" cm="1">
        <f t="array" ref="K519">_xlfn.IFS(a.nike.original.man[[#This Row],[Reviews]]&lt;=7, "Below Average", a.nike.original.man[[#This Row],[Reviews]]&gt;=8, "Average +")</f>
        <v>Below Average</v>
      </c>
      <c r="L519" s="12" t="s">
        <v>1656</v>
      </c>
      <c r="M519" s="2" t="s">
        <v>1470</v>
      </c>
    </row>
    <row r="520" spans="1:13" x14ac:dyDescent="0.2">
      <c r="A520" s="1" t="s">
        <v>953</v>
      </c>
      <c r="B520" s="1" t="s">
        <v>954</v>
      </c>
      <c r="C520" s="330">
        <v>74.95</v>
      </c>
      <c r="D520" s="330">
        <v>52</v>
      </c>
      <c r="E520" s="116">
        <v>0.3</v>
      </c>
      <c r="F520" s="1" t="s">
        <v>9</v>
      </c>
      <c r="G520" s="1" t="s">
        <v>955</v>
      </c>
      <c r="H520" s="1">
        <v>0</v>
      </c>
      <c r="I520" s="1" t="str" cm="1">
        <f t="array" ref="I520">_xlfn.IFS(a.nike.original.man[[#This Row],[Rating]]&lt;=2.9, "0 - 2.9",a.nike.original.man[[#This Row],[Rating]]&lt;=3.9,"3 - 3.9", a.nike.original.man[[#This Row],[Rating]]&lt;=5,"4 - 5")</f>
        <v>0 - 2.9</v>
      </c>
      <c r="J520" s="1">
        <v>0</v>
      </c>
      <c r="K520" s="1" t="str" cm="1">
        <f t="array" ref="K520">_xlfn.IFS(a.nike.original.man[[#This Row],[Reviews]]&lt;=7, "Below Average", a.nike.original.man[[#This Row],[Reviews]]&gt;=8, "Average +")</f>
        <v>Below Average</v>
      </c>
      <c r="L520" s="11" t="s">
        <v>1657</v>
      </c>
      <c r="M520" s="1" t="s">
        <v>1470</v>
      </c>
    </row>
    <row r="521" spans="1:13" x14ac:dyDescent="0.2">
      <c r="A521" s="1" t="s">
        <v>499</v>
      </c>
      <c r="B521" s="1" t="s">
        <v>500</v>
      </c>
      <c r="C521" s="330">
        <v>74.95</v>
      </c>
      <c r="D521" s="330">
        <v>52</v>
      </c>
      <c r="E521" s="116">
        <v>0.3</v>
      </c>
      <c r="F521" s="1" t="s">
        <v>9</v>
      </c>
      <c r="G521" s="1" t="s">
        <v>501</v>
      </c>
      <c r="H521" s="1">
        <v>0</v>
      </c>
      <c r="I521" s="1" t="str" cm="1">
        <f t="array" ref="I521">_xlfn.IFS(a.nike.original.man[[#This Row],[Rating]]&lt;=2.9, "0 - 2.9",a.nike.original.man[[#This Row],[Rating]]&lt;=3.9,"3 - 3.9", a.nike.original.man[[#This Row],[Rating]]&lt;=5,"4 - 5")</f>
        <v>0 - 2.9</v>
      </c>
      <c r="J521" s="1">
        <v>0</v>
      </c>
      <c r="K521" s="1" t="str" cm="1">
        <f t="array" ref="K521">_xlfn.IFS(a.nike.original.man[[#This Row],[Reviews]]&lt;=7, "Below Average", a.nike.original.man[[#This Row],[Reviews]]&gt;=8, "Average +")</f>
        <v>Below Average</v>
      </c>
      <c r="L521" s="11" t="s">
        <v>1657</v>
      </c>
      <c r="M521" s="1" t="s">
        <v>1470</v>
      </c>
    </row>
    <row r="522" spans="1:13" x14ac:dyDescent="0.2">
      <c r="A522" s="2" t="s">
        <v>672</v>
      </c>
      <c r="B522" s="2" t="s">
        <v>673</v>
      </c>
      <c r="C522" s="331">
        <v>99.95</v>
      </c>
      <c r="D522" s="331">
        <v>80</v>
      </c>
      <c r="E522" s="116">
        <v>0.2</v>
      </c>
      <c r="F522" s="2" t="s">
        <v>9</v>
      </c>
      <c r="G522" s="2" t="s">
        <v>674</v>
      </c>
      <c r="H522" s="2">
        <v>3.7</v>
      </c>
      <c r="I522" s="2" t="str" cm="1">
        <f t="array" ref="I522">_xlfn.IFS(a.nike.original.man[[#This Row],[Rating]]&lt;=2.9, "0 - 2.9",a.nike.original.man[[#This Row],[Rating]]&lt;=3.9,"3 - 3.9", a.nike.original.man[[#This Row],[Rating]]&lt;=5,"4 - 5")</f>
        <v>3 - 3.9</v>
      </c>
      <c r="J522" s="2">
        <v>11</v>
      </c>
      <c r="K522" s="2" t="str" cm="1">
        <f t="array" ref="K522">_xlfn.IFS(a.nike.original.man[[#This Row],[Reviews]]&lt;=7, "Below Average", a.nike.original.man[[#This Row],[Reviews]]&gt;=8, "Average +")</f>
        <v>Average +</v>
      </c>
      <c r="L522" s="12" t="s">
        <v>1657</v>
      </c>
      <c r="M522" s="2" t="s">
        <v>1470</v>
      </c>
    </row>
    <row r="523" spans="1:13" x14ac:dyDescent="0.2">
      <c r="A523" s="2" t="s">
        <v>617</v>
      </c>
      <c r="B523" s="2" t="s">
        <v>618</v>
      </c>
      <c r="C523" s="331">
        <v>0</v>
      </c>
      <c r="D523" s="331">
        <v>45</v>
      </c>
      <c r="E523" s="116">
        <v>0</v>
      </c>
      <c r="F523" s="2" t="s">
        <v>9</v>
      </c>
      <c r="G523" s="2" t="s">
        <v>619</v>
      </c>
      <c r="H523" s="2">
        <v>0</v>
      </c>
      <c r="I523" s="2" t="str" cm="1">
        <f t="array" ref="I523">_xlfn.IFS(a.nike.original.man[[#This Row],[Rating]]&lt;=2.9, "0 - 2.9",a.nike.original.man[[#This Row],[Rating]]&lt;=3.9,"3 - 3.9", a.nike.original.man[[#This Row],[Rating]]&lt;=5,"4 - 5")</f>
        <v>0 - 2.9</v>
      </c>
      <c r="J523" s="2">
        <v>0</v>
      </c>
      <c r="K523" s="2" t="str" cm="1">
        <f t="array" ref="K523">_xlfn.IFS(a.nike.original.man[[#This Row],[Reviews]]&lt;=7, "Below Average", a.nike.original.man[[#This Row],[Reviews]]&gt;=8, "Average +")</f>
        <v>Below Average</v>
      </c>
      <c r="L523" s="12" t="s">
        <v>1658</v>
      </c>
      <c r="M523" s="2" t="s">
        <v>1470</v>
      </c>
    </row>
    <row r="524" spans="1:13" x14ac:dyDescent="0.2">
      <c r="A524" s="1" t="s">
        <v>37</v>
      </c>
      <c r="B524" s="1" t="s">
        <v>1279</v>
      </c>
      <c r="C524" s="330">
        <v>0</v>
      </c>
      <c r="D524" s="330">
        <v>110</v>
      </c>
      <c r="E524" s="116">
        <v>0</v>
      </c>
      <c r="F524" s="1" t="s">
        <v>9</v>
      </c>
      <c r="G524" s="1" t="s">
        <v>1280</v>
      </c>
      <c r="H524" s="1">
        <v>0</v>
      </c>
      <c r="I524" s="1" t="str" cm="1">
        <f t="array" ref="I524">_xlfn.IFS(a.nike.original.man[[#This Row],[Rating]]&lt;=2.9, "0 - 2.9",a.nike.original.man[[#This Row],[Rating]]&lt;=3.9,"3 - 3.9", a.nike.original.man[[#This Row],[Rating]]&lt;=5,"4 - 5")</f>
        <v>0 - 2.9</v>
      </c>
      <c r="J524" s="1">
        <v>0</v>
      </c>
      <c r="K524" s="1" t="str" cm="1">
        <f t="array" ref="K524">_xlfn.IFS(a.nike.original.man[[#This Row],[Reviews]]&lt;=7, "Below Average", a.nike.original.man[[#This Row],[Reviews]]&gt;=8, "Average +")</f>
        <v>Below Average</v>
      </c>
      <c r="L524" s="11" t="s">
        <v>1658</v>
      </c>
      <c r="M524" s="1" t="s">
        <v>1470</v>
      </c>
    </row>
    <row r="525" spans="1:13" x14ac:dyDescent="0.2">
      <c r="A525" s="2" t="s">
        <v>1281</v>
      </c>
      <c r="B525" s="2" t="s">
        <v>1282</v>
      </c>
      <c r="C525" s="331">
        <v>0</v>
      </c>
      <c r="D525" s="331">
        <v>365</v>
      </c>
      <c r="E525" s="116">
        <v>0</v>
      </c>
      <c r="F525" s="2" t="s">
        <v>9</v>
      </c>
      <c r="G525" s="2" t="s">
        <v>1283</v>
      </c>
      <c r="H525" s="2">
        <v>0</v>
      </c>
      <c r="I525" s="2" t="str" cm="1">
        <f t="array" ref="I525">_xlfn.IFS(a.nike.original.man[[#This Row],[Rating]]&lt;=2.9, "0 - 2.9",a.nike.original.man[[#This Row],[Rating]]&lt;=3.9,"3 - 3.9", a.nike.original.man[[#This Row],[Rating]]&lt;=5,"4 - 5")</f>
        <v>0 - 2.9</v>
      </c>
      <c r="J525" s="2">
        <v>0</v>
      </c>
      <c r="K525" s="2" t="str" cm="1">
        <f t="array" ref="K525">_xlfn.IFS(a.nike.original.man[[#This Row],[Reviews]]&lt;=7, "Below Average", a.nike.original.man[[#This Row],[Reviews]]&gt;=8, "Average +")</f>
        <v>Below Average</v>
      </c>
      <c r="L525" s="12" t="s">
        <v>1658</v>
      </c>
      <c r="M525" s="2" t="s">
        <v>1470</v>
      </c>
    </row>
    <row r="526" spans="1:13" x14ac:dyDescent="0.2">
      <c r="A526" s="2" t="s">
        <v>1284</v>
      </c>
      <c r="B526" s="2" t="s">
        <v>1285</v>
      </c>
      <c r="C526" s="331">
        <v>89.95</v>
      </c>
      <c r="D526" s="331">
        <v>54</v>
      </c>
      <c r="E526" s="116">
        <v>0.4</v>
      </c>
      <c r="F526" s="2" t="s">
        <v>9</v>
      </c>
      <c r="G526" s="2" t="s">
        <v>1286</v>
      </c>
      <c r="H526" s="2">
        <v>5</v>
      </c>
      <c r="I526" s="2" t="str" cm="1">
        <f t="array" ref="I526">_xlfn.IFS(a.nike.original.man[[#This Row],[Rating]]&lt;=2.9, "0 - 2.9",a.nike.original.man[[#This Row],[Rating]]&lt;=3.9,"3 - 3.9", a.nike.original.man[[#This Row],[Rating]]&lt;=5,"4 - 5")</f>
        <v>4 - 5</v>
      </c>
      <c r="J526" s="2">
        <v>1</v>
      </c>
      <c r="K526" s="2" t="str" cm="1">
        <f t="array" ref="K526">_xlfn.IFS(a.nike.original.man[[#This Row],[Reviews]]&lt;=7, "Below Average", a.nike.original.man[[#This Row],[Reviews]]&gt;=8, "Average +")</f>
        <v>Below Average</v>
      </c>
      <c r="L526" s="12" t="s">
        <v>1659</v>
      </c>
      <c r="M526" s="2" t="s">
        <v>1470</v>
      </c>
    </row>
    <row r="527" spans="1:13" x14ac:dyDescent="0.2">
      <c r="A527" s="1" t="s">
        <v>198</v>
      </c>
      <c r="B527" s="1" t="s">
        <v>199</v>
      </c>
      <c r="C527" s="330">
        <v>0</v>
      </c>
      <c r="D527" s="330">
        <v>250</v>
      </c>
      <c r="E527" s="116">
        <v>0</v>
      </c>
      <c r="F527" s="1" t="s">
        <v>9</v>
      </c>
      <c r="G527" s="1" t="s">
        <v>200</v>
      </c>
      <c r="H527" s="1">
        <v>0</v>
      </c>
      <c r="I527" s="1" t="str" cm="1">
        <f t="array" ref="I527">_xlfn.IFS(a.nike.original.man[[#This Row],[Rating]]&lt;=2.9, "0 - 2.9",a.nike.original.man[[#This Row],[Rating]]&lt;=3.9,"3 - 3.9", a.nike.original.man[[#This Row],[Rating]]&lt;=5,"4 - 5")</f>
        <v>0 - 2.9</v>
      </c>
      <c r="J527" s="1">
        <v>0</v>
      </c>
      <c r="K527" s="1" t="str" cm="1">
        <f t="array" ref="K527">_xlfn.IFS(a.nike.original.man[[#This Row],[Reviews]]&lt;=7, "Below Average", a.nike.original.man[[#This Row],[Reviews]]&gt;=8, "Average +")</f>
        <v>Below Average</v>
      </c>
      <c r="L527" s="11" t="s">
        <v>1659</v>
      </c>
      <c r="M527" s="1" t="s">
        <v>1470</v>
      </c>
    </row>
    <row r="528" spans="1:13" x14ac:dyDescent="0.2">
      <c r="A528" s="1" t="s">
        <v>1287</v>
      </c>
      <c r="B528" s="1" t="s">
        <v>1288</v>
      </c>
      <c r="C528" s="330">
        <v>0</v>
      </c>
      <c r="D528" s="330">
        <v>80</v>
      </c>
      <c r="E528" s="116">
        <v>0</v>
      </c>
      <c r="F528" s="1" t="s">
        <v>9</v>
      </c>
      <c r="G528" s="1" t="s">
        <v>1289</v>
      </c>
      <c r="H528" s="1">
        <v>5</v>
      </c>
      <c r="I528" s="1" t="str" cm="1">
        <f t="array" ref="I528">_xlfn.IFS(a.nike.original.man[[#This Row],[Rating]]&lt;=2.9, "0 - 2.9",a.nike.original.man[[#This Row],[Rating]]&lt;=3.9,"3 - 3.9", a.nike.original.man[[#This Row],[Rating]]&lt;=5,"4 - 5")</f>
        <v>4 - 5</v>
      </c>
      <c r="J528" s="1">
        <v>2</v>
      </c>
      <c r="K528" s="1" t="str" cm="1">
        <f t="array" ref="K528">_xlfn.IFS(a.nike.original.man[[#This Row],[Reviews]]&lt;=7, "Below Average", a.nike.original.man[[#This Row],[Reviews]]&gt;=8, "Average +")</f>
        <v>Below Average</v>
      </c>
      <c r="L528" s="11" t="s">
        <v>1660</v>
      </c>
      <c r="M528" s="1" t="s">
        <v>1470</v>
      </c>
    </row>
    <row r="529" spans="1:13" x14ac:dyDescent="0.2">
      <c r="A529" s="2" t="s">
        <v>1290</v>
      </c>
      <c r="B529" s="2" t="s">
        <v>1291</v>
      </c>
      <c r="C529" s="331">
        <v>0</v>
      </c>
      <c r="D529" s="331">
        <v>120</v>
      </c>
      <c r="E529" s="116">
        <v>0</v>
      </c>
      <c r="F529" s="2" t="s">
        <v>9</v>
      </c>
      <c r="G529" s="2" t="s">
        <v>1292</v>
      </c>
      <c r="H529" s="2">
        <v>0</v>
      </c>
      <c r="I529" s="2" t="str" cm="1">
        <f t="array" ref="I529">_xlfn.IFS(a.nike.original.man[[#This Row],[Rating]]&lt;=2.9, "0 - 2.9",a.nike.original.man[[#This Row],[Rating]]&lt;=3.9,"3 - 3.9", a.nike.original.man[[#This Row],[Rating]]&lt;=5,"4 - 5")</f>
        <v>0 - 2.9</v>
      </c>
      <c r="J529" s="2">
        <v>0</v>
      </c>
      <c r="K529" s="2" t="str" cm="1">
        <f t="array" ref="K529">_xlfn.IFS(a.nike.original.man[[#This Row],[Reviews]]&lt;=7, "Below Average", a.nike.original.man[[#This Row],[Reviews]]&gt;=8, "Average +")</f>
        <v>Below Average</v>
      </c>
      <c r="L529" s="12" t="s">
        <v>1660</v>
      </c>
      <c r="M529" s="2" t="s">
        <v>1470</v>
      </c>
    </row>
    <row r="530" spans="1:13" x14ac:dyDescent="0.2">
      <c r="A530" s="1" t="s">
        <v>766</v>
      </c>
      <c r="B530" s="1" t="s">
        <v>1293</v>
      </c>
      <c r="C530" s="330">
        <v>89.95</v>
      </c>
      <c r="D530" s="330">
        <v>54</v>
      </c>
      <c r="E530" s="116">
        <v>0.4</v>
      </c>
      <c r="F530" s="1" t="s">
        <v>9</v>
      </c>
      <c r="G530" s="1" t="s">
        <v>1294</v>
      </c>
      <c r="H530" s="1">
        <v>0</v>
      </c>
      <c r="I530" s="1" t="str" cm="1">
        <f t="array" ref="I530">_xlfn.IFS(a.nike.original.man[[#This Row],[Rating]]&lt;=2.9, "0 - 2.9",a.nike.original.man[[#This Row],[Rating]]&lt;=3.9,"3 - 3.9", a.nike.original.man[[#This Row],[Rating]]&lt;=5,"4 - 5")</f>
        <v>0 - 2.9</v>
      </c>
      <c r="J530" s="1">
        <v>0</v>
      </c>
      <c r="K530" s="1" t="str" cm="1">
        <f t="array" ref="K530">_xlfn.IFS(a.nike.original.man[[#This Row],[Reviews]]&lt;=7, "Below Average", a.nike.original.man[[#This Row],[Reviews]]&gt;=8, "Average +")</f>
        <v>Below Average</v>
      </c>
      <c r="L530" s="11" t="s">
        <v>1660</v>
      </c>
      <c r="M530" s="1" t="s">
        <v>1470</v>
      </c>
    </row>
    <row r="531" spans="1:13" x14ac:dyDescent="0.2">
      <c r="A531" s="2" t="s">
        <v>569</v>
      </c>
      <c r="B531" s="2" t="s">
        <v>1295</v>
      </c>
      <c r="C531" s="331">
        <v>79.95</v>
      </c>
      <c r="D531" s="331">
        <v>48</v>
      </c>
      <c r="E531" s="116">
        <v>0.4</v>
      </c>
      <c r="F531" s="2" t="s">
        <v>9</v>
      </c>
      <c r="G531" s="2" t="s">
        <v>571</v>
      </c>
      <c r="H531" s="2">
        <v>0</v>
      </c>
      <c r="I531" s="2" t="str" cm="1">
        <f t="array" ref="I531">_xlfn.IFS(a.nike.original.man[[#This Row],[Rating]]&lt;=2.9, "0 - 2.9",a.nike.original.man[[#This Row],[Rating]]&lt;=3.9,"3 - 3.9", a.nike.original.man[[#This Row],[Rating]]&lt;=5,"4 - 5")</f>
        <v>0 - 2.9</v>
      </c>
      <c r="J531" s="2">
        <v>0</v>
      </c>
      <c r="K531" s="2" t="str" cm="1">
        <f t="array" ref="K531">_xlfn.IFS(a.nike.original.man[[#This Row],[Reviews]]&lt;=7, "Below Average", a.nike.original.man[[#This Row],[Reviews]]&gt;=8, "Average +")</f>
        <v>Below Average</v>
      </c>
      <c r="L531" s="12" t="s">
        <v>1660</v>
      </c>
      <c r="M531" s="2" t="s">
        <v>1470</v>
      </c>
    </row>
    <row r="532" spans="1:13" x14ac:dyDescent="0.2">
      <c r="A532" s="1" t="s">
        <v>66</v>
      </c>
      <c r="B532" s="1" t="s">
        <v>67</v>
      </c>
      <c r="C532" s="330">
        <v>79.95</v>
      </c>
      <c r="D532" s="330">
        <v>56</v>
      </c>
      <c r="E532" s="116">
        <v>0.3</v>
      </c>
      <c r="F532" s="1" t="s">
        <v>9</v>
      </c>
      <c r="G532" s="1" t="s">
        <v>68</v>
      </c>
      <c r="H532" s="1">
        <v>4.2</v>
      </c>
      <c r="I532" s="1" t="str" cm="1">
        <f t="array" ref="I532">_xlfn.IFS(a.nike.original.man[[#This Row],[Rating]]&lt;=2.9, "0 - 2.9",a.nike.original.man[[#This Row],[Rating]]&lt;=3.9,"3 - 3.9", a.nike.original.man[[#This Row],[Rating]]&lt;=5,"4 - 5")</f>
        <v>4 - 5</v>
      </c>
      <c r="J532" s="1">
        <v>6</v>
      </c>
      <c r="K532" s="1" t="str" cm="1">
        <f t="array" ref="K532">_xlfn.IFS(a.nike.original.man[[#This Row],[Reviews]]&lt;=7, "Below Average", a.nike.original.man[[#This Row],[Reviews]]&gt;=8, "Average +")</f>
        <v>Below Average</v>
      </c>
      <c r="L532" s="11" t="s">
        <v>1661</v>
      </c>
      <c r="M532" s="1" t="s">
        <v>1470</v>
      </c>
    </row>
    <row r="533" spans="1:13" x14ac:dyDescent="0.2">
      <c r="A533" s="1" t="s">
        <v>1144</v>
      </c>
      <c r="B533" s="1" t="s">
        <v>1145</v>
      </c>
      <c r="C533" s="330">
        <v>0</v>
      </c>
      <c r="D533" s="330">
        <v>70</v>
      </c>
      <c r="E533" s="116">
        <v>0</v>
      </c>
      <c r="F533" s="1" t="s">
        <v>9</v>
      </c>
      <c r="G533" s="1" t="s">
        <v>1146</v>
      </c>
      <c r="H533" s="1">
        <v>3.4</v>
      </c>
      <c r="I533" s="1" t="str" cm="1">
        <f t="array" ref="I533">_xlfn.IFS(a.nike.original.man[[#This Row],[Rating]]&lt;=2.9, "0 - 2.9",a.nike.original.man[[#This Row],[Rating]]&lt;=3.9,"3 - 3.9", a.nike.original.man[[#This Row],[Rating]]&lt;=5,"4 - 5")</f>
        <v>3 - 3.9</v>
      </c>
      <c r="J533" s="1">
        <v>5</v>
      </c>
      <c r="K533" s="1" t="str" cm="1">
        <f t="array" ref="K533">_xlfn.IFS(a.nike.original.man[[#This Row],[Reviews]]&lt;=7, "Below Average", a.nike.original.man[[#This Row],[Reviews]]&gt;=8, "Average +")</f>
        <v>Below Average</v>
      </c>
      <c r="L533" s="11" t="s">
        <v>1661</v>
      </c>
      <c r="M533" s="1" t="s">
        <v>1470</v>
      </c>
    </row>
    <row r="534" spans="1:13" x14ac:dyDescent="0.2">
      <c r="A534" s="2" t="s">
        <v>778</v>
      </c>
      <c r="B534" s="2" t="s">
        <v>779</v>
      </c>
      <c r="C534" s="331">
        <v>0</v>
      </c>
      <c r="D534" s="331">
        <v>65</v>
      </c>
      <c r="E534" s="116">
        <v>0</v>
      </c>
      <c r="F534" s="2" t="s">
        <v>9</v>
      </c>
      <c r="G534" s="2" t="s">
        <v>780</v>
      </c>
      <c r="H534" s="2">
        <v>5</v>
      </c>
      <c r="I534" s="2" t="str" cm="1">
        <f t="array" ref="I534">_xlfn.IFS(a.nike.original.man[[#This Row],[Rating]]&lt;=2.9, "0 - 2.9",a.nike.original.man[[#This Row],[Rating]]&lt;=3.9,"3 - 3.9", a.nike.original.man[[#This Row],[Rating]]&lt;=5,"4 - 5")</f>
        <v>4 - 5</v>
      </c>
      <c r="J534" s="2">
        <v>1</v>
      </c>
      <c r="K534" s="2" t="str" cm="1">
        <f t="array" ref="K534">_xlfn.IFS(a.nike.original.man[[#This Row],[Reviews]]&lt;=7, "Below Average", a.nike.original.man[[#This Row],[Reviews]]&gt;=8, "Average +")</f>
        <v>Below Average</v>
      </c>
      <c r="L534" s="12" t="s">
        <v>1661</v>
      </c>
      <c r="M534" s="2" t="s">
        <v>1470</v>
      </c>
    </row>
    <row r="535" spans="1:13" x14ac:dyDescent="0.2">
      <c r="A535" s="1" t="s">
        <v>1299</v>
      </c>
      <c r="B535" s="1" t="s">
        <v>1300</v>
      </c>
      <c r="C535" s="330">
        <v>79.95</v>
      </c>
      <c r="D535" s="330">
        <v>64</v>
      </c>
      <c r="E535" s="116">
        <v>0.2</v>
      </c>
      <c r="F535" s="1" t="s">
        <v>9</v>
      </c>
      <c r="G535" s="1" t="s">
        <v>1301</v>
      </c>
      <c r="H535" s="1">
        <v>1</v>
      </c>
      <c r="I535" s="1" t="str" cm="1">
        <f t="array" ref="I535">_xlfn.IFS(a.nike.original.man[[#This Row],[Rating]]&lt;=2.9, "0 - 2.9",a.nike.original.man[[#This Row],[Rating]]&lt;=3.9,"3 - 3.9", a.nike.original.man[[#This Row],[Rating]]&lt;=5,"4 - 5")</f>
        <v>0 - 2.9</v>
      </c>
      <c r="J535" s="1">
        <v>1</v>
      </c>
      <c r="K535" s="1" t="str" cm="1">
        <f t="array" ref="K535">_xlfn.IFS(a.nike.original.man[[#This Row],[Reviews]]&lt;=7, "Below Average", a.nike.original.man[[#This Row],[Reviews]]&gt;=8, "Average +")</f>
        <v>Below Average</v>
      </c>
      <c r="L535" s="11" t="s">
        <v>1661</v>
      </c>
      <c r="M535" s="1" t="s">
        <v>1470</v>
      </c>
    </row>
    <row r="536" spans="1:13" x14ac:dyDescent="0.2">
      <c r="A536" s="2" t="s">
        <v>1296</v>
      </c>
      <c r="B536" s="2" t="s">
        <v>1297</v>
      </c>
      <c r="C536" s="331">
        <v>89.95</v>
      </c>
      <c r="D536" s="331">
        <v>72</v>
      </c>
      <c r="E536" s="116">
        <v>0.2</v>
      </c>
      <c r="F536" s="2" t="s">
        <v>9</v>
      </c>
      <c r="G536" s="2" t="s">
        <v>1298</v>
      </c>
      <c r="H536" s="2">
        <v>4</v>
      </c>
      <c r="I536" s="2" t="str" cm="1">
        <f t="array" ref="I536">_xlfn.IFS(a.nike.original.man[[#This Row],[Rating]]&lt;=2.9, "0 - 2.9",a.nike.original.man[[#This Row],[Rating]]&lt;=3.9,"3 - 3.9", a.nike.original.man[[#This Row],[Rating]]&lt;=5,"4 - 5")</f>
        <v>4 - 5</v>
      </c>
      <c r="J536" s="2">
        <v>19</v>
      </c>
      <c r="K536" s="2" t="str" cm="1">
        <f t="array" ref="K536">_xlfn.IFS(a.nike.original.man[[#This Row],[Reviews]]&lt;=7, "Below Average", a.nike.original.man[[#This Row],[Reviews]]&gt;=8, "Average +")</f>
        <v>Average +</v>
      </c>
      <c r="L536" s="12" t="s">
        <v>1661</v>
      </c>
      <c r="M536" s="2" t="s">
        <v>1470</v>
      </c>
    </row>
    <row r="537" spans="1:13" x14ac:dyDescent="0.2">
      <c r="A537" s="2" t="s">
        <v>806</v>
      </c>
      <c r="B537" s="2" t="s">
        <v>807</v>
      </c>
      <c r="C537" s="331">
        <v>49.95</v>
      </c>
      <c r="D537" s="331">
        <v>35</v>
      </c>
      <c r="E537" s="116">
        <v>0.3</v>
      </c>
      <c r="F537" s="2" t="s">
        <v>9</v>
      </c>
      <c r="G537" s="2" t="s">
        <v>808</v>
      </c>
      <c r="H537" s="2">
        <v>0</v>
      </c>
      <c r="I537" s="2" t="str" cm="1">
        <f t="array" ref="I537">_xlfn.IFS(a.nike.original.man[[#This Row],[Rating]]&lt;=2.9, "0 - 2.9",a.nike.original.man[[#This Row],[Rating]]&lt;=3.9,"3 - 3.9", a.nike.original.man[[#This Row],[Rating]]&lt;=5,"4 - 5")</f>
        <v>0 - 2.9</v>
      </c>
      <c r="J537" s="2">
        <v>0</v>
      </c>
      <c r="K537" s="2" t="str" cm="1">
        <f t="array" ref="K537">_xlfn.IFS(a.nike.original.man[[#This Row],[Reviews]]&lt;=7, "Below Average", a.nike.original.man[[#This Row],[Reviews]]&gt;=8, "Average +")</f>
        <v>Below Average</v>
      </c>
      <c r="L537" s="12" t="s">
        <v>1662</v>
      </c>
      <c r="M537" s="2" t="s">
        <v>1470</v>
      </c>
    </row>
    <row r="538" spans="1:13" x14ac:dyDescent="0.2">
      <c r="A538" s="1" t="s">
        <v>383</v>
      </c>
      <c r="B538" s="1" t="s">
        <v>1302</v>
      </c>
      <c r="C538" s="330">
        <v>159.94999999999999</v>
      </c>
      <c r="D538" s="330">
        <v>112</v>
      </c>
      <c r="E538" s="116">
        <v>0.3</v>
      </c>
      <c r="F538" s="1" t="s">
        <v>9</v>
      </c>
      <c r="G538" s="1" t="s">
        <v>907</v>
      </c>
      <c r="H538" s="1">
        <v>0</v>
      </c>
      <c r="I538" s="1" t="str" cm="1">
        <f t="array" ref="I538">_xlfn.IFS(a.nike.original.man[[#This Row],[Rating]]&lt;=2.9, "0 - 2.9",a.nike.original.man[[#This Row],[Rating]]&lt;=3.9,"3 - 3.9", a.nike.original.man[[#This Row],[Rating]]&lt;=5,"4 - 5")</f>
        <v>0 - 2.9</v>
      </c>
      <c r="J538" s="1">
        <v>0</v>
      </c>
      <c r="K538" s="1" t="str" cm="1">
        <f t="array" ref="K538">_xlfn.IFS(a.nike.original.man[[#This Row],[Reviews]]&lt;=7, "Below Average", a.nike.original.man[[#This Row],[Reviews]]&gt;=8, "Average +")</f>
        <v>Below Average</v>
      </c>
      <c r="L538" s="11" t="s">
        <v>1662</v>
      </c>
      <c r="M538" s="1" t="s">
        <v>1470</v>
      </c>
    </row>
    <row r="539" spans="1:13" x14ac:dyDescent="0.2">
      <c r="A539" s="2" t="s">
        <v>1303</v>
      </c>
      <c r="B539" s="2" t="s">
        <v>1304</v>
      </c>
      <c r="C539" s="331">
        <v>159.94999999999999</v>
      </c>
      <c r="D539" s="331">
        <v>112</v>
      </c>
      <c r="E539" s="116">
        <v>0.3</v>
      </c>
      <c r="F539" s="2" t="s">
        <v>9</v>
      </c>
      <c r="G539" s="2" t="s">
        <v>1305</v>
      </c>
      <c r="H539" s="2">
        <v>4.8</v>
      </c>
      <c r="I539" s="2" t="str" cm="1">
        <f t="array" ref="I539">_xlfn.IFS(a.nike.original.man[[#This Row],[Rating]]&lt;=2.9, "0 - 2.9",a.nike.original.man[[#This Row],[Rating]]&lt;=3.9,"3 - 3.9", a.nike.original.man[[#This Row],[Rating]]&lt;=5,"4 - 5")</f>
        <v>4 - 5</v>
      </c>
      <c r="J539" s="2">
        <v>4</v>
      </c>
      <c r="K539" s="2" t="str" cm="1">
        <f t="array" ref="K539">_xlfn.IFS(a.nike.original.man[[#This Row],[Reviews]]&lt;=7, "Below Average", a.nike.original.man[[#This Row],[Reviews]]&gt;=8, "Average +")</f>
        <v>Below Average</v>
      </c>
      <c r="L539" s="12" t="s">
        <v>1663</v>
      </c>
      <c r="M539" s="2" t="s">
        <v>1470</v>
      </c>
    </row>
    <row r="540" spans="1:13" x14ac:dyDescent="0.2">
      <c r="A540" s="2" t="s">
        <v>837</v>
      </c>
      <c r="B540" s="2" t="s">
        <v>838</v>
      </c>
      <c r="C540" s="331">
        <v>0</v>
      </c>
      <c r="D540" s="331">
        <v>250</v>
      </c>
      <c r="E540" s="116">
        <v>0</v>
      </c>
      <c r="F540" s="2" t="s">
        <v>9</v>
      </c>
      <c r="G540" s="2" t="s">
        <v>839</v>
      </c>
      <c r="H540" s="2">
        <v>5</v>
      </c>
      <c r="I540" s="2" t="str" cm="1">
        <f t="array" ref="I540">_xlfn.IFS(a.nike.original.man[[#This Row],[Rating]]&lt;=2.9, "0 - 2.9",a.nike.original.man[[#This Row],[Rating]]&lt;=3.9,"3 - 3.9", a.nike.original.man[[#This Row],[Rating]]&lt;=5,"4 - 5")</f>
        <v>4 - 5</v>
      </c>
      <c r="J540" s="2">
        <v>1</v>
      </c>
      <c r="K540" s="2" t="str" cm="1">
        <f t="array" ref="K540">_xlfn.IFS(a.nike.original.man[[#This Row],[Reviews]]&lt;=7, "Below Average", a.nike.original.man[[#This Row],[Reviews]]&gt;=8, "Average +")</f>
        <v>Below Average</v>
      </c>
      <c r="L540" s="12" t="s">
        <v>1663</v>
      </c>
      <c r="M540" s="2" t="s">
        <v>1470</v>
      </c>
    </row>
    <row r="541" spans="1:13" x14ac:dyDescent="0.2">
      <c r="A541" s="1" t="s">
        <v>1221</v>
      </c>
      <c r="B541" s="1" t="s">
        <v>1222</v>
      </c>
      <c r="C541" s="330">
        <v>0</v>
      </c>
      <c r="D541" s="330">
        <v>140</v>
      </c>
      <c r="E541" s="116">
        <v>0</v>
      </c>
      <c r="F541" s="1" t="s">
        <v>9</v>
      </c>
      <c r="G541" s="1" t="s">
        <v>1223</v>
      </c>
      <c r="H541" s="1">
        <v>3.8</v>
      </c>
      <c r="I541" s="1" t="str" cm="1">
        <f t="array" ref="I541">_xlfn.IFS(a.nike.original.man[[#This Row],[Rating]]&lt;=2.9, "0 - 2.9",a.nike.original.man[[#This Row],[Rating]]&lt;=3.9,"3 - 3.9", a.nike.original.man[[#This Row],[Rating]]&lt;=5,"4 - 5")</f>
        <v>3 - 3.9</v>
      </c>
      <c r="J541" s="1">
        <v>15</v>
      </c>
      <c r="K541" s="1" t="str" cm="1">
        <f t="array" ref="K541">_xlfn.IFS(a.nike.original.man[[#This Row],[Reviews]]&lt;=7, "Below Average", a.nike.original.man[[#This Row],[Reviews]]&gt;=8, "Average +")</f>
        <v>Average +</v>
      </c>
      <c r="L541" s="11" t="s">
        <v>1663</v>
      </c>
      <c r="M541" s="1" t="s">
        <v>1470</v>
      </c>
    </row>
    <row r="542" spans="1:13" x14ac:dyDescent="0.2">
      <c r="A542" s="1" t="s">
        <v>1032</v>
      </c>
      <c r="B542" s="1" t="s">
        <v>1306</v>
      </c>
      <c r="C542" s="330">
        <v>139.94999999999999</v>
      </c>
      <c r="D542" s="330">
        <v>84</v>
      </c>
      <c r="E542" s="116">
        <v>0.4</v>
      </c>
      <c r="F542" s="1" t="s">
        <v>9</v>
      </c>
      <c r="G542" s="1" t="s">
        <v>1034</v>
      </c>
      <c r="H542" s="1">
        <v>5</v>
      </c>
      <c r="I542" s="1" t="str" cm="1">
        <f t="array" ref="I542">_xlfn.IFS(a.nike.original.man[[#This Row],[Rating]]&lt;=2.9, "0 - 2.9",a.nike.original.man[[#This Row],[Rating]]&lt;=3.9,"3 - 3.9", a.nike.original.man[[#This Row],[Rating]]&lt;=5,"4 - 5")</f>
        <v>4 - 5</v>
      </c>
      <c r="J542" s="1">
        <v>2</v>
      </c>
      <c r="K542" s="1" t="str" cm="1">
        <f t="array" ref="K542">_xlfn.IFS(a.nike.original.man[[#This Row],[Reviews]]&lt;=7, "Below Average", a.nike.original.man[[#This Row],[Reviews]]&gt;=8, "Average +")</f>
        <v>Below Average</v>
      </c>
      <c r="L542" s="11" t="s">
        <v>1664</v>
      </c>
      <c r="M542" s="1" t="s">
        <v>1470</v>
      </c>
    </row>
    <row r="543" spans="1:13" x14ac:dyDescent="0.2">
      <c r="A543" s="2" t="s">
        <v>914</v>
      </c>
      <c r="B543" s="2" t="s">
        <v>1312</v>
      </c>
      <c r="C543" s="331">
        <v>0</v>
      </c>
      <c r="D543" s="331">
        <v>100</v>
      </c>
      <c r="E543" s="116">
        <v>0</v>
      </c>
      <c r="F543" s="2" t="s">
        <v>9</v>
      </c>
      <c r="G543" s="2" t="s">
        <v>916</v>
      </c>
      <c r="H543" s="2">
        <v>4.5</v>
      </c>
      <c r="I543" s="2" t="str" cm="1">
        <f t="array" ref="I543">_xlfn.IFS(a.nike.original.man[[#This Row],[Rating]]&lt;=2.9, "0 - 2.9",a.nike.original.man[[#This Row],[Rating]]&lt;=3.9,"3 - 3.9", a.nike.original.man[[#This Row],[Rating]]&lt;=5,"4 - 5")</f>
        <v>4 - 5</v>
      </c>
      <c r="J543" s="2">
        <v>2</v>
      </c>
      <c r="K543" s="2" t="str" cm="1">
        <f t="array" ref="K543">_xlfn.IFS(a.nike.original.man[[#This Row],[Reviews]]&lt;=7, "Below Average", a.nike.original.man[[#This Row],[Reviews]]&gt;=8, "Average +")</f>
        <v>Below Average</v>
      </c>
      <c r="L543" s="12" t="s">
        <v>1664</v>
      </c>
      <c r="M543" s="2" t="s">
        <v>1470</v>
      </c>
    </row>
    <row r="544" spans="1:13" x14ac:dyDescent="0.2">
      <c r="A544" s="2" t="s">
        <v>1208</v>
      </c>
      <c r="B544" s="2" t="s">
        <v>1307</v>
      </c>
      <c r="C544" s="331">
        <v>159.94999999999999</v>
      </c>
      <c r="D544" s="331">
        <v>112</v>
      </c>
      <c r="E544" s="116">
        <v>0.3</v>
      </c>
      <c r="F544" s="2" t="s">
        <v>9</v>
      </c>
      <c r="G544" s="2" t="s">
        <v>1308</v>
      </c>
      <c r="H544" s="2">
        <v>0</v>
      </c>
      <c r="I544" s="2" t="str" cm="1">
        <f t="array" ref="I544">_xlfn.IFS(a.nike.original.man[[#This Row],[Rating]]&lt;=2.9, "0 - 2.9",a.nike.original.man[[#This Row],[Rating]]&lt;=3.9,"3 - 3.9", a.nike.original.man[[#This Row],[Rating]]&lt;=5,"4 - 5")</f>
        <v>0 - 2.9</v>
      </c>
      <c r="J544" s="2">
        <v>0</v>
      </c>
      <c r="K544" s="2" t="str" cm="1">
        <f t="array" ref="K544">_xlfn.IFS(a.nike.original.man[[#This Row],[Reviews]]&lt;=7, "Below Average", a.nike.original.man[[#This Row],[Reviews]]&gt;=8, "Average +")</f>
        <v>Below Average</v>
      </c>
      <c r="L544" s="12" t="s">
        <v>1664</v>
      </c>
      <c r="M544" s="2" t="s">
        <v>1470</v>
      </c>
    </row>
    <row r="545" spans="1:13" x14ac:dyDescent="0.2">
      <c r="A545" s="1" t="s">
        <v>1313</v>
      </c>
      <c r="B545" s="1" t="s">
        <v>1314</v>
      </c>
      <c r="C545" s="330">
        <v>0</v>
      </c>
      <c r="D545" s="330">
        <v>140</v>
      </c>
      <c r="E545" s="116">
        <v>0</v>
      </c>
      <c r="F545" s="1" t="s">
        <v>9</v>
      </c>
      <c r="G545" s="1" t="s">
        <v>1315</v>
      </c>
      <c r="H545" s="1">
        <v>0</v>
      </c>
      <c r="I545" s="1" t="str" cm="1">
        <f t="array" ref="I545">_xlfn.IFS(a.nike.original.man[[#This Row],[Rating]]&lt;=2.9, "0 - 2.9",a.nike.original.man[[#This Row],[Rating]]&lt;=3.9,"3 - 3.9", a.nike.original.man[[#This Row],[Rating]]&lt;=5,"4 - 5")</f>
        <v>0 - 2.9</v>
      </c>
      <c r="J545" s="1">
        <v>0</v>
      </c>
      <c r="K545" s="1" t="str" cm="1">
        <f t="array" ref="K545">_xlfn.IFS(a.nike.original.man[[#This Row],[Reviews]]&lt;=7, "Below Average", a.nike.original.man[[#This Row],[Reviews]]&gt;=8, "Average +")</f>
        <v>Below Average</v>
      </c>
      <c r="L545" s="11" t="s">
        <v>1664</v>
      </c>
      <c r="M545" s="1" t="s">
        <v>1470</v>
      </c>
    </row>
    <row r="546" spans="1:13" x14ac:dyDescent="0.2">
      <c r="A546" s="1" t="s">
        <v>1309</v>
      </c>
      <c r="B546" s="1" t="s">
        <v>1310</v>
      </c>
      <c r="C546" s="330">
        <v>89.95</v>
      </c>
      <c r="D546" s="330">
        <v>72</v>
      </c>
      <c r="E546" s="116">
        <v>0.2</v>
      </c>
      <c r="F546" s="1" t="s">
        <v>9</v>
      </c>
      <c r="G546" s="1" t="s">
        <v>1311</v>
      </c>
      <c r="H546" s="1">
        <v>4.5999999999999996</v>
      </c>
      <c r="I546" s="1" t="str" cm="1">
        <f t="array" ref="I546">_xlfn.IFS(a.nike.original.man[[#This Row],[Rating]]&lt;=2.9, "0 - 2.9",a.nike.original.man[[#This Row],[Rating]]&lt;=3.9,"3 - 3.9", a.nike.original.man[[#This Row],[Rating]]&lt;=5,"4 - 5")</f>
        <v>4 - 5</v>
      </c>
      <c r="J546" s="1">
        <v>12</v>
      </c>
      <c r="K546" s="1" t="str" cm="1">
        <f t="array" ref="K546">_xlfn.IFS(a.nike.original.man[[#This Row],[Reviews]]&lt;=7, "Below Average", a.nike.original.man[[#This Row],[Reviews]]&gt;=8, "Average +")</f>
        <v>Average +</v>
      </c>
      <c r="L546" s="11" t="s">
        <v>1664</v>
      </c>
      <c r="M546" s="1" t="s">
        <v>1470</v>
      </c>
    </row>
    <row r="547" spans="1:13" x14ac:dyDescent="0.2">
      <c r="A547" s="2" t="s">
        <v>925</v>
      </c>
      <c r="B547" s="2" t="s">
        <v>926</v>
      </c>
      <c r="C547" s="331">
        <v>0</v>
      </c>
      <c r="D547" s="331">
        <v>45</v>
      </c>
      <c r="E547" s="116">
        <v>0</v>
      </c>
      <c r="F547" s="2" t="s">
        <v>9</v>
      </c>
      <c r="G547" s="2" t="s">
        <v>927</v>
      </c>
      <c r="H547" s="2">
        <v>4.3</v>
      </c>
      <c r="I547" s="2" t="str" cm="1">
        <f t="array" ref="I547">_xlfn.IFS(a.nike.original.man[[#This Row],[Rating]]&lt;=2.9, "0 - 2.9",a.nike.original.man[[#This Row],[Rating]]&lt;=3.9,"3 - 3.9", a.nike.original.man[[#This Row],[Rating]]&lt;=5,"4 - 5")</f>
        <v>4 - 5</v>
      </c>
      <c r="J547" s="2">
        <v>3</v>
      </c>
      <c r="K547" s="2" t="str" cm="1">
        <f t="array" ref="K547">_xlfn.IFS(a.nike.original.man[[#This Row],[Reviews]]&lt;=7, "Below Average", a.nike.original.man[[#This Row],[Reviews]]&gt;=8, "Average +")</f>
        <v>Below Average</v>
      </c>
      <c r="L547" s="12" t="s">
        <v>1665</v>
      </c>
      <c r="M547" s="2" t="s">
        <v>1470</v>
      </c>
    </row>
    <row r="548" spans="1:13" x14ac:dyDescent="0.2">
      <c r="A548" s="1" t="s">
        <v>1229</v>
      </c>
      <c r="B548" s="1" t="s">
        <v>1230</v>
      </c>
      <c r="C548" s="330">
        <v>119.95</v>
      </c>
      <c r="D548" s="330">
        <v>84</v>
      </c>
      <c r="E548" s="116">
        <v>0.3</v>
      </c>
      <c r="F548" s="1" t="s">
        <v>9</v>
      </c>
      <c r="G548" s="1" t="s">
        <v>1231</v>
      </c>
      <c r="H548" s="1">
        <v>4</v>
      </c>
      <c r="I548" s="1" t="str" cm="1">
        <f t="array" ref="I548">_xlfn.IFS(a.nike.original.man[[#This Row],[Rating]]&lt;=2.9, "0 - 2.9",a.nike.original.man[[#This Row],[Rating]]&lt;=3.9,"3 - 3.9", a.nike.original.man[[#This Row],[Rating]]&lt;=5,"4 - 5")</f>
        <v>4 - 5</v>
      </c>
      <c r="J548" s="1">
        <v>2</v>
      </c>
      <c r="K548" s="1" t="str" cm="1">
        <f t="array" ref="K548">_xlfn.IFS(a.nike.original.man[[#This Row],[Reviews]]&lt;=7, "Below Average", a.nike.original.man[[#This Row],[Reviews]]&gt;=8, "Average +")</f>
        <v>Below Average</v>
      </c>
      <c r="L548" s="11" t="s">
        <v>1665</v>
      </c>
      <c r="M548" s="1" t="s">
        <v>1470</v>
      </c>
    </row>
    <row r="549" spans="1:13" x14ac:dyDescent="0.2">
      <c r="A549" s="2" t="s">
        <v>1026</v>
      </c>
      <c r="B549" s="2" t="s">
        <v>1027</v>
      </c>
      <c r="C549" s="331">
        <v>44.95</v>
      </c>
      <c r="D549" s="331">
        <v>31</v>
      </c>
      <c r="E549" s="116">
        <v>0.3</v>
      </c>
      <c r="F549" s="2" t="s">
        <v>9</v>
      </c>
      <c r="G549" s="2" t="s">
        <v>1028</v>
      </c>
      <c r="H549" s="2">
        <v>2</v>
      </c>
      <c r="I549" s="2" t="str" cm="1">
        <f t="array" ref="I549">_xlfn.IFS(a.nike.original.man[[#This Row],[Rating]]&lt;=2.9, "0 - 2.9",a.nike.original.man[[#This Row],[Rating]]&lt;=3.9,"3 - 3.9", a.nike.original.man[[#This Row],[Rating]]&lt;=5,"4 - 5")</f>
        <v>0 - 2.9</v>
      </c>
      <c r="J549" s="2">
        <v>1</v>
      </c>
      <c r="K549" s="2" t="str" cm="1">
        <f t="array" ref="K549">_xlfn.IFS(a.nike.original.man[[#This Row],[Reviews]]&lt;=7, "Below Average", a.nike.original.man[[#This Row],[Reviews]]&gt;=8, "Average +")</f>
        <v>Below Average</v>
      </c>
      <c r="L549" s="12" t="s">
        <v>1665</v>
      </c>
      <c r="M549" s="2" t="s">
        <v>1470</v>
      </c>
    </row>
    <row r="550" spans="1:13" x14ac:dyDescent="0.2">
      <c r="A550" s="1" t="s">
        <v>1321</v>
      </c>
      <c r="B550" s="1" t="s">
        <v>1322</v>
      </c>
      <c r="C550" s="330">
        <v>44.95</v>
      </c>
      <c r="D550" s="330">
        <v>31</v>
      </c>
      <c r="E550" s="116">
        <v>0.3</v>
      </c>
      <c r="F550" s="1" t="s">
        <v>9</v>
      </c>
      <c r="G550" s="1" t="s">
        <v>1323</v>
      </c>
      <c r="H550" s="1">
        <v>5</v>
      </c>
      <c r="I550" s="1" t="str" cm="1">
        <f t="array" ref="I550">_xlfn.IFS(a.nike.original.man[[#This Row],[Rating]]&lt;=2.9, "0 - 2.9",a.nike.original.man[[#This Row],[Rating]]&lt;=3.9,"3 - 3.9", a.nike.original.man[[#This Row],[Rating]]&lt;=5,"4 - 5")</f>
        <v>4 - 5</v>
      </c>
      <c r="J550" s="1">
        <v>1</v>
      </c>
      <c r="K550" s="1" t="str" cm="1">
        <f t="array" ref="K550">_xlfn.IFS(a.nike.original.man[[#This Row],[Reviews]]&lt;=7, "Below Average", a.nike.original.man[[#This Row],[Reviews]]&gt;=8, "Average +")</f>
        <v>Below Average</v>
      </c>
      <c r="L550" s="11" t="s">
        <v>1666</v>
      </c>
      <c r="M550" s="1" t="s">
        <v>1470</v>
      </c>
    </row>
    <row r="551" spans="1:13" x14ac:dyDescent="0.2">
      <c r="A551" s="1" t="s">
        <v>863</v>
      </c>
      <c r="B551" s="1" t="s">
        <v>1316</v>
      </c>
      <c r="C551" s="330">
        <v>0</v>
      </c>
      <c r="D551" s="330">
        <v>160</v>
      </c>
      <c r="E551" s="116">
        <v>0</v>
      </c>
      <c r="F551" s="1" t="s">
        <v>9</v>
      </c>
      <c r="G551" s="1" t="s">
        <v>1317</v>
      </c>
      <c r="H551" s="1">
        <v>3.5</v>
      </c>
      <c r="I551" s="1" t="str" cm="1">
        <f t="array" ref="I551">_xlfn.IFS(a.nike.original.man[[#This Row],[Rating]]&lt;=2.9, "0 - 2.9",a.nike.original.man[[#This Row],[Rating]]&lt;=3.9,"3 - 3.9", a.nike.original.man[[#This Row],[Rating]]&lt;=5,"4 - 5")</f>
        <v>3 - 3.9</v>
      </c>
      <c r="J551" s="1">
        <v>18</v>
      </c>
      <c r="K551" s="1" t="str" cm="1">
        <f t="array" ref="K551">_xlfn.IFS(a.nike.original.man[[#This Row],[Reviews]]&lt;=7, "Below Average", a.nike.original.man[[#This Row],[Reviews]]&gt;=8, "Average +")</f>
        <v>Average +</v>
      </c>
      <c r="L551" s="11" t="s">
        <v>1666</v>
      </c>
      <c r="M551" s="1" t="s">
        <v>1470</v>
      </c>
    </row>
    <row r="552" spans="1:13" x14ac:dyDescent="0.2">
      <c r="A552" s="2" t="s">
        <v>1318</v>
      </c>
      <c r="B552" s="2" t="s">
        <v>1319</v>
      </c>
      <c r="C552" s="331">
        <v>74.95</v>
      </c>
      <c r="D552" s="331">
        <v>60</v>
      </c>
      <c r="E552" s="116">
        <v>0.2</v>
      </c>
      <c r="F552" s="2" t="s">
        <v>9</v>
      </c>
      <c r="G552" s="2" t="s">
        <v>1320</v>
      </c>
      <c r="H552" s="2">
        <v>3.2</v>
      </c>
      <c r="I552" s="2" t="str" cm="1">
        <f t="array" ref="I552">_xlfn.IFS(a.nike.original.man[[#This Row],[Rating]]&lt;=2.9, "0 - 2.9",a.nike.original.man[[#This Row],[Rating]]&lt;=3.9,"3 - 3.9", a.nike.original.man[[#This Row],[Rating]]&lt;=5,"4 - 5")</f>
        <v>3 - 3.9</v>
      </c>
      <c r="J552" s="2">
        <v>15</v>
      </c>
      <c r="K552" s="2" t="str" cm="1">
        <f t="array" ref="K552">_xlfn.IFS(a.nike.original.man[[#This Row],[Reviews]]&lt;=7, "Below Average", a.nike.original.man[[#This Row],[Reviews]]&gt;=8, "Average +")</f>
        <v>Average +</v>
      </c>
      <c r="L552" s="12" t="s">
        <v>1666</v>
      </c>
      <c r="M552" s="2" t="s">
        <v>1470</v>
      </c>
    </row>
    <row r="553" spans="1:13" x14ac:dyDescent="0.2">
      <c r="A553" s="2" t="s">
        <v>1327</v>
      </c>
      <c r="B553" s="2" t="s">
        <v>1328</v>
      </c>
      <c r="C553" s="331">
        <v>84.95</v>
      </c>
      <c r="D553" s="331">
        <v>68</v>
      </c>
      <c r="E553" s="116">
        <v>0.2</v>
      </c>
      <c r="F553" s="2" t="s">
        <v>9</v>
      </c>
      <c r="G553" s="2" t="s">
        <v>1329</v>
      </c>
      <c r="H553" s="2">
        <v>3.6</v>
      </c>
      <c r="I553" s="2" t="str" cm="1">
        <f t="array" ref="I553">_xlfn.IFS(a.nike.original.man[[#This Row],[Rating]]&lt;=2.9, "0 - 2.9",a.nike.original.man[[#This Row],[Rating]]&lt;=3.9,"3 - 3.9", a.nike.original.man[[#This Row],[Rating]]&lt;=5,"4 - 5")</f>
        <v>3 - 3.9</v>
      </c>
      <c r="J553" s="2">
        <v>5</v>
      </c>
      <c r="K553" s="2" t="str" cm="1">
        <f t="array" ref="K553">_xlfn.IFS(a.nike.original.man[[#This Row],[Reviews]]&lt;=7, "Below Average", a.nike.original.man[[#This Row],[Reviews]]&gt;=8, "Average +")</f>
        <v>Below Average</v>
      </c>
      <c r="L553" s="12" t="s">
        <v>1667</v>
      </c>
      <c r="M553" s="2" t="s">
        <v>1470</v>
      </c>
    </row>
    <row r="554" spans="1:13" x14ac:dyDescent="0.2">
      <c r="A554" s="2" t="s">
        <v>1324</v>
      </c>
      <c r="B554" s="2" t="s">
        <v>1325</v>
      </c>
      <c r="C554" s="331">
        <v>159.94999999999999</v>
      </c>
      <c r="D554" s="331">
        <v>128</v>
      </c>
      <c r="E554" s="116">
        <v>0.2</v>
      </c>
      <c r="F554" s="2" t="s">
        <v>9</v>
      </c>
      <c r="G554" s="2" t="s">
        <v>1326</v>
      </c>
      <c r="H554" s="2">
        <v>5</v>
      </c>
      <c r="I554" s="2" t="str" cm="1">
        <f t="array" ref="I554">_xlfn.IFS(a.nike.original.man[[#This Row],[Rating]]&lt;=2.9, "0 - 2.9",a.nike.original.man[[#This Row],[Rating]]&lt;=3.9,"3 - 3.9", a.nike.original.man[[#This Row],[Rating]]&lt;=5,"4 - 5")</f>
        <v>4 - 5</v>
      </c>
      <c r="J554" s="2">
        <v>1</v>
      </c>
      <c r="K554" s="2" t="str" cm="1">
        <f t="array" ref="K554">_xlfn.IFS(a.nike.original.man[[#This Row],[Reviews]]&lt;=7, "Below Average", a.nike.original.man[[#This Row],[Reviews]]&gt;=8, "Average +")</f>
        <v>Below Average</v>
      </c>
      <c r="L554" s="12" t="s">
        <v>1667</v>
      </c>
      <c r="M554" s="2" t="s">
        <v>1470</v>
      </c>
    </row>
    <row r="555" spans="1:13" x14ac:dyDescent="0.2">
      <c r="A555" s="1" t="s">
        <v>380</v>
      </c>
      <c r="B555" s="1" t="s">
        <v>1330</v>
      </c>
      <c r="C555" s="330">
        <v>149.94999999999999</v>
      </c>
      <c r="D555" s="330">
        <v>105</v>
      </c>
      <c r="E555" s="116">
        <v>0.3</v>
      </c>
      <c r="F555" s="1" t="s">
        <v>9</v>
      </c>
      <c r="G555" s="1" t="s">
        <v>507</v>
      </c>
      <c r="H555" s="1">
        <v>5</v>
      </c>
      <c r="I555" s="1" t="str" cm="1">
        <f t="array" ref="I555">_xlfn.IFS(a.nike.original.man[[#This Row],[Rating]]&lt;=2.9, "0 - 2.9",a.nike.original.man[[#This Row],[Rating]]&lt;=3.9,"3 - 3.9", a.nike.original.man[[#This Row],[Rating]]&lt;=5,"4 - 5")</f>
        <v>4 - 5</v>
      </c>
      <c r="J555" s="1">
        <v>1</v>
      </c>
      <c r="K555" s="1" t="str" cm="1">
        <f t="array" ref="K555">_xlfn.IFS(a.nike.original.man[[#This Row],[Reviews]]&lt;=7, "Below Average", a.nike.original.man[[#This Row],[Reviews]]&gt;=8, "Average +")</f>
        <v>Below Average</v>
      </c>
      <c r="L555" s="11" t="s">
        <v>1667</v>
      </c>
      <c r="M555" s="1" t="s">
        <v>1470</v>
      </c>
    </row>
    <row r="556" spans="1:13" x14ac:dyDescent="0.2">
      <c r="A556" s="1" t="s">
        <v>704</v>
      </c>
      <c r="B556" s="1" t="s">
        <v>705</v>
      </c>
      <c r="C556" s="330">
        <v>0</v>
      </c>
      <c r="D556" s="330">
        <v>60</v>
      </c>
      <c r="E556" s="116">
        <v>0</v>
      </c>
      <c r="F556" s="1" t="s">
        <v>9</v>
      </c>
      <c r="G556" s="1" t="s">
        <v>706</v>
      </c>
      <c r="H556" s="1">
        <v>0</v>
      </c>
      <c r="I556" s="1" t="str" cm="1">
        <f t="array" ref="I556">_xlfn.IFS(a.nike.original.man[[#This Row],[Rating]]&lt;=2.9, "0 - 2.9",a.nike.original.man[[#This Row],[Rating]]&lt;=3.9,"3 - 3.9", a.nike.original.man[[#This Row],[Rating]]&lt;=5,"4 - 5")</f>
        <v>0 - 2.9</v>
      </c>
      <c r="J556" s="1">
        <v>0</v>
      </c>
      <c r="K556" s="1" t="str" cm="1">
        <f t="array" ref="K556">_xlfn.IFS(a.nike.original.man[[#This Row],[Reviews]]&lt;=7, "Below Average", a.nike.original.man[[#This Row],[Reviews]]&gt;=8, "Average +")</f>
        <v>Below Average</v>
      </c>
      <c r="L556" s="11" t="s">
        <v>1667</v>
      </c>
      <c r="M556" s="1" t="s">
        <v>1470</v>
      </c>
    </row>
    <row r="557" spans="1:13" x14ac:dyDescent="0.2">
      <c r="A557" s="2" t="s">
        <v>1226</v>
      </c>
      <c r="B557" s="2" t="s">
        <v>1227</v>
      </c>
      <c r="C557" s="331">
        <v>0</v>
      </c>
      <c r="D557" s="331">
        <v>65</v>
      </c>
      <c r="E557" s="116">
        <v>0</v>
      </c>
      <c r="F557" s="2" t="s">
        <v>9</v>
      </c>
      <c r="G557" s="2" t="s">
        <v>1228</v>
      </c>
      <c r="H557" s="2">
        <v>0</v>
      </c>
      <c r="I557" s="2" t="str" cm="1">
        <f t="array" ref="I557">_xlfn.IFS(a.nike.original.man[[#This Row],[Rating]]&lt;=2.9, "0 - 2.9",a.nike.original.man[[#This Row],[Rating]]&lt;=3.9,"3 - 3.9", a.nike.original.man[[#This Row],[Rating]]&lt;=5,"4 - 5")</f>
        <v>0 - 2.9</v>
      </c>
      <c r="J557" s="2">
        <v>0</v>
      </c>
      <c r="K557" s="2" t="str" cm="1">
        <f t="array" ref="K557">_xlfn.IFS(a.nike.original.man[[#This Row],[Reviews]]&lt;=7, "Below Average", a.nike.original.man[[#This Row],[Reviews]]&gt;=8, "Average +")</f>
        <v>Below Average</v>
      </c>
      <c r="L557" s="12" t="s">
        <v>1668</v>
      </c>
      <c r="M557" s="2" t="s">
        <v>1470</v>
      </c>
    </row>
    <row r="558" spans="1:13" x14ac:dyDescent="0.2">
      <c r="A558" s="1" t="s">
        <v>854</v>
      </c>
      <c r="B558" s="1" t="s">
        <v>855</v>
      </c>
      <c r="C558" s="330">
        <v>0</v>
      </c>
      <c r="D558" s="330">
        <v>220</v>
      </c>
      <c r="E558" s="116">
        <v>0</v>
      </c>
      <c r="F558" s="1" t="s">
        <v>9</v>
      </c>
      <c r="G558" s="1" t="s">
        <v>856</v>
      </c>
      <c r="H558" s="1">
        <v>0</v>
      </c>
      <c r="I558" s="1" t="str" cm="1">
        <f t="array" ref="I558">_xlfn.IFS(a.nike.original.man[[#This Row],[Rating]]&lt;=2.9, "0 - 2.9",a.nike.original.man[[#This Row],[Rating]]&lt;=3.9,"3 - 3.9", a.nike.original.man[[#This Row],[Rating]]&lt;=5,"4 - 5")</f>
        <v>0 - 2.9</v>
      </c>
      <c r="J558" s="1">
        <v>0</v>
      </c>
      <c r="K558" s="1" t="str" cm="1">
        <f t="array" ref="K558">_xlfn.IFS(a.nike.original.man[[#This Row],[Reviews]]&lt;=7, "Below Average", a.nike.original.man[[#This Row],[Reviews]]&gt;=8, "Average +")</f>
        <v>Below Average</v>
      </c>
      <c r="L558" s="11" t="s">
        <v>1668</v>
      </c>
      <c r="M558" s="1" t="s">
        <v>1470</v>
      </c>
    </row>
    <row r="559" spans="1:13" x14ac:dyDescent="0.2">
      <c r="A559" s="1" t="s">
        <v>797</v>
      </c>
      <c r="B559" s="1" t="s">
        <v>1332</v>
      </c>
      <c r="C559" s="330">
        <v>0</v>
      </c>
      <c r="D559" s="330">
        <v>100</v>
      </c>
      <c r="E559" s="116">
        <v>0</v>
      </c>
      <c r="F559" s="1" t="s">
        <v>9</v>
      </c>
      <c r="G559" s="1" t="s">
        <v>1333</v>
      </c>
      <c r="H559" s="1">
        <v>4.3</v>
      </c>
      <c r="I559" s="1" t="str" cm="1">
        <f t="array" ref="I559">_xlfn.IFS(a.nike.original.man[[#This Row],[Rating]]&lt;=2.9, "0 - 2.9",a.nike.original.man[[#This Row],[Rating]]&lt;=3.9,"3 - 3.9", a.nike.original.man[[#This Row],[Rating]]&lt;=5,"4 - 5")</f>
        <v>4 - 5</v>
      </c>
      <c r="J559" s="1">
        <v>14</v>
      </c>
      <c r="K559" s="1" t="str" cm="1">
        <f t="array" ref="K559">_xlfn.IFS(a.nike.original.man[[#This Row],[Reviews]]&lt;=7, "Below Average", a.nike.original.man[[#This Row],[Reviews]]&gt;=8, "Average +")</f>
        <v>Average +</v>
      </c>
      <c r="L559" s="11" t="s">
        <v>1668</v>
      </c>
      <c r="M559" s="1" t="s">
        <v>1470</v>
      </c>
    </row>
    <row r="560" spans="1:13" x14ac:dyDescent="0.2">
      <c r="A560" s="2" t="s">
        <v>474</v>
      </c>
      <c r="B560" s="2" t="s">
        <v>1331</v>
      </c>
      <c r="C560" s="331">
        <v>159.94999999999999</v>
      </c>
      <c r="D560" s="331">
        <v>96</v>
      </c>
      <c r="E560" s="116">
        <v>0.4</v>
      </c>
      <c r="F560" s="2" t="s">
        <v>9</v>
      </c>
      <c r="G560" s="2" t="s">
        <v>476</v>
      </c>
      <c r="H560" s="2">
        <v>3.5</v>
      </c>
      <c r="I560" s="2" t="str" cm="1">
        <f t="array" ref="I560">_xlfn.IFS(a.nike.original.man[[#This Row],[Rating]]&lt;=2.9, "0 - 2.9",a.nike.original.man[[#This Row],[Rating]]&lt;=3.9,"3 - 3.9", a.nike.original.man[[#This Row],[Rating]]&lt;=5,"4 - 5")</f>
        <v>3 - 3.9</v>
      </c>
      <c r="J560" s="2">
        <v>11</v>
      </c>
      <c r="K560" s="2" t="str" cm="1">
        <f t="array" ref="K560">_xlfn.IFS(a.nike.original.man[[#This Row],[Reviews]]&lt;=7, "Below Average", a.nike.original.man[[#This Row],[Reviews]]&gt;=8, "Average +")</f>
        <v>Average +</v>
      </c>
      <c r="L560" s="12" t="s">
        <v>1668</v>
      </c>
      <c r="M560" s="2" t="s">
        <v>1470</v>
      </c>
    </row>
    <row r="561" spans="1:13" x14ac:dyDescent="0.2">
      <c r="A561" s="1" t="s">
        <v>730</v>
      </c>
      <c r="B561" s="1" t="s">
        <v>1336</v>
      </c>
      <c r="C561" s="330">
        <v>119.95</v>
      </c>
      <c r="D561" s="330">
        <v>96</v>
      </c>
      <c r="E561" s="116">
        <v>0.2</v>
      </c>
      <c r="F561" s="1" t="s">
        <v>9</v>
      </c>
      <c r="G561" s="1" t="s">
        <v>732</v>
      </c>
      <c r="H561" s="1">
        <v>4.2</v>
      </c>
      <c r="I561" s="1" t="str" cm="1">
        <f t="array" ref="I561">_xlfn.IFS(a.nike.original.man[[#This Row],[Rating]]&lt;=2.9, "0 - 2.9",a.nike.original.man[[#This Row],[Rating]]&lt;=3.9,"3 - 3.9", a.nike.original.man[[#This Row],[Rating]]&lt;=5,"4 - 5")</f>
        <v>4 - 5</v>
      </c>
      <c r="J561" s="1">
        <v>6</v>
      </c>
      <c r="K561" s="1" t="str" cm="1">
        <f t="array" ref="K561">_xlfn.IFS(a.nike.original.man[[#This Row],[Reviews]]&lt;=7, "Below Average", a.nike.original.man[[#This Row],[Reviews]]&gt;=8, "Average +")</f>
        <v>Below Average</v>
      </c>
      <c r="L561" s="11" t="s">
        <v>1669</v>
      </c>
      <c r="M561" s="1" t="s">
        <v>1470</v>
      </c>
    </row>
    <row r="562" spans="1:13" x14ac:dyDescent="0.2">
      <c r="A562" s="2" t="s">
        <v>649</v>
      </c>
      <c r="B562" s="2" t="s">
        <v>1334</v>
      </c>
      <c r="C562" s="331">
        <v>0</v>
      </c>
      <c r="D562" s="331">
        <v>150</v>
      </c>
      <c r="E562" s="116">
        <v>0</v>
      </c>
      <c r="F562" s="2" t="s">
        <v>9</v>
      </c>
      <c r="G562" s="2" t="s">
        <v>1335</v>
      </c>
      <c r="H562" s="2">
        <v>4</v>
      </c>
      <c r="I562" s="2" t="str" cm="1">
        <f t="array" ref="I562">_xlfn.IFS(a.nike.original.man[[#This Row],[Rating]]&lt;=2.9, "0 - 2.9",a.nike.original.man[[#This Row],[Rating]]&lt;=3.9,"3 - 3.9", a.nike.original.man[[#This Row],[Rating]]&lt;=5,"4 - 5")</f>
        <v>4 - 5</v>
      </c>
      <c r="J562" s="2">
        <v>3</v>
      </c>
      <c r="K562" s="2" t="str" cm="1">
        <f t="array" ref="K562">_xlfn.IFS(a.nike.original.man[[#This Row],[Reviews]]&lt;=7, "Below Average", a.nike.original.man[[#This Row],[Reviews]]&gt;=8, "Average +")</f>
        <v>Below Average</v>
      </c>
      <c r="L562" s="12" t="s">
        <v>1669</v>
      </c>
      <c r="M562" s="2" t="s">
        <v>1470</v>
      </c>
    </row>
    <row r="563" spans="1:13" x14ac:dyDescent="0.2">
      <c r="A563" s="2" t="s">
        <v>878</v>
      </c>
      <c r="B563" s="2" t="s">
        <v>879</v>
      </c>
      <c r="C563" s="331">
        <v>0</v>
      </c>
      <c r="D563" s="331">
        <v>160</v>
      </c>
      <c r="E563" s="116">
        <v>0</v>
      </c>
      <c r="F563" s="2" t="s">
        <v>9</v>
      </c>
      <c r="G563" s="2" t="s">
        <v>880</v>
      </c>
      <c r="H563" s="2">
        <v>3.9</v>
      </c>
      <c r="I563" s="2" t="str" cm="1">
        <f t="array" ref="I563">_xlfn.IFS(a.nike.original.man[[#This Row],[Rating]]&lt;=2.9, "0 - 2.9",a.nike.original.man[[#This Row],[Rating]]&lt;=3.9,"3 - 3.9", a.nike.original.man[[#This Row],[Rating]]&lt;=5,"4 - 5")</f>
        <v>3 - 3.9</v>
      </c>
      <c r="J563" s="2">
        <v>34</v>
      </c>
      <c r="K563" s="2" t="str" cm="1">
        <f t="array" ref="K563">_xlfn.IFS(a.nike.original.man[[#This Row],[Reviews]]&lt;=7, "Below Average", a.nike.original.man[[#This Row],[Reviews]]&gt;=8, "Average +")</f>
        <v>Average +</v>
      </c>
      <c r="L563" s="12" t="s">
        <v>1669</v>
      </c>
      <c r="M563" s="2" t="s">
        <v>1470</v>
      </c>
    </row>
    <row r="564" spans="1:13" x14ac:dyDescent="0.2">
      <c r="A564" s="1" t="s">
        <v>950</v>
      </c>
      <c r="B564" s="1" t="s">
        <v>1337</v>
      </c>
      <c r="C564" s="330">
        <v>119.95</v>
      </c>
      <c r="D564" s="330">
        <v>72</v>
      </c>
      <c r="E564" s="116">
        <v>0.4</v>
      </c>
      <c r="F564" s="1" t="s">
        <v>9</v>
      </c>
      <c r="G564" s="1" t="s">
        <v>1338</v>
      </c>
      <c r="H564" s="1">
        <v>4</v>
      </c>
      <c r="I564" s="1" t="str" cm="1">
        <f t="array" ref="I564">_xlfn.IFS(a.nike.original.man[[#This Row],[Rating]]&lt;=2.9, "0 - 2.9",a.nike.original.man[[#This Row],[Rating]]&lt;=3.9,"3 - 3.9", a.nike.original.man[[#This Row],[Rating]]&lt;=5,"4 - 5")</f>
        <v>4 - 5</v>
      </c>
      <c r="J564" s="1">
        <v>1</v>
      </c>
      <c r="K564" s="1" t="str" cm="1">
        <f t="array" ref="K564">_xlfn.IFS(a.nike.original.man[[#This Row],[Reviews]]&lt;=7, "Below Average", a.nike.original.man[[#This Row],[Reviews]]&gt;=8, "Average +")</f>
        <v>Below Average</v>
      </c>
      <c r="L564" s="11" t="s">
        <v>1669</v>
      </c>
      <c r="M564" s="1" t="s">
        <v>1470</v>
      </c>
    </row>
    <row r="565" spans="1:13" x14ac:dyDescent="0.2">
      <c r="A565" s="1" t="s">
        <v>56</v>
      </c>
      <c r="B565" s="1" t="s">
        <v>1341</v>
      </c>
      <c r="C565" s="330">
        <v>0</v>
      </c>
      <c r="D565" s="330">
        <v>170</v>
      </c>
      <c r="E565" s="116">
        <v>0</v>
      </c>
      <c r="F565" s="1" t="s">
        <v>9</v>
      </c>
      <c r="G565" s="1" t="s">
        <v>1342</v>
      </c>
      <c r="H565" s="1">
        <v>5</v>
      </c>
      <c r="I565" s="1" t="str" cm="1">
        <f t="array" ref="I565">_xlfn.IFS(a.nike.original.man[[#This Row],[Rating]]&lt;=2.9, "0 - 2.9",a.nike.original.man[[#This Row],[Rating]]&lt;=3.9,"3 - 3.9", a.nike.original.man[[#This Row],[Rating]]&lt;=5,"4 - 5")</f>
        <v>4 - 5</v>
      </c>
      <c r="J565" s="1">
        <v>1</v>
      </c>
      <c r="K565" s="1" t="str" cm="1">
        <f t="array" ref="K565">_xlfn.IFS(a.nike.original.man[[#This Row],[Reviews]]&lt;=7, "Below Average", a.nike.original.man[[#This Row],[Reviews]]&gt;=8, "Average +")</f>
        <v>Below Average</v>
      </c>
      <c r="L565" s="11" t="s">
        <v>1670</v>
      </c>
      <c r="M565" s="1" t="s">
        <v>1470</v>
      </c>
    </row>
    <row r="566" spans="1:13" x14ac:dyDescent="0.2">
      <c r="A566" s="2" t="s">
        <v>31</v>
      </c>
      <c r="B566" s="2" t="s">
        <v>1339</v>
      </c>
      <c r="C566" s="331">
        <v>0</v>
      </c>
      <c r="D566" s="331">
        <v>160</v>
      </c>
      <c r="E566" s="116">
        <v>0</v>
      </c>
      <c r="F566" s="2" t="s">
        <v>9</v>
      </c>
      <c r="G566" s="2" t="s">
        <v>1340</v>
      </c>
      <c r="H566" s="2">
        <v>0</v>
      </c>
      <c r="I566" s="2" t="str" cm="1">
        <f t="array" ref="I566">_xlfn.IFS(a.nike.original.man[[#This Row],[Rating]]&lt;=2.9, "0 - 2.9",a.nike.original.man[[#This Row],[Rating]]&lt;=3.9,"3 - 3.9", a.nike.original.man[[#This Row],[Rating]]&lt;=5,"4 - 5")</f>
        <v>0 - 2.9</v>
      </c>
      <c r="J566" s="2">
        <v>0</v>
      </c>
      <c r="K566" s="2" t="str" cm="1">
        <f t="array" ref="K566">_xlfn.IFS(a.nike.original.man[[#This Row],[Reviews]]&lt;=7, "Below Average", a.nike.original.man[[#This Row],[Reviews]]&gt;=8, "Average +")</f>
        <v>Below Average</v>
      </c>
      <c r="L566" s="12" t="s">
        <v>1670</v>
      </c>
      <c r="M566" s="2" t="s">
        <v>1470</v>
      </c>
    </row>
    <row r="567" spans="1:13" x14ac:dyDescent="0.2">
      <c r="A567" s="1" t="s">
        <v>1140</v>
      </c>
      <c r="B567" s="1" t="s">
        <v>1141</v>
      </c>
      <c r="C567" s="330">
        <v>0</v>
      </c>
      <c r="D567" s="330">
        <v>75</v>
      </c>
      <c r="E567" s="116">
        <v>0</v>
      </c>
      <c r="F567" s="1" t="s">
        <v>9</v>
      </c>
      <c r="G567" s="1" t="s">
        <v>1142</v>
      </c>
      <c r="H567" s="1">
        <v>5</v>
      </c>
      <c r="I567" s="1" t="str" cm="1">
        <f t="array" ref="I567">_xlfn.IFS(a.nike.original.man[[#This Row],[Rating]]&lt;=2.9, "0 - 2.9",a.nike.original.man[[#This Row],[Rating]]&lt;=3.9,"3 - 3.9", a.nike.original.man[[#This Row],[Rating]]&lt;=5,"4 - 5")</f>
        <v>4 - 5</v>
      </c>
      <c r="J567" s="1">
        <v>1</v>
      </c>
      <c r="K567" s="1" t="str" cm="1">
        <f t="array" ref="K567">_xlfn.IFS(a.nike.original.man[[#This Row],[Reviews]]&lt;=7, "Below Average", a.nike.original.man[[#This Row],[Reviews]]&gt;=8, "Average +")</f>
        <v>Below Average</v>
      </c>
      <c r="L567" s="11" t="s">
        <v>1671</v>
      </c>
      <c r="M567" s="1" t="s">
        <v>1470</v>
      </c>
    </row>
    <row r="568" spans="1:13" x14ac:dyDescent="0.2">
      <c r="A568" s="2" t="s">
        <v>928</v>
      </c>
      <c r="B568" s="2" t="s">
        <v>929</v>
      </c>
      <c r="C568" s="331">
        <v>0</v>
      </c>
      <c r="D568" s="331">
        <v>110</v>
      </c>
      <c r="E568" s="116">
        <v>0</v>
      </c>
      <c r="F568" s="2" t="s">
        <v>9</v>
      </c>
      <c r="G568" s="2" t="s">
        <v>930</v>
      </c>
      <c r="H568" s="2">
        <v>4.0999999999999996</v>
      </c>
      <c r="I568" s="2" t="str" cm="1">
        <f t="array" ref="I568">_xlfn.IFS(a.nike.original.man[[#This Row],[Rating]]&lt;=2.9, "0 - 2.9",a.nike.original.man[[#This Row],[Rating]]&lt;=3.9,"3 - 3.9", a.nike.original.man[[#This Row],[Rating]]&lt;=5,"4 - 5")</f>
        <v>4 - 5</v>
      </c>
      <c r="J568" s="2">
        <v>19</v>
      </c>
      <c r="K568" s="2" t="str" cm="1">
        <f t="array" ref="K568">_xlfn.IFS(a.nike.original.man[[#This Row],[Reviews]]&lt;=7, "Below Average", a.nike.original.man[[#This Row],[Reviews]]&gt;=8, "Average +")</f>
        <v>Average +</v>
      </c>
      <c r="L568" s="12" t="s">
        <v>1671</v>
      </c>
      <c r="M568" s="2" t="s">
        <v>1470</v>
      </c>
    </row>
    <row r="569" spans="1:13" x14ac:dyDescent="0.2">
      <c r="A569" s="1" t="s">
        <v>890</v>
      </c>
      <c r="B569" s="1" t="s">
        <v>1345</v>
      </c>
      <c r="C569" s="330">
        <v>129.94999999999999</v>
      </c>
      <c r="D569" s="330">
        <v>104</v>
      </c>
      <c r="E569" s="116">
        <v>0.2</v>
      </c>
      <c r="F569" s="1" t="s">
        <v>9</v>
      </c>
      <c r="G569" s="1" t="s">
        <v>892</v>
      </c>
      <c r="H569" s="1">
        <v>4.0999999999999996</v>
      </c>
      <c r="I569" s="1" t="str" cm="1">
        <f t="array" ref="I569">_xlfn.IFS(a.nike.original.man[[#This Row],[Rating]]&lt;=2.9, "0 - 2.9",a.nike.original.man[[#This Row],[Rating]]&lt;=3.9,"3 - 3.9", a.nike.original.man[[#This Row],[Rating]]&lt;=5,"4 - 5")</f>
        <v>4 - 5</v>
      </c>
      <c r="J569" s="1">
        <v>18</v>
      </c>
      <c r="K569" s="1" t="str" cm="1">
        <f t="array" ref="K569">_xlfn.IFS(a.nike.original.man[[#This Row],[Reviews]]&lt;=7, "Below Average", a.nike.original.man[[#This Row],[Reviews]]&gt;=8, "Average +")</f>
        <v>Average +</v>
      </c>
      <c r="L569" s="11" t="s">
        <v>1671</v>
      </c>
      <c r="M569" s="1" t="s">
        <v>1470</v>
      </c>
    </row>
    <row r="570" spans="1:13" x14ac:dyDescent="0.2">
      <c r="A570" s="2" t="s">
        <v>248</v>
      </c>
      <c r="B570" s="2" t="s">
        <v>1343</v>
      </c>
      <c r="C570" s="331">
        <v>119.95</v>
      </c>
      <c r="D570" s="331">
        <v>72</v>
      </c>
      <c r="E570" s="116">
        <v>0.4</v>
      </c>
      <c r="F570" s="2" t="s">
        <v>9</v>
      </c>
      <c r="G570" s="2" t="s">
        <v>1344</v>
      </c>
      <c r="H570" s="2">
        <v>0</v>
      </c>
      <c r="I570" s="2" t="str" cm="1">
        <f t="array" ref="I570">_xlfn.IFS(a.nike.original.man[[#This Row],[Rating]]&lt;=2.9, "0 - 2.9",a.nike.original.man[[#This Row],[Rating]]&lt;=3.9,"3 - 3.9", a.nike.original.man[[#This Row],[Rating]]&lt;=5,"4 - 5")</f>
        <v>0 - 2.9</v>
      </c>
      <c r="J570" s="2">
        <v>0</v>
      </c>
      <c r="K570" s="2" t="str" cm="1">
        <f t="array" ref="K570">_xlfn.IFS(a.nike.original.man[[#This Row],[Reviews]]&lt;=7, "Below Average", a.nike.original.man[[#This Row],[Reviews]]&gt;=8, "Average +")</f>
        <v>Below Average</v>
      </c>
      <c r="L570" s="12" t="s">
        <v>1671</v>
      </c>
      <c r="M570" s="2" t="s">
        <v>1470</v>
      </c>
    </row>
    <row r="571" spans="1:13" x14ac:dyDescent="0.2">
      <c r="A571" s="2" t="s">
        <v>400</v>
      </c>
      <c r="B571" s="2" t="s">
        <v>1346</v>
      </c>
      <c r="C571" s="331">
        <v>0</v>
      </c>
      <c r="D571" s="331">
        <v>110</v>
      </c>
      <c r="E571" s="116">
        <v>0</v>
      </c>
      <c r="F571" s="2" t="s">
        <v>9</v>
      </c>
      <c r="G571" s="2" t="s">
        <v>1347</v>
      </c>
      <c r="H571" s="2">
        <v>0</v>
      </c>
      <c r="I571" s="2" t="str" cm="1">
        <f t="array" ref="I571">_xlfn.IFS(a.nike.original.man[[#This Row],[Rating]]&lt;=2.9, "0 - 2.9",a.nike.original.man[[#This Row],[Rating]]&lt;=3.9,"3 - 3.9", a.nike.original.man[[#This Row],[Rating]]&lt;=5,"4 - 5")</f>
        <v>0 - 2.9</v>
      </c>
      <c r="J571" s="2">
        <v>0</v>
      </c>
      <c r="K571" s="2" t="str" cm="1">
        <f t="array" ref="K571">_xlfn.IFS(a.nike.original.man[[#This Row],[Reviews]]&lt;=7, "Below Average", a.nike.original.man[[#This Row],[Reviews]]&gt;=8, "Average +")</f>
        <v>Below Average</v>
      </c>
      <c r="L571" s="12" t="s">
        <v>1671</v>
      </c>
      <c r="M571" s="2" t="s">
        <v>1470</v>
      </c>
    </row>
    <row r="572" spans="1:13" x14ac:dyDescent="0.2">
      <c r="A572" s="1" t="s">
        <v>942</v>
      </c>
      <c r="B572" s="1" t="s">
        <v>1354</v>
      </c>
      <c r="C572" s="330">
        <v>0</v>
      </c>
      <c r="D572" s="330">
        <v>130</v>
      </c>
      <c r="E572" s="116">
        <v>0</v>
      </c>
      <c r="F572" s="1" t="s">
        <v>9</v>
      </c>
      <c r="G572" s="1" t="s">
        <v>944</v>
      </c>
      <c r="H572" s="1">
        <v>3.7</v>
      </c>
      <c r="I572" s="1" t="str" cm="1">
        <f t="array" ref="I572">_xlfn.IFS(a.nike.original.man[[#This Row],[Rating]]&lt;=2.9, "0 - 2.9",a.nike.original.man[[#This Row],[Rating]]&lt;=3.9,"3 - 3.9", a.nike.original.man[[#This Row],[Rating]]&lt;=5,"4 - 5")</f>
        <v>3 - 3.9</v>
      </c>
      <c r="J572" s="1">
        <v>3</v>
      </c>
      <c r="K572" s="1" t="str" cm="1">
        <f t="array" ref="K572">_xlfn.IFS(a.nike.original.man[[#This Row],[Reviews]]&lt;=7, "Below Average", a.nike.original.man[[#This Row],[Reviews]]&gt;=8, "Average +")</f>
        <v>Below Average</v>
      </c>
      <c r="L572" s="11" t="s">
        <v>1672</v>
      </c>
      <c r="M572" s="1" t="s">
        <v>1470</v>
      </c>
    </row>
    <row r="573" spans="1:13" x14ac:dyDescent="0.2">
      <c r="A573" s="1" t="s">
        <v>1355</v>
      </c>
      <c r="B573" s="1" t="s">
        <v>1356</v>
      </c>
      <c r="C573" s="330">
        <v>0</v>
      </c>
      <c r="D573" s="330">
        <v>150</v>
      </c>
      <c r="E573" s="116">
        <v>0</v>
      </c>
      <c r="F573" s="1" t="s">
        <v>9</v>
      </c>
      <c r="G573" s="1" t="s">
        <v>1357</v>
      </c>
      <c r="H573" s="1">
        <v>5</v>
      </c>
      <c r="I573" s="1" t="str" cm="1">
        <f t="array" ref="I573">_xlfn.IFS(a.nike.original.man[[#This Row],[Rating]]&lt;=2.9, "0 - 2.9",a.nike.original.man[[#This Row],[Rating]]&lt;=3.9,"3 - 3.9", a.nike.original.man[[#This Row],[Rating]]&lt;=5,"4 - 5")</f>
        <v>4 - 5</v>
      </c>
      <c r="J573" s="1">
        <v>1</v>
      </c>
      <c r="K573" s="1" t="str" cm="1">
        <f t="array" ref="K573">_xlfn.IFS(a.nike.original.man[[#This Row],[Reviews]]&lt;=7, "Below Average", a.nike.original.man[[#This Row],[Reviews]]&gt;=8, "Average +")</f>
        <v>Below Average</v>
      </c>
      <c r="L573" s="11" t="s">
        <v>1672</v>
      </c>
      <c r="M573" s="1" t="s">
        <v>1470</v>
      </c>
    </row>
    <row r="574" spans="1:13" x14ac:dyDescent="0.2">
      <c r="A574" s="1" t="s">
        <v>1348</v>
      </c>
      <c r="B574" s="1" t="s">
        <v>1349</v>
      </c>
      <c r="C574" s="330">
        <v>0</v>
      </c>
      <c r="D574" s="330">
        <v>120</v>
      </c>
      <c r="E574" s="116">
        <v>0</v>
      </c>
      <c r="F574" s="1" t="s">
        <v>9</v>
      </c>
      <c r="G574" s="1" t="s">
        <v>1350</v>
      </c>
      <c r="H574" s="1">
        <v>0</v>
      </c>
      <c r="I574" s="1" t="str" cm="1">
        <f t="array" ref="I574">_xlfn.IFS(a.nike.original.man[[#This Row],[Rating]]&lt;=2.9, "0 - 2.9",a.nike.original.man[[#This Row],[Rating]]&lt;=3.9,"3 - 3.9", a.nike.original.man[[#This Row],[Rating]]&lt;=5,"4 - 5")</f>
        <v>0 - 2.9</v>
      </c>
      <c r="J574" s="1">
        <v>0</v>
      </c>
      <c r="K574" s="1" t="str" cm="1">
        <f t="array" ref="K574">_xlfn.IFS(a.nike.original.man[[#This Row],[Reviews]]&lt;=7, "Below Average", a.nike.original.man[[#This Row],[Reviews]]&gt;=8, "Average +")</f>
        <v>Below Average</v>
      </c>
      <c r="L574" s="11" t="s">
        <v>1672</v>
      </c>
      <c r="M574" s="1" t="s">
        <v>1470</v>
      </c>
    </row>
    <row r="575" spans="1:13" x14ac:dyDescent="0.2">
      <c r="A575" s="2" t="s">
        <v>1351</v>
      </c>
      <c r="B575" s="2" t="s">
        <v>1352</v>
      </c>
      <c r="C575" s="331">
        <v>39.950000000000003</v>
      </c>
      <c r="D575" s="331">
        <v>32</v>
      </c>
      <c r="E575" s="116">
        <v>0.2</v>
      </c>
      <c r="F575" s="2" t="s">
        <v>9</v>
      </c>
      <c r="G575" s="2" t="s">
        <v>1353</v>
      </c>
      <c r="H575" s="2">
        <v>0</v>
      </c>
      <c r="I575" s="2" t="str" cm="1">
        <f t="array" ref="I575">_xlfn.IFS(a.nike.original.man[[#This Row],[Rating]]&lt;=2.9, "0 - 2.9",a.nike.original.man[[#This Row],[Rating]]&lt;=3.9,"3 - 3.9", a.nike.original.man[[#This Row],[Rating]]&lt;=5,"4 - 5")</f>
        <v>0 - 2.9</v>
      </c>
      <c r="J575" s="2">
        <v>0</v>
      </c>
      <c r="K575" s="2" t="str" cm="1">
        <f t="array" ref="K575">_xlfn.IFS(a.nike.original.man[[#This Row],[Reviews]]&lt;=7, "Below Average", a.nike.original.man[[#This Row],[Reviews]]&gt;=8, "Average +")</f>
        <v>Below Average</v>
      </c>
      <c r="L575" s="12" t="s">
        <v>1672</v>
      </c>
      <c r="M575" s="2" t="s">
        <v>1470</v>
      </c>
    </row>
    <row r="576" spans="1:13" x14ac:dyDescent="0.2">
      <c r="A576" s="2" t="s">
        <v>965</v>
      </c>
      <c r="B576" s="2" t="s">
        <v>966</v>
      </c>
      <c r="C576" s="331">
        <v>0</v>
      </c>
      <c r="D576" s="331">
        <v>85</v>
      </c>
      <c r="E576" s="116">
        <v>0</v>
      </c>
      <c r="F576" s="2" t="s">
        <v>9</v>
      </c>
      <c r="G576" s="2" t="s">
        <v>967</v>
      </c>
      <c r="H576" s="2">
        <v>0</v>
      </c>
      <c r="I576" s="2" t="str" cm="1">
        <f t="array" ref="I576">_xlfn.IFS(a.nike.original.man[[#This Row],[Rating]]&lt;=2.9, "0 - 2.9",a.nike.original.man[[#This Row],[Rating]]&lt;=3.9,"3 - 3.9", a.nike.original.man[[#This Row],[Rating]]&lt;=5,"4 - 5")</f>
        <v>0 - 2.9</v>
      </c>
      <c r="J576" s="2">
        <v>0</v>
      </c>
      <c r="K576" s="2" t="str" cm="1">
        <f t="array" ref="K576">_xlfn.IFS(a.nike.original.man[[#This Row],[Reviews]]&lt;=7, "Below Average", a.nike.original.man[[#This Row],[Reviews]]&gt;=8, "Average +")</f>
        <v>Below Average</v>
      </c>
      <c r="L576" s="12" t="s">
        <v>1672</v>
      </c>
      <c r="M576" s="2" t="s">
        <v>1470</v>
      </c>
    </row>
    <row r="577" spans="1:13" x14ac:dyDescent="0.2">
      <c r="A577" s="1" t="s">
        <v>132</v>
      </c>
      <c r="B577" s="1" t="s">
        <v>1360</v>
      </c>
      <c r="C577" s="330">
        <v>0</v>
      </c>
      <c r="D577" s="330">
        <v>130</v>
      </c>
      <c r="E577" s="116">
        <v>0</v>
      </c>
      <c r="F577" s="1" t="s">
        <v>9</v>
      </c>
      <c r="G577" s="1" t="s">
        <v>1361</v>
      </c>
      <c r="H577" s="1">
        <v>4.3</v>
      </c>
      <c r="I577" s="1" t="str" cm="1">
        <f t="array" ref="I577">_xlfn.IFS(a.nike.original.man[[#This Row],[Rating]]&lt;=2.9, "0 - 2.9",a.nike.original.man[[#This Row],[Rating]]&lt;=3.9,"3 - 3.9", a.nike.original.man[[#This Row],[Rating]]&lt;=5,"4 - 5")</f>
        <v>4 - 5</v>
      </c>
      <c r="J577" s="1">
        <v>6</v>
      </c>
      <c r="K577" s="1" t="str" cm="1">
        <f t="array" ref="K577">_xlfn.IFS(a.nike.original.man[[#This Row],[Reviews]]&lt;=7, "Below Average", a.nike.original.man[[#This Row],[Reviews]]&gt;=8, "Average +")</f>
        <v>Below Average</v>
      </c>
      <c r="L577" s="11" t="s">
        <v>1673</v>
      </c>
      <c r="M577" s="1" t="s">
        <v>1470</v>
      </c>
    </row>
    <row r="578" spans="1:13" x14ac:dyDescent="0.2">
      <c r="A578" s="2" t="s">
        <v>37</v>
      </c>
      <c r="B578" s="2" t="s">
        <v>1358</v>
      </c>
      <c r="C578" s="331">
        <v>0</v>
      </c>
      <c r="D578" s="331">
        <v>100</v>
      </c>
      <c r="E578" s="116">
        <v>0</v>
      </c>
      <c r="F578" s="2" t="s">
        <v>9</v>
      </c>
      <c r="G578" s="2" t="s">
        <v>1359</v>
      </c>
      <c r="H578" s="2">
        <v>0</v>
      </c>
      <c r="I578" s="2" t="str" cm="1">
        <f t="array" ref="I578">_xlfn.IFS(a.nike.original.man[[#This Row],[Rating]]&lt;=2.9, "0 - 2.9",a.nike.original.man[[#This Row],[Rating]]&lt;=3.9,"3 - 3.9", a.nike.original.man[[#This Row],[Rating]]&lt;=5,"4 - 5")</f>
        <v>0 - 2.9</v>
      </c>
      <c r="J578" s="2">
        <v>0</v>
      </c>
      <c r="K578" s="2" t="str" cm="1">
        <f t="array" ref="K578">_xlfn.IFS(a.nike.original.man[[#This Row],[Reviews]]&lt;=7, "Below Average", a.nike.original.man[[#This Row],[Reviews]]&gt;=8, "Average +")</f>
        <v>Below Average</v>
      </c>
      <c r="L578" s="12" t="s">
        <v>1673</v>
      </c>
      <c r="M578" s="2" t="s">
        <v>1470</v>
      </c>
    </row>
    <row r="579" spans="1:13" x14ac:dyDescent="0.2">
      <c r="A579" s="2" t="s">
        <v>1362</v>
      </c>
      <c r="B579" s="2" t="s">
        <v>1363</v>
      </c>
      <c r="C579" s="331">
        <v>169.95</v>
      </c>
      <c r="D579" s="331">
        <v>102</v>
      </c>
      <c r="E579" s="116">
        <v>0.4</v>
      </c>
      <c r="F579" s="2" t="s">
        <v>9</v>
      </c>
      <c r="G579" s="2" t="s">
        <v>1364</v>
      </c>
      <c r="H579" s="2">
        <v>0</v>
      </c>
      <c r="I579" s="2" t="str" cm="1">
        <f t="array" ref="I579">_xlfn.IFS(a.nike.original.man[[#This Row],[Rating]]&lt;=2.9, "0 - 2.9",a.nike.original.man[[#This Row],[Rating]]&lt;=3.9,"3 - 3.9", a.nike.original.man[[#This Row],[Rating]]&lt;=5,"4 - 5")</f>
        <v>0 - 2.9</v>
      </c>
      <c r="J579" s="2">
        <v>0</v>
      </c>
      <c r="K579" s="2" t="str" cm="1">
        <f t="array" ref="K579">_xlfn.IFS(a.nike.original.man[[#This Row],[Reviews]]&lt;=7, "Below Average", a.nike.original.man[[#This Row],[Reviews]]&gt;=8, "Average +")</f>
        <v>Below Average</v>
      </c>
      <c r="L579" s="12" t="s">
        <v>1673</v>
      </c>
      <c r="M579" s="2" t="s">
        <v>1470</v>
      </c>
    </row>
    <row r="580" spans="1:13" x14ac:dyDescent="0.2">
      <c r="A580" s="1" t="s">
        <v>1365</v>
      </c>
      <c r="B580" s="1" t="s">
        <v>1366</v>
      </c>
      <c r="C580" s="330">
        <v>0</v>
      </c>
      <c r="D580" s="330">
        <v>60</v>
      </c>
      <c r="E580" s="116">
        <v>0</v>
      </c>
      <c r="F580" s="1" t="s">
        <v>9</v>
      </c>
      <c r="G580" s="1" t="s">
        <v>1367</v>
      </c>
      <c r="H580" s="1">
        <v>4</v>
      </c>
      <c r="I580" s="1" t="str" cm="1">
        <f t="array" ref="I580">_xlfn.IFS(a.nike.original.man[[#This Row],[Rating]]&lt;=2.9, "0 - 2.9",a.nike.original.man[[#This Row],[Rating]]&lt;=3.9,"3 - 3.9", a.nike.original.man[[#This Row],[Rating]]&lt;=5,"4 - 5")</f>
        <v>4 - 5</v>
      </c>
      <c r="J580" s="1">
        <v>1</v>
      </c>
      <c r="K580" s="1" t="str" cm="1">
        <f t="array" ref="K580">_xlfn.IFS(a.nike.original.man[[#This Row],[Reviews]]&lt;=7, "Below Average", a.nike.original.man[[#This Row],[Reviews]]&gt;=8, "Average +")</f>
        <v>Below Average</v>
      </c>
      <c r="L580" s="11" t="s">
        <v>1674</v>
      </c>
      <c r="M580" s="1" t="s">
        <v>1470</v>
      </c>
    </row>
    <row r="581" spans="1:13" x14ac:dyDescent="0.2">
      <c r="A581" s="2" t="s">
        <v>971</v>
      </c>
      <c r="B581" s="2" t="s">
        <v>1368</v>
      </c>
      <c r="C581" s="331">
        <v>0</v>
      </c>
      <c r="D581" s="331">
        <v>160</v>
      </c>
      <c r="E581" s="116">
        <v>0</v>
      </c>
      <c r="F581" s="2" t="s">
        <v>9</v>
      </c>
      <c r="G581" s="2" t="s">
        <v>1369</v>
      </c>
      <c r="H581" s="2">
        <v>0</v>
      </c>
      <c r="I581" s="2" t="str" cm="1">
        <f t="array" ref="I581">_xlfn.IFS(a.nike.original.man[[#This Row],[Rating]]&lt;=2.9, "0 - 2.9",a.nike.original.man[[#This Row],[Rating]]&lt;=3.9,"3 - 3.9", a.nike.original.man[[#This Row],[Rating]]&lt;=5,"4 - 5")</f>
        <v>0 - 2.9</v>
      </c>
      <c r="J581" s="2">
        <v>0</v>
      </c>
      <c r="K581" s="2" t="str" cm="1">
        <f t="array" ref="K581">_xlfn.IFS(a.nike.original.man[[#This Row],[Reviews]]&lt;=7, "Below Average", a.nike.original.man[[#This Row],[Reviews]]&gt;=8, "Average +")</f>
        <v>Below Average</v>
      </c>
      <c r="L581" s="12" t="s">
        <v>1674</v>
      </c>
      <c r="M581" s="2" t="s">
        <v>1470</v>
      </c>
    </row>
    <row r="582" spans="1:13" x14ac:dyDescent="0.2">
      <c r="A582" s="1" t="s">
        <v>683</v>
      </c>
      <c r="B582" s="1" t="s">
        <v>1370</v>
      </c>
      <c r="C582" s="330">
        <v>0</v>
      </c>
      <c r="D582" s="330">
        <v>80</v>
      </c>
      <c r="E582" s="116">
        <v>0</v>
      </c>
      <c r="F582" s="1" t="s">
        <v>9</v>
      </c>
      <c r="G582" s="1" t="s">
        <v>1371</v>
      </c>
      <c r="H582" s="1">
        <v>0</v>
      </c>
      <c r="I582" s="1" t="str" cm="1">
        <f t="array" ref="I582">_xlfn.IFS(a.nike.original.man[[#This Row],[Rating]]&lt;=2.9, "0 - 2.9",a.nike.original.man[[#This Row],[Rating]]&lt;=3.9,"3 - 3.9", a.nike.original.man[[#This Row],[Rating]]&lt;=5,"4 - 5")</f>
        <v>0 - 2.9</v>
      </c>
      <c r="J582" s="1">
        <v>0</v>
      </c>
      <c r="K582" s="1" t="str" cm="1">
        <f t="array" ref="K582">_xlfn.IFS(a.nike.original.man[[#This Row],[Reviews]]&lt;=7, "Below Average", a.nike.original.man[[#This Row],[Reviews]]&gt;=8, "Average +")</f>
        <v>Below Average</v>
      </c>
      <c r="L582" s="11" t="s">
        <v>1674</v>
      </c>
      <c r="M582" s="1" t="s">
        <v>1470</v>
      </c>
    </row>
    <row r="583" spans="1:13" x14ac:dyDescent="0.2">
      <c r="A583" s="1" t="s">
        <v>1374</v>
      </c>
      <c r="B583" s="1" t="s">
        <v>1375</v>
      </c>
      <c r="C583" s="330">
        <v>69.95</v>
      </c>
      <c r="D583" s="330">
        <v>56</v>
      </c>
      <c r="E583" s="116">
        <v>0.2</v>
      </c>
      <c r="F583" s="1" t="s">
        <v>9</v>
      </c>
      <c r="G583" s="1" t="s">
        <v>1376</v>
      </c>
      <c r="H583" s="1">
        <v>5</v>
      </c>
      <c r="I583" s="1" t="str" cm="1">
        <f t="array" ref="I583">_xlfn.IFS(a.nike.original.man[[#This Row],[Rating]]&lt;=2.9, "0 - 2.9",a.nike.original.man[[#This Row],[Rating]]&lt;=3.9,"3 - 3.9", a.nike.original.man[[#This Row],[Rating]]&lt;=5,"4 - 5")</f>
        <v>4 - 5</v>
      </c>
      <c r="J583" s="1">
        <v>2</v>
      </c>
      <c r="K583" s="1" t="str" cm="1">
        <f t="array" ref="K583">_xlfn.IFS(a.nike.original.man[[#This Row],[Reviews]]&lt;=7, "Below Average", a.nike.original.man[[#This Row],[Reviews]]&gt;=8, "Average +")</f>
        <v>Below Average</v>
      </c>
      <c r="L583" s="11" t="s">
        <v>1675</v>
      </c>
      <c r="M583" s="1" t="s">
        <v>1470</v>
      </c>
    </row>
    <row r="584" spans="1:13" x14ac:dyDescent="0.2">
      <c r="A584" s="2" t="s">
        <v>383</v>
      </c>
      <c r="B584" s="2" t="s">
        <v>1372</v>
      </c>
      <c r="C584" s="331">
        <v>0</v>
      </c>
      <c r="D584" s="331">
        <v>160</v>
      </c>
      <c r="E584" s="116">
        <v>0</v>
      </c>
      <c r="F584" s="2" t="s">
        <v>9</v>
      </c>
      <c r="G584" s="2" t="s">
        <v>1373</v>
      </c>
      <c r="H584" s="2">
        <v>0</v>
      </c>
      <c r="I584" s="2" t="str" cm="1">
        <f t="array" ref="I584">_xlfn.IFS(a.nike.original.man[[#This Row],[Rating]]&lt;=2.9, "0 - 2.9",a.nike.original.man[[#This Row],[Rating]]&lt;=3.9,"3 - 3.9", a.nike.original.man[[#This Row],[Rating]]&lt;=5,"4 - 5")</f>
        <v>0 - 2.9</v>
      </c>
      <c r="J584" s="2">
        <v>0</v>
      </c>
      <c r="K584" s="2" t="str" cm="1">
        <f t="array" ref="K584">_xlfn.IFS(a.nike.original.man[[#This Row],[Reviews]]&lt;=7, "Below Average", a.nike.original.man[[#This Row],[Reviews]]&gt;=8, "Average +")</f>
        <v>Below Average</v>
      </c>
      <c r="L584" s="12" t="s">
        <v>1675</v>
      </c>
      <c r="M584" s="2" t="s">
        <v>1470</v>
      </c>
    </row>
    <row r="585" spans="1:13" x14ac:dyDescent="0.2">
      <c r="A585" s="2" t="s">
        <v>1377</v>
      </c>
      <c r="B585" s="2" t="s">
        <v>1378</v>
      </c>
      <c r="C585" s="331">
        <v>159.94999999999999</v>
      </c>
      <c r="D585" s="331">
        <v>96</v>
      </c>
      <c r="E585" s="116">
        <v>0.4</v>
      </c>
      <c r="F585" s="2" t="s">
        <v>9</v>
      </c>
      <c r="G585" s="2" t="s">
        <v>1379</v>
      </c>
      <c r="H585" s="2">
        <v>4</v>
      </c>
      <c r="I585" s="2" t="str" cm="1">
        <f t="array" ref="I585">_xlfn.IFS(a.nike.original.man[[#This Row],[Rating]]&lt;=2.9, "0 - 2.9",a.nike.original.man[[#This Row],[Rating]]&lt;=3.9,"3 - 3.9", a.nike.original.man[[#This Row],[Rating]]&lt;=5,"4 - 5")</f>
        <v>4 - 5</v>
      </c>
      <c r="J585" s="2">
        <v>5</v>
      </c>
      <c r="K585" s="2" t="str" cm="1">
        <f t="array" ref="K585">_xlfn.IFS(a.nike.original.man[[#This Row],[Reviews]]&lt;=7, "Below Average", a.nike.original.man[[#This Row],[Reviews]]&gt;=8, "Average +")</f>
        <v>Below Average</v>
      </c>
      <c r="L585" s="12" t="s">
        <v>1676</v>
      </c>
      <c r="M585" s="2" t="s">
        <v>1470</v>
      </c>
    </row>
    <row r="586" spans="1:13" x14ac:dyDescent="0.2">
      <c r="A586" s="1" t="s">
        <v>135</v>
      </c>
      <c r="B586" s="1" t="s">
        <v>1380</v>
      </c>
      <c r="C586" s="330">
        <v>0</v>
      </c>
      <c r="D586" s="330">
        <v>160</v>
      </c>
      <c r="E586" s="116">
        <v>0</v>
      </c>
      <c r="F586" s="1" t="s">
        <v>9</v>
      </c>
      <c r="G586" s="1" t="s">
        <v>1381</v>
      </c>
      <c r="H586" s="1">
        <v>0</v>
      </c>
      <c r="I586" s="1" t="str" cm="1">
        <f t="array" ref="I586">_xlfn.IFS(a.nike.original.man[[#This Row],[Rating]]&lt;=2.9, "0 - 2.9",a.nike.original.man[[#This Row],[Rating]]&lt;=3.9,"3 - 3.9", a.nike.original.man[[#This Row],[Rating]]&lt;=5,"4 - 5")</f>
        <v>0 - 2.9</v>
      </c>
      <c r="J586" s="1">
        <v>0</v>
      </c>
      <c r="K586" s="1" t="str" cm="1">
        <f t="array" ref="K586">_xlfn.IFS(a.nike.original.man[[#This Row],[Reviews]]&lt;=7, "Below Average", a.nike.original.man[[#This Row],[Reviews]]&gt;=8, "Average +")</f>
        <v>Below Average</v>
      </c>
      <c r="L586" s="11" t="s">
        <v>1676</v>
      </c>
      <c r="M586" s="1" t="s">
        <v>1470</v>
      </c>
    </row>
    <row r="587" spans="1:13" x14ac:dyDescent="0.2">
      <c r="A587" s="1" t="s">
        <v>37</v>
      </c>
      <c r="B587" s="1" t="s">
        <v>1387</v>
      </c>
      <c r="C587" s="330">
        <v>94.95</v>
      </c>
      <c r="D587" s="330">
        <v>76</v>
      </c>
      <c r="E587" s="116">
        <v>0.2</v>
      </c>
      <c r="F587" s="1" t="s">
        <v>9</v>
      </c>
      <c r="G587" s="1" t="s">
        <v>1388</v>
      </c>
      <c r="H587" s="1">
        <v>3.6</v>
      </c>
      <c r="I587" s="1" t="str" cm="1">
        <f t="array" ref="I587">_xlfn.IFS(a.nike.original.man[[#This Row],[Rating]]&lt;=2.9, "0 - 2.9",a.nike.original.man[[#This Row],[Rating]]&lt;=3.9,"3 - 3.9", a.nike.original.man[[#This Row],[Rating]]&lt;=5,"4 - 5")</f>
        <v>3 - 3.9</v>
      </c>
      <c r="J587" s="1">
        <v>5</v>
      </c>
      <c r="K587" s="1" t="str" cm="1">
        <f t="array" ref="K587">_xlfn.IFS(a.nike.original.man[[#This Row],[Reviews]]&lt;=7, "Below Average", a.nike.original.man[[#This Row],[Reviews]]&gt;=8, "Average +")</f>
        <v>Below Average</v>
      </c>
      <c r="L587" s="11" t="s">
        <v>1677</v>
      </c>
      <c r="M587" s="1" t="s">
        <v>1470</v>
      </c>
    </row>
    <row r="588" spans="1:13" x14ac:dyDescent="0.2">
      <c r="A588" s="2" t="s">
        <v>1189</v>
      </c>
      <c r="B588" s="2" t="s">
        <v>1385</v>
      </c>
      <c r="C588" s="331">
        <v>49.95</v>
      </c>
      <c r="D588" s="331">
        <v>40</v>
      </c>
      <c r="E588" s="116">
        <v>0.2</v>
      </c>
      <c r="F588" s="2" t="s">
        <v>9</v>
      </c>
      <c r="G588" s="2" t="s">
        <v>1386</v>
      </c>
      <c r="H588" s="2">
        <v>4</v>
      </c>
      <c r="I588" s="2" t="str" cm="1">
        <f t="array" ref="I588">_xlfn.IFS(a.nike.original.man[[#This Row],[Rating]]&lt;=2.9, "0 - 2.9",a.nike.original.man[[#This Row],[Rating]]&lt;=3.9,"3 - 3.9", a.nike.original.man[[#This Row],[Rating]]&lt;=5,"4 - 5")</f>
        <v>4 - 5</v>
      </c>
      <c r="J588" s="2">
        <v>53</v>
      </c>
      <c r="K588" s="2" t="str" cm="1">
        <f t="array" ref="K588">_xlfn.IFS(a.nike.original.man[[#This Row],[Reviews]]&lt;=7, "Below Average", a.nike.original.man[[#This Row],[Reviews]]&gt;=8, "Average +")</f>
        <v>Average +</v>
      </c>
      <c r="L588" s="12" t="s">
        <v>1677</v>
      </c>
      <c r="M588" s="2" t="s">
        <v>1470</v>
      </c>
    </row>
    <row r="589" spans="1:13" x14ac:dyDescent="0.2">
      <c r="A589" s="2" t="s">
        <v>857</v>
      </c>
      <c r="B589" s="2" t="s">
        <v>858</v>
      </c>
      <c r="C589" s="331">
        <v>0</v>
      </c>
      <c r="D589" s="331">
        <v>160</v>
      </c>
      <c r="E589" s="116">
        <v>0</v>
      </c>
      <c r="F589" s="2" t="s">
        <v>9</v>
      </c>
      <c r="G589" s="2" t="s">
        <v>859</v>
      </c>
      <c r="H589" s="2">
        <v>5</v>
      </c>
      <c r="I589" s="2" t="str" cm="1">
        <f t="array" ref="I589">_xlfn.IFS(a.nike.original.man[[#This Row],[Rating]]&lt;=2.9, "0 - 2.9",a.nike.original.man[[#This Row],[Rating]]&lt;=3.9,"3 - 3.9", a.nike.original.man[[#This Row],[Rating]]&lt;=5,"4 - 5")</f>
        <v>4 - 5</v>
      </c>
      <c r="J589" s="2">
        <v>1</v>
      </c>
      <c r="K589" s="2" t="str" cm="1">
        <f t="array" ref="K589">_xlfn.IFS(a.nike.original.man[[#This Row],[Reviews]]&lt;=7, "Below Average", a.nike.original.man[[#This Row],[Reviews]]&gt;=8, "Average +")</f>
        <v>Below Average</v>
      </c>
      <c r="L589" s="12" t="s">
        <v>1677</v>
      </c>
      <c r="M589" s="2" t="s">
        <v>1470</v>
      </c>
    </row>
    <row r="590" spans="1:13" x14ac:dyDescent="0.2">
      <c r="A590" s="2" t="s">
        <v>17</v>
      </c>
      <c r="B590" s="2" t="s">
        <v>1382</v>
      </c>
      <c r="C590" s="331">
        <v>99.95</v>
      </c>
      <c r="D590" s="331">
        <v>60</v>
      </c>
      <c r="E590" s="116">
        <v>0.4</v>
      </c>
      <c r="F590" s="2" t="s">
        <v>9</v>
      </c>
      <c r="G590" s="2" t="s">
        <v>1383</v>
      </c>
      <c r="H590" s="2">
        <v>4.8</v>
      </c>
      <c r="I590" s="2" t="str" cm="1">
        <f t="array" ref="I590">_xlfn.IFS(a.nike.original.man[[#This Row],[Rating]]&lt;=2.9, "0 - 2.9",a.nike.original.man[[#This Row],[Rating]]&lt;=3.9,"3 - 3.9", a.nike.original.man[[#This Row],[Rating]]&lt;=5,"4 - 5")</f>
        <v>4 - 5</v>
      </c>
      <c r="J590" s="2">
        <v>20</v>
      </c>
      <c r="K590" s="2" t="str" cm="1">
        <f t="array" ref="K590">_xlfn.IFS(a.nike.original.man[[#This Row],[Reviews]]&lt;=7, "Below Average", a.nike.original.man[[#This Row],[Reviews]]&gt;=8, "Average +")</f>
        <v>Average +</v>
      </c>
      <c r="L590" s="12" t="s">
        <v>1677</v>
      </c>
      <c r="M590" s="2" t="s">
        <v>1470</v>
      </c>
    </row>
    <row r="591" spans="1:13" x14ac:dyDescent="0.2">
      <c r="A591" s="1" t="s">
        <v>572</v>
      </c>
      <c r="B591" s="1" t="s">
        <v>1384</v>
      </c>
      <c r="C591" s="330">
        <v>0</v>
      </c>
      <c r="D591" s="330">
        <v>90</v>
      </c>
      <c r="E591" s="116">
        <v>0</v>
      </c>
      <c r="F591" s="1" t="s">
        <v>9</v>
      </c>
      <c r="G591" s="1" t="s">
        <v>574</v>
      </c>
      <c r="H591" s="1">
        <v>0</v>
      </c>
      <c r="I591" s="1" t="str" cm="1">
        <f t="array" ref="I591">_xlfn.IFS(a.nike.original.man[[#This Row],[Rating]]&lt;=2.9, "0 - 2.9",a.nike.original.man[[#This Row],[Rating]]&lt;=3.9,"3 - 3.9", a.nike.original.man[[#This Row],[Rating]]&lt;=5,"4 - 5")</f>
        <v>0 - 2.9</v>
      </c>
      <c r="J591" s="1">
        <v>0</v>
      </c>
      <c r="K591" s="1" t="str" cm="1">
        <f t="array" ref="K591">_xlfn.IFS(a.nike.original.man[[#This Row],[Reviews]]&lt;=7, "Below Average", a.nike.original.man[[#This Row],[Reviews]]&gt;=8, "Average +")</f>
        <v>Below Average</v>
      </c>
      <c r="L591" s="11" t="s">
        <v>1677</v>
      </c>
      <c r="M591" s="1" t="s">
        <v>1470</v>
      </c>
    </row>
    <row r="592" spans="1:13" x14ac:dyDescent="0.2">
      <c r="A592" s="1" t="s">
        <v>440</v>
      </c>
      <c r="B592" s="1" t="s">
        <v>1389</v>
      </c>
      <c r="C592" s="330">
        <v>119.95</v>
      </c>
      <c r="D592" s="330">
        <v>96</v>
      </c>
      <c r="E592" s="116">
        <v>0.2</v>
      </c>
      <c r="F592" s="1" t="s">
        <v>9</v>
      </c>
      <c r="G592" s="1" t="s">
        <v>1390</v>
      </c>
      <c r="H592" s="1">
        <v>4.0999999999999996</v>
      </c>
      <c r="I592" s="1" t="str" cm="1">
        <f t="array" ref="I592">_xlfn.IFS(a.nike.original.man[[#This Row],[Rating]]&lt;=2.9, "0 - 2.9",a.nike.original.man[[#This Row],[Rating]]&lt;=3.9,"3 - 3.9", a.nike.original.man[[#This Row],[Rating]]&lt;=5,"4 - 5")</f>
        <v>4 - 5</v>
      </c>
      <c r="J592" s="1">
        <v>8</v>
      </c>
      <c r="K592" s="1" t="str" cm="1">
        <f t="array" ref="K592">_xlfn.IFS(a.nike.original.man[[#This Row],[Reviews]]&lt;=7, "Below Average", a.nike.original.man[[#This Row],[Reviews]]&gt;=8, "Average +")</f>
        <v>Average +</v>
      </c>
      <c r="L592" s="11" t="s">
        <v>1677</v>
      </c>
      <c r="M592" s="1" t="s">
        <v>1470</v>
      </c>
    </row>
    <row r="593" spans="1:13" x14ac:dyDescent="0.2">
      <c r="A593" s="2" t="s">
        <v>220</v>
      </c>
      <c r="B593" s="2" t="s">
        <v>1391</v>
      </c>
      <c r="C593" s="331">
        <v>0</v>
      </c>
      <c r="D593" s="331">
        <v>88</v>
      </c>
      <c r="E593" s="116">
        <v>0</v>
      </c>
      <c r="F593" s="2" t="s">
        <v>9</v>
      </c>
      <c r="G593" s="2" t="s">
        <v>1392</v>
      </c>
      <c r="H593" s="2">
        <v>2.7</v>
      </c>
      <c r="I593" s="2" t="str" cm="1">
        <f t="array" ref="I593">_xlfn.IFS(a.nike.original.man[[#This Row],[Rating]]&lt;=2.9, "0 - 2.9",a.nike.original.man[[#This Row],[Rating]]&lt;=3.9,"3 - 3.9", a.nike.original.man[[#This Row],[Rating]]&lt;=5,"4 - 5")</f>
        <v>0 - 2.9</v>
      </c>
      <c r="J593" s="2">
        <v>19</v>
      </c>
      <c r="K593" s="2" t="str" cm="1">
        <f t="array" ref="K593">_xlfn.IFS(a.nike.original.man[[#This Row],[Reviews]]&lt;=7, "Below Average", a.nike.original.man[[#This Row],[Reviews]]&gt;=8, "Average +")</f>
        <v>Average +</v>
      </c>
      <c r="L593" s="12" t="s">
        <v>1678</v>
      </c>
      <c r="M593" s="2" t="s">
        <v>1470</v>
      </c>
    </row>
    <row r="594" spans="1:13" x14ac:dyDescent="0.2">
      <c r="A594" s="2" t="s">
        <v>494</v>
      </c>
      <c r="B594" s="2" t="s">
        <v>1395</v>
      </c>
      <c r="C594" s="331">
        <v>119.95</v>
      </c>
      <c r="D594" s="331">
        <v>96</v>
      </c>
      <c r="E594" s="116">
        <v>0.2</v>
      </c>
      <c r="F594" s="2" t="s">
        <v>9</v>
      </c>
      <c r="G594" s="2" t="s">
        <v>1396</v>
      </c>
      <c r="H594" s="2">
        <v>2.8</v>
      </c>
      <c r="I594" s="2" t="str" cm="1">
        <f t="array" ref="I594">_xlfn.IFS(a.nike.original.man[[#This Row],[Rating]]&lt;=2.9, "0 - 2.9",a.nike.original.man[[#This Row],[Rating]]&lt;=3.9,"3 - 3.9", a.nike.original.man[[#This Row],[Rating]]&lt;=5,"4 - 5")</f>
        <v>0 - 2.9</v>
      </c>
      <c r="J594" s="2">
        <v>11</v>
      </c>
      <c r="K594" s="2" t="str" cm="1">
        <f t="array" ref="K594">_xlfn.IFS(a.nike.original.man[[#This Row],[Reviews]]&lt;=7, "Below Average", a.nike.original.man[[#This Row],[Reviews]]&gt;=8, "Average +")</f>
        <v>Average +</v>
      </c>
      <c r="L594" s="12" t="s">
        <v>1678</v>
      </c>
      <c r="M594" s="2" t="s">
        <v>1470</v>
      </c>
    </row>
    <row r="595" spans="1:13" x14ac:dyDescent="0.2">
      <c r="A595" s="1" t="s">
        <v>372</v>
      </c>
      <c r="B595" s="1" t="s">
        <v>1393</v>
      </c>
      <c r="C595" s="330">
        <v>0</v>
      </c>
      <c r="D595" s="330">
        <v>80</v>
      </c>
      <c r="E595" s="116">
        <v>0</v>
      </c>
      <c r="F595" s="1" t="s">
        <v>9</v>
      </c>
      <c r="G595" s="1" t="s">
        <v>1394</v>
      </c>
      <c r="H595" s="1">
        <v>3.7</v>
      </c>
      <c r="I595" s="1" t="str" cm="1">
        <f t="array" ref="I595">_xlfn.IFS(a.nike.original.man[[#This Row],[Rating]]&lt;=2.9, "0 - 2.9",a.nike.original.man[[#This Row],[Rating]]&lt;=3.9,"3 - 3.9", a.nike.original.man[[#This Row],[Rating]]&lt;=5,"4 - 5")</f>
        <v>3 - 3.9</v>
      </c>
      <c r="J595" s="1">
        <v>10</v>
      </c>
      <c r="K595" s="1" t="str" cm="1">
        <f t="array" ref="K595">_xlfn.IFS(a.nike.original.man[[#This Row],[Reviews]]&lt;=7, "Below Average", a.nike.original.man[[#This Row],[Reviews]]&gt;=8, "Average +")</f>
        <v>Average +</v>
      </c>
      <c r="L595" s="11" t="s">
        <v>1678</v>
      </c>
      <c r="M595" s="1" t="s">
        <v>1470</v>
      </c>
    </row>
    <row r="596" spans="1:13" x14ac:dyDescent="0.2">
      <c r="A596" s="1" t="s">
        <v>1397</v>
      </c>
      <c r="B596" s="1" t="s">
        <v>1398</v>
      </c>
      <c r="C596" s="330">
        <v>169.95</v>
      </c>
      <c r="D596" s="330">
        <v>102</v>
      </c>
      <c r="E596" s="116">
        <v>0.4</v>
      </c>
      <c r="F596" s="1" t="s">
        <v>9</v>
      </c>
      <c r="G596" s="1" t="s">
        <v>1399</v>
      </c>
      <c r="H596" s="1">
        <v>3.7</v>
      </c>
      <c r="I596" s="1" t="str" cm="1">
        <f t="array" ref="I596">_xlfn.IFS(a.nike.original.man[[#This Row],[Rating]]&lt;=2.9, "0 - 2.9",a.nike.original.man[[#This Row],[Rating]]&lt;=3.9,"3 - 3.9", a.nike.original.man[[#This Row],[Rating]]&lt;=5,"4 - 5")</f>
        <v>3 - 3.9</v>
      </c>
      <c r="J596" s="1">
        <v>3</v>
      </c>
      <c r="K596" s="1" t="str" cm="1">
        <f t="array" ref="K596">_xlfn.IFS(a.nike.original.man[[#This Row],[Reviews]]&lt;=7, "Below Average", a.nike.original.man[[#This Row],[Reviews]]&gt;=8, "Average +")</f>
        <v>Below Average</v>
      </c>
      <c r="L596" s="11" t="s">
        <v>1679</v>
      </c>
      <c r="M596" s="1" t="s">
        <v>1470</v>
      </c>
    </row>
    <row r="597" spans="1:13" x14ac:dyDescent="0.2">
      <c r="A597" s="1" t="s">
        <v>226</v>
      </c>
      <c r="B597" s="1" t="s">
        <v>1400</v>
      </c>
      <c r="C597" s="330">
        <v>0</v>
      </c>
      <c r="D597" s="330">
        <v>80</v>
      </c>
      <c r="E597" s="116">
        <v>0</v>
      </c>
      <c r="F597" s="1" t="s">
        <v>9</v>
      </c>
      <c r="G597" s="1" t="s">
        <v>1401</v>
      </c>
      <c r="H597" s="1">
        <v>4.5</v>
      </c>
      <c r="I597" s="1" t="str" cm="1">
        <f t="array" ref="I597">_xlfn.IFS(a.nike.original.man[[#This Row],[Rating]]&lt;=2.9, "0 - 2.9",a.nike.original.man[[#This Row],[Rating]]&lt;=3.9,"3 - 3.9", a.nike.original.man[[#This Row],[Rating]]&lt;=5,"4 - 5")</f>
        <v>4 - 5</v>
      </c>
      <c r="J597" s="1">
        <v>2</v>
      </c>
      <c r="K597" s="1" t="str" cm="1">
        <f t="array" ref="K597">_xlfn.IFS(a.nike.original.man[[#This Row],[Reviews]]&lt;=7, "Below Average", a.nike.original.man[[#This Row],[Reviews]]&gt;=8, "Average +")</f>
        <v>Below Average</v>
      </c>
      <c r="L597" s="11" t="s">
        <v>1680</v>
      </c>
      <c r="M597" s="1" t="s">
        <v>1470</v>
      </c>
    </row>
    <row r="598" spans="1:13" x14ac:dyDescent="0.2">
      <c r="A598" s="2" t="s">
        <v>819</v>
      </c>
      <c r="B598" s="2" t="s">
        <v>820</v>
      </c>
      <c r="C598" s="331">
        <v>89.95</v>
      </c>
      <c r="D598" s="331">
        <v>63</v>
      </c>
      <c r="E598" s="116">
        <v>0.3</v>
      </c>
      <c r="F598" s="2" t="s">
        <v>9</v>
      </c>
      <c r="G598" s="2" t="s">
        <v>821</v>
      </c>
      <c r="H598" s="2">
        <v>0</v>
      </c>
      <c r="I598" s="2" t="str" cm="1">
        <f t="array" ref="I598">_xlfn.IFS(a.nike.original.man[[#This Row],[Rating]]&lt;=2.9, "0 - 2.9",a.nike.original.man[[#This Row],[Rating]]&lt;=3.9,"3 - 3.9", a.nike.original.man[[#This Row],[Rating]]&lt;=5,"4 - 5")</f>
        <v>0 - 2.9</v>
      </c>
      <c r="J598" s="2">
        <v>0</v>
      </c>
      <c r="K598" s="2" t="str" cm="1">
        <f t="array" ref="K598">_xlfn.IFS(a.nike.original.man[[#This Row],[Reviews]]&lt;=7, "Below Average", a.nike.original.man[[#This Row],[Reviews]]&gt;=8, "Average +")</f>
        <v>Below Average</v>
      </c>
      <c r="L598" s="12" t="s">
        <v>1680</v>
      </c>
      <c r="M598" s="2" t="s">
        <v>1470</v>
      </c>
    </row>
    <row r="599" spans="1:13" x14ac:dyDescent="0.2">
      <c r="A599" s="2" t="s">
        <v>135</v>
      </c>
      <c r="B599" s="2" t="s">
        <v>1402</v>
      </c>
      <c r="C599" s="331">
        <v>0</v>
      </c>
      <c r="D599" s="331">
        <v>170</v>
      </c>
      <c r="E599" s="116">
        <v>0</v>
      </c>
      <c r="F599" s="2" t="s">
        <v>9</v>
      </c>
      <c r="G599" s="2" t="s">
        <v>1403</v>
      </c>
      <c r="H599" s="2">
        <v>4</v>
      </c>
      <c r="I599" s="2" t="str" cm="1">
        <f t="array" ref="I599">_xlfn.IFS(a.nike.original.man[[#This Row],[Rating]]&lt;=2.9, "0 - 2.9",a.nike.original.man[[#This Row],[Rating]]&lt;=3.9,"3 - 3.9", a.nike.original.man[[#This Row],[Rating]]&lt;=5,"4 - 5")</f>
        <v>4 - 5</v>
      </c>
      <c r="J599" s="2">
        <v>1</v>
      </c>
      <c r="K599" s="2" t="str" cm="1">
        <f t="array" ref="K599">_xlfn.IFS(a.nike.original.man[[#This Row],[Reviews]]&lt;=7, "Below Average", a.nike.original.man[[#This Row],[Reviews]]&gt;=8, "Average +")</f>
        <v>Below Average</v>
      </c>
      <c r="L599" s="12" t="s">
        <v>1681</v>
      </c>
      <c r="M599" s="2" t="s">
        <v>1470</v>
      </c>
    </row>
    <row r="600" spans="1:13" x14ac:dyDescent="0.2">
      <c r="A600" s="1" t="s">
        <v>680</v>
      </c>
      <c r="B600" s="1" t="s">
        <v>681</v>
      </c>
      <c r="C600" s="330">
        <v>79.95</v>
      </c>
      <c r="D600" s="330">
        <v>64</v>
      </c>
      <c r="E600" s="116">
        <v>0.2</v>
      </c>
      <c r="F600" s="1" t="s">
        <v>9</v>
      </c>
      <c r="G600" s="1" t="s">
        <v>682</v>
      </c>
      <c r="H600" s="1">
        <v>5</v>
      </c>
      <c r="I600" s="1" t="str" cm="1">
        <f t="array" ref="I600">_xlfn.IFS(a.nike.original.man[[#This Row],[Rating]]&lt;=2.9, "0 - 2.9",a.nike.original.man[[#This Row],[Rating]]&lt;=3.9,"3 - 3.9", a.nike.original.man[[#This Row],[Rating]]&lt;=5,"4 - 5")</f>
        <v>4 - 5</v>
      </c>
      <c r="J600" s="1">
        <v>1</v>
      </c>
      <c r="K600" s="1" t="str" cm="1">
        <f t="array" ref="K600">_xlfn.IFS(a.nike.original.man[[#This Row],[Reviews]]&lt;=7, "Below Average", a.nike.original.man[[#This Row],[Reviews]]&gt;=8, "Average +")</f>
        <v>Below Average</v>
      </c>
      <c r="L600" s="11" t="s">
        <v>1681</v>
      </c>
      <c r="M600" s="1" t="s">
        <v>1470</v>
      </c>
    </row>
    <row r="601" spans="1:13" x14ac:dyDescent="0.2">
      <c r="A601" s="2" t="s">
        <v>811</v>
      </c>
      <c r="B601" s="2" t="s">
        <v>1404</v>
      </c>
      <c r="C601" s="331">
        <v>0</v>
      </c>
      <c r="D601" s="331">
        <v>120</v>
      </c>
      <c r="E601" s="116">
        <v>0</v>
      </c>
      <c r="F601" s="2" t="s">
        <v>9</v>
      </c>
      <c r="G601" s="2" t="s">
        <v>1405</v>
      </c>
      <c r="H601" s="2">
        <v>3.8</v>
      </c>
      <c r="I601" s="2" t="str" cm="1">
        <f t="array" ref="I601">_xlfn.IFS(a.nike.original.man[[#This Row],[Rating]]&lt;=2.9, "0 - 2.9",a.nike.original.man[[#This Row],[Rating]]&lt;=3.9,"3 - 3.9", a.nike.original.man[[#This Row],[Rating]]&lt;=5,"4 - 5")</f>
        <v>3 - 3.9</v>
      </c>
      <c r="J601" s="2">
        <v>4</v>
      </c>
      <c r="K601" s="2" t="str" cm="1">
        <f t="array" ref="K601">_xlfn.IFS(a.nike.original.man[[#This Row],[Reviews]]&lt;=7, "Below Average", a.nike.original.man[[#This Row],[Reviews]]&gt;=8, "Average +")</f>
        <v>Below Average</v>
      </c>
      <c r="L601" s="12" t="s">
        <v>1682</v>
      </c>
      <c r="M601" s="2" t="s">
        <v>1470</v>
      </c>
    </row>
    <row r="602" spans="1:13" x14ac:dyDescent="0.2">
      <c r="A602" s="1" t="s">
        <v>1406</v>
      </c>
      <c r="B602" s="1" t="s">
        <v>1407</v>
      </c>
      <c r="C602" s="330">
        <v>129.94999999999999</v>
      </c>
      <c r="D602" s="330">
        <v>91</v>
      </c>
      <c r="E602" s="116">
        <v>0.3</v>
      </c>
      <c r="F602" s="1" t="s">
        <v>9</v>
      </c>
      <c r="G602" s="1" t="s">
        <v>1408</v>
      </c>
      <c r="H602" s="1">
        <v>0</v>
      </c>
      <c r="I602" s="1" t="str" cm="1">
        <f t="array" ref="I602">_xlfn.IFS(a.nike.original.man[[#This Row],[Rating]]&lt;=2.9, "0 - 2.9",a.nike.original.man[[#This Row],[Rating]]&lt;=3.9,"3 - 3.9", a.nike.original.man[[#This Row],[Rating]]&lt;=5,"4 - 5")</f>
        <v>0 - 2.9</v>
      </c>
      <c r="J602" s="1">
        <v>0</v>
      </c>
      <c r="K602" s="1" t="str" cm="1">
        <f t="array" ref="K602">_xlfn.IFS(a.nike.original.man[[#This Row],[Reviews]]&lt;=7, "Below Average", a.nike.original.man[[#This Row],[Reviews]]&gt;=8, "Average +")</f>
        <v>Below Average</v>
      </c>
      <c r="L602" s="11" t="s">
        <v>1683</v>
      </c>
      <c r="M602" s="1" t="s">
        <v>1470</v>
      </c>
    </row>
    <row r="603" spans="1:13" x14ac:dyDescent="0.2">
      <c r="A603" s="2" t="s">
        <v>468</v>
      </c>
      <c r="B603" s="2" t="s">
        <v>1409</v>
      </c>
      <c r="C603" s="331">
        <v>0</v>
      </c>
      <c r="D603" s="331">
        <v>90</v>
      </c>
      <c r="E603" s="116">
        <v>0</v>
      </c>
      <c r="F603" s="2" t="s">
        <v>9</v>
      </c>
      <c r="G603" s="2" t="s">
        <v>1410</v>
      </c>
      <c r="H603" s="2">
        <v>4</v>
      </c>
      <c r="I603" s="2" t="str" cm="1">
        <f t="array" ref="I603">_xlfn.IFS(a.nike.original.man[[#This Row],[Rating]]&lt;=2.9, "0 - 2.9",a.nike.original.man[[#This Row],[Rating]]&lt;=3.9,"3 - 3.9", a.nike.original.man[[#This Row],[Rating]]&lt;=5,"4 - 5")</f>
        <v>4 - 5</v>
      </c>
      <c r="J603" s="2">
        <v>13</v>
      </c>
      <c r="K603" s="2" t="str" cm="1">
        <f t="array" ref="K603">_xlfn.IFS(a.nike.original.man[[#This Row],[Reviews]]&lt;=7, "Below Average", a.nike.original.man[[#This Row],[Reviews]]&gt;=8, "Average +")</f>
        <v>Average +</v>
      </c>
      <c r="L603" s="12" t="s">
        <v>1684</v>
      </c>
      <c r="M603" s="2" t="s">
        <v>1470</v>
      </c>
    </row>
    <row r="604" spans="1:13" x14ac:dyDescent="0.2">
      <c r="A604" s="1" t="s">
        <v>1296</v>
      </c>
      <c r="B604" s="1" t="s">
        <v>1297</v>
      </c>
      <c r="C604" s="330">
        <v>89.95</v>
      </c>
      <c r="D604" s="330">
        <v>72</v>
      </c>
      <c r="E604" s="116">
        <v>0.2</v>
      </c>
      <c r="F604" s="1" t="s">
        <v>9</v>
      </c>
      <c r="G604" s="1" t="s">
        <v>1298</v>
      </c>
      <c r="H604" s="1">
        <v>4</v>
      </c>
      <c r="I604" s="1" t="str" cm="1">
        <f t="array" ref="I604">_xlfn.IFS(a.nike.original.man[[#This Row],[Rating]]&lt;=2.9, "0 - 2.9",a.nike.original.man[[#This Row],[Rating]]&lt;=3.9,"3 - 3.9", a.nike.original.man[[#This Row],[Rating]]&lt;=5,"4 - 5")</f>
        <v>4 - 5</v>
      </c>
      <c r="J604" s="1">
        <v>19</v>
      </c>
      <c r="K604" s="1" t="str" cm="1">
        <f t="array" ref="K604">_xlfn.IFS(a.nike.original.man[[#This Row],[Reviews]]&lt;=7, "Below Average", a.nike.original.man[[#This Row],[Reviews]]&gt;=8, "Average +")</f>
        <v>Average +</v>
      </c>
      <c r="L604" s="11" t="s">
        <v>1685</v>
      </c>
      <c r="M604" s="1" t="s">
        <v>1470</v>
      </c>
    </row>
    <row r="605" spans="1:13" x14ac:dyDescent="0.2">
      <c r="A605" s="2" t="s">
        <v>931</v>
      </c>
      <c r="B605" s="2" t="s">
        <v>932</v>
      </c>
      <c r="C605" s="331">
        <v>0</v>
      </c>
      <c r="D605" s="331">
        <v>190</v>
      </c>
      <c r="E605" s="116">
        <v>0</v>
      </c>
      <c r="F605" s="2" t="s">
        <v>9</v>
      </c>
      <c r="G605" s="2" t="s">
        <v>933</v>
      </c>
      <c r="H605" s="2">
        <v>4.5999999999999996</v>
      </c>
      <c r="I605" s="2" t="str" cm="1">
        <f t="array" ref="I605">_xlfn.IFS(a.nike.original.man[[#This Row],[Rating]]&lt;=2.9, "0 - 2.9",a.nike.original.man[[#This Row],[Rating]]&lt;=3.9,"3 - 3.9", a.nike.original.man[[#This Row],[Rating]]&lt;=5,"4 - 5")</f>
        <v>4 - 5</v>
      </c>
      <c r="J605" s="2">
        <v>8</v>
      </c>
      <c r="K605" s="2" t="str" cm="1">
        <f t="array" ref="K605">_xlfn.IFS(a.nike.original.man[[#This Row],[Reviews]]&lt;=7, "Below Average", a.nike.original.man[[#This Row],[Reviews]]&gt;=8, "Average +")</f>
        <v>Average +</v>
      </c>
      <c r="L605" s="12" t="s">
        <v>1686</v>
      </c>
      <c r="M605" s="2" t="s">
        <v>1470</v>
      </c>
    </row>
    <row r="606" spans="1:13" x14ac:dyDescent="0.2">
      <c r="A606" s="1" t="s">
        <v>1411</v>
      </c>
      <c r="B606" s="1" t="s">
        <v>1412</v>
      </c>
      <c r="C606" s="330">
        <v>109.95</v>
      </c>
      <c r="D606" s="330">
        <v>77</v>
      </c>
      <c r="E606" s="116">
        <v>0.3</v>
      </c>
      <c r="F606" s="1" t="s">
        <v>9</v>
      </c>
      <c r="G606" s="1" t="s">
        <v>1413</v>
      </c>
      <c r="H606" s="1">
        <v>4.3</v>
      </c>
      <c r="I606" s="1" t="str" cm="1">
        <f t="array" ref="I606">_xlfn.IFS(a.nike.original.man[[#This Row],[Rating]]&lt;=2.9, "0 - 2.9",a.nike.original.man[[#This Row],[Rating]]&lt;=3.9,"3 - 3.9", a.nike.original.man[[#This Row],[Rating]]&lt;=5,"4 - 5")</f>
        <v>4 - 5</v>
      </c>
      <c r="J606" s="1">
        <v>3</v>
      </c>
      <c r="K606" s="1" t="str" cm="1">
        <f t="array" ref="K606">_xlfn.IFS(a.nike.original.man[[#This Row],[Reviews]]&lt;=7, "Below Average", a.nike.original.man[[#This Row],[Reviews]]&gt;=8, "Average +")</f>
        <v>Below Average</v>
      </c>
      <c r="L606" s="11" t="s">
        <v>1687</v>
      </c>
      <c r="M606" s="1" t="s">
        <v>1470</v>
      </c>
    </row>
    <row r="607" spans="1:13" x14ac:dyDescent="0.2">
      <c r="A607" s="2" t="s">
        <v>538</v>
      </c>
      <c r="B607" s="2" t="s">
        <v>539</v>
      </c>
      <c r="C607" s="331">
        <v>0</v>
      </c>
      <c r="D607" s="331">
        <v>220</v>
      </c>
      <c r="E607" s="116">
        <v>0</v>
      </c>
      <c r="F607" s="2" t="s">
        <v>9</v>
      </c>
      <c r="G607" s="2" t="s">
        <v>540</v>
      </c>
      <c r="H607" s="2">
        <v>3.5</v>
      </c>
      <c r="I607" s="2" t="str" cm="1">
        <f t="array" ref="I607">_xlfn.IFS(a.nike.original.man[[#This Row],[Rating]]&lt;=2.9, "0 - 2.9",a.nike.original.man[[#This Row],[Rating]]&lt;=3.9,"3 - 3.9", a.nike.original.man[[#This Row],[Rating]]&lt;=5,"4 - 5")</f>
        <v>3 - 3.9</v>
      </c>
      <c r="J607" s="2">
        <v>4</v>
      </c>
      <c r="K607" s="2" t="str" cm="1">
        <f t="array" ref="K607">_xlfn.IFS(a.nike.original.man[[#This Row],[Reviews]]&lt;=7, "Below Average", a.nike.original.man[[#This Row],[Reviews]]&gt;=8, "Average +")</f>
        <v>Below Average</v>
      </c>
      <c r="L607" s="12" t="s">
        <v>1688</v>
      </c>
      <c r="M607" s="2" t="s">
        <v>1470</v>
      </c>
    </row>
    <row r="608" spans="1:13" x14ac:dyDescent="0.2">
      <c r="A608" s="1" t="s">
        <v>111</v>
      </c>
      <c r="B608" s="1" t="s">
        <v>1414</v>
      </c>
      <c r="C608" s="330">
        <v>159.94999999999999</v>
      </c>
      <c r="D608" s="330">
        <v>96</v>
      </c>
      <c r="E608" s="116">
        <v>0.4</v>
      </c>
      <c r="F608" s="1" t="s">
        <v>9</v>
      </c>
      <c r="G608" s="1" t="s">
        <v>1415</v>
      </c>
      <c r="H608" s="1">
        <v>4.9000000000000004</v>
      </c>
      <c r="I608" s="1" t="str" cm="1">
        <f t="array" ref="I608">_xlfn.IFS(a.nike.original.man[[#This Row],[Rating]]&lt;=2.9, "0 - 2.9",a.nike.original.man[[#This Row],[Rating]]&lt;=3.9,"3 - 3.9", a.nike.original.man[[#This Row],[Rating]]&lt;=5,"4 - 5")</f>
        <v>4 - 5</v>
      </c>
      <c r="J608" s="1">
        <v>18</v>
      </c>
      <c r="K608" s="1" t="str" cm="1">
        <f t="array" ref="K608">_xlfn.IFS(a.nike.original.man[[#This Row],[Reviews]]&lt;=7, "Below Average", a.nike.original.man[[#This Row],[Reviews]]&gt;=8, "Average +")</f>
        <v>Average +</v>
      </c>
      <c r="L608" s="11" t="s">
        <v>1688</v>
      </c>
      <c r="M608" s="1" t="s">
        <v>1470</v>
      </c>
    </row>
    <row r="609" spans="1:13" x14ac:dyDescent="0.2">
      <c r="A609" s="1" t="s">
        <v>1303</v>
      </c>
      <c r="B609" s="1" t="s">
        <v>1304</v>
      </c>
      <c r="C609" s="330">
        <v>159.94999999999999</v>
      </c>
      <c r="D609" s="330">
        <v>112</v>
      </c>
      <c r="E609" s="116">
        <v>0.3</v>
      </c>
      <c r="F609" s="1" t="s">
        <v>9</v>
      </c>
      <c r="G609" s="1" t="s">
        <v>1305</v>
      </c>
      <c r="H609" s="1">
        <v>4.8</v>
      </c>
      <c r="I609" s="1" t="str" cm="1">
        <f t="array" ref="I609">_xlfn.IFS(a.nike.original.man[[#This Row],[Rating]]&lt;=2.9, "0 - 2.9",a.nike.original.man[[#This Row],[Rating]]&lt;=3.9,"3 - 3.9", a.nike.original.man[[#This Row],[Rating]]&lt;=5,"4 - 5")</f>
        <v>4 - 5</v>
      </c>
      <c r="J609" s="1">
        <v>4</v>
      </c>
      <c r="K609" s="1" t="str" cm="1">
        <f t="array" ref="K609">_xlfn.IFS(a.nike.original.man[[#This Row],[Reviews]]&lt;=7, "Below Average", a.nike.original.man[[#This Row],[Reviews]]&gt;=8, "Average +")</f>
        <v>Below Average</v>
      </c>
      <c r="L609" s="11" t="s">
        <v>1689</v>
      </c>
      <c r="M609" s="1" t="s">
        <v>1470</v>
      </c>
    </row>
    <row r="610" spans="1:13" x14ac:dyDescent="0.2">
      <c r="A610" s="2" t="s">
        <v>526</v>
      </c>
      <c r="B610" s="2" t="s">
        <v>527</v>
      </c>
      <c r="C610" s="331">
        <v>0</v>
      </c>
      <c r="D610" s="331">
        <v>85</v>
      </c>
      <c r="E610" s="116">
        <v>0</v>
      </c>
      <c r="F610" s="2" t="s">
        <v>9</v>
      </c>
      <c r="G610" s="2" t="s">
        <v>528</v>
      </c>
      <c r="H610" s="2">
        <v>5</v>
      </c>
      <c r="I610" s="2" t="str" cm="1">
        <f t="array" ref="I610">_xlfn.IFS(a.nike.original.man[[#This Row],[Rating]]&lt;=2.9, "0 - 2.9",a.nike.original.man[[#This Row],[Rating]]&lt;=3.9,"3 - 3.9", a.nike.original.man[[#This Row],[Rating]]&lt;=5,"4 - 5")</f>
        <v>4 - 5</v>
      </c>
      <c r="J610" s="2">
        <v>1</v>
      </c>
      <c r="K610" s="2" t="str" cm="1">
        <f t="array" ref="K610">_xlfn.IFS(a.nike.original.man[[#This Row],[Reviews]]&lt;=7, "Below Average", a.nike.original.man[[#This Row],[Reviews]]&gt;=8, "Average +")</f>
        <v>Below Average</v>
      </c>
      <c r="L610" s="12" t="s">
        <v>1689</v>
      </c>
      <c r="M610" s="2" t="s">
        <v>1470</v>
      </c>
    </row>
    <row r="611" spans="1:13" x14ac:dyDescent="0.2">
      <c r="A611" s="2" t="s">
        <v>548</v>
      </c>
      <c r="B611" s="2" t="s">
        <v>549</v>
      </c>
      <c r="C611" s="331">
        <v>0</v>
      </c>
      <c r="D611" s="331">
        <v>130</v>
      </c>
      <c r="E611" s="116">
        <v>0</v>
      </c>
      <c r="F611" s="2" t="s">
        <v>9</v>
      </c>
      <c r="G611" s="2" t="s">
        <v>550</v>
      </c>
      <c r="H611" s="2">
        <v>4.5999999999999996</v>
      </c>
      <c r="I611" s="2" t="str" cm="1">
        <f t="array" ref="I611">_xlfn.IFS(a.nike.original.man[[#This Row],[Rating]]&lt;=2.9, "0 - 2.9",a.nike.original.man[[#This Row],[Rating]]&lt;=3.9,"3 - 3.9", a.nike.original.man[[#This Row],[Rating]]&lt;=5,"4 - 5")</f>
        <v>4 - 5</v>
      </c>
      <c r="J611" s="2">
        <v>18</v>
      </c>
      <c r="K611" s="2" t="str" cm="1">
        <f t="array" ref="K611">_xlfn.IFS(a.nike.original.man[[#This Row],[Reviews]]&lt;=7, "Below Average", a.nike.original.man[[#This Row],[Reviews]]&gt;=8, "Average +")</f>
        <v>Average +</v>
      </c>
      <c r="L611" s="12" t="s">
        <v>1689</v>
      </c>
      <c r="M611" s="2" t="s">
        <v>1470</v>
      </c>
    </row>
    <row r="612" spans="1:13" x14ac:dyDescent="0.2">
      <c r="A612" s="1" t="s">
        <v>1416</v>
      </c>
      <c r="B612" s="1" t="s">
        <v>1417</v>
      </c>
      <c r="C612" s="330">
        <v>99.95</v>
      </c>
      <c r="D612" s="330">
        <v>80</v>
      </c>
      <c r="E612" s="116">
        <v>0.2</v>
      </c>
      <c r="F612" s="1" t="s">
        <v>9</v>
      </c>
      <c r="G612" s="1" t="s">
        <v>1418</v>
      </c>
      <c r="H612" s="1">
        <v>3</v>
      </c>
      <c r="I612" s="1" t="str" cm="1">
        <f t="array" ref="I612">_xlfn.IFS(a.nike.original.man[[#This Row],[Rating]]&lt;=2.9, "0 - 2.9",a.nike.original.man[[#This Row],[Rating]]&lt;=3.9,"3 - 3.9", a.nike.original.man[[#This Row],[Rating]]&lt;=5,"4 - 5")</f>
        <v>3 - 3.9</v>
      </c>
      <c r="J612" s="1">
        <v>4</v>
      </c>
      <c r="K612" s="1" t="str" cm="1">
        <f t="array" ref="K612">_xlfn.IFS(a.nike.original.man[[#This Row],[Reviews]]&lt;=7, "Below Average", a.nike.original.man[[#This Row],[Reviews]]&gt;=8, "Average +")</f>
        <v>Below Average</v>
      </c>
      <c r="L612" s="11" t="s">
        <v>1690</v>
      </c>
      <c r="M612" s="1" t="s">
        <v>1470</v>
      </c>
    </row>
    <row r="613" spans="1:13" x14ac:dyDescent="0.2">
      <c r="A613" s="2" t="s">
        <v>120</v>
      </c>
      <c r="B613" s="2" t="s">
        <v>1419</v>
      </c>
      <c r="C613" s="331">
        <v>0</v>
      </c>
      <c r="D613" s="331">
        <v>100</v>
      </c>
      <c r="E613" s="116">
        <v>0</v>
      </c>
      <c r="F613" s="2" t="s">
        <v>9</v>
      </c>
      <c r="G613" s="2" t="s">
        <v>1178</v>
      </c>
      <c r="H613" s="2">
        <v>0</v>
      </c>
      <c r="I613" s="2" t="str" cm="1">
        <f t="array" ref="I613">_xlfn.IFS(a.nike.original.man[[#This Row],[Rating]]&lt;=2.9, "0 - 2.9",a.nike.original.man[[#This Row],[Rating]]&lt;=3.9,"3 - 3.9", a.nike.original.man[[#This Row],[Rating]]&lt;=5,"4 - 5")</f>
        <v>0 - 2.9</v>
      </c>
      <c r="J613" s="2">
        <v>0</v>
      </c>
      <c r="K613" s="2" t="str" cm="1">
        <f t="array" ref="K613">_xlfn.IFS(a.nike.original.man[[#This Row],[Reviews]]&lt;=7, "Below Average", a.nike.original.man[[#This Row],[Reviews]]&gt;=8, "Average +")</f>
        <v>Below Average</v>
      </c>
      <c r="L613" s="12" t="s">
        <v>1690</v>
      </c>
      <c r="M613" s="2" t="s">
        <v>1470</v>
      </c>
    </row>
    <row r="614" spans="1:13" x14ac:dyDescent="0.2">
      <c r="A614" s="1" t="s">
        <v>727</v>
      </c>
      <c r="B614" s="1" t="s">
        <v>728</v>
      </c>
      <c r="C614" s="330">
        <v>0</v>
      </c>
      <c r="D614" s="330">
        <v>60</v>
      </c>
      <c r="E614" s="116">
        <v>0</v>
      </c>
      <c r="F614" s="1" t="s">
        <v>9</v>
      </c>
      <c r="G614" s="1" t="s">
        <v>729</v>
      </c>
      <c r="H614" s="1">
        <v>0</v>
      </c>
      <c r="I614" s="1" t="str" cm="1">
        <f t="array" ref="I614">_xlfn.IFS(a.nike.original.man[[#This Row],[Rating]]&lt;=2.9, "0 - 2.9",a.nike.original.man[[#This Row],[Rating]]&lt;=3.9,"3 - 3.9", a.nike.original.man[[#This Row],[Rating]]&lt;=5,"4 - 5")</f>
        <v>0 - 2.9</v>
      </c>
      <c r="J614" s="1">
        <v>0</v>
      </c>
      <c r="K614" s="1" t="str" cm="1">
        <f t="array" ref="K614">_xlfn.IFS(a.nike.original.man[[#This Row],[Reviews]]&lt;=7, "Below Average", a.nike.original.man[[#This Row],[Reviews]]&gt;=8, "Average +")</f>
        <v>Below Average</v>
      </c>
      <c r="L614" s="11" t="s">
        <v>1690</v>
      </c>
      <c r="M614" s="1" t="s">
        <v>1470</v>
      </c>
    </row>
    <row r="615" spans="1:13" x14ac:dyDescent="0.2">
      <c r="A615" s="2" t="s">
        <v>962</v>
      </c>
      <c r="B615" s="2" t="s">
        <v>963</v>
      </c>
      <c r="C615" s="331">
        <v>0</v>
      </c>
      <c r="D615" s="331">
        <v>45</v>
      </c>
      <c r="E615" s="116">
        <v>0</v>
      </c>
      <c r="F615" s="2" t="s">
        <v>9</v>
      </c>
      <c r="G615" s="2" t="s">
        <v>964</v>
      </c>
      <c r="H615" s="2">
        <v>0</v>
      </c>
      <c r="I615" s="2" t="str" cm="1">
        <f t="array" ref="I615">_xlfn.IFS(a.nike.original.man[[#This Row],[Rating]]&lt;=2.9, "0 - 2.9",a.nike.original.man[[#This Row],[Rating]]&lt;=3.9,"3 - 3.9", a.nike.original.man[[#This Row],[Rating]]&lt;=5,"4 - 5")</f>
        <v>0 - 2.9</v>
      </c>
      <c r="J615" s="2">
        <v>0</v>
      </c>
      <c r="K615" s="2" t="str" cm="1">
        <f t="array" ref="K615">_xlfn.IFS(a.nike.original.man[[#This Row],[Reviews]]&lt;=7, "Below Average", a.nike.original.man[[#This Row],[Reviews]]&gt;=8, "Average +")</f>
        <v>Below Average</v>
      </c>
      <c r="L615" s="12" t="s">
        <v>1690</v>
      </c>
      <c r="M615" s="2" t="s">
        <v>1470</v>
      </c>
    </row>
    <row r="616" spans="1:13" x14ac:dyDescent="0.2">
      <c r="A616" s="1" t="s">
        <v>1420</v>
      </c>
      <c r="B616" s="1" t="s">
        <v>1421</v>
      </c>
      <c r="C616" s="330">
        <v>79.95</v>
      </c>
      <c r="D616" s="330">
        <v>56</v>
      </c>
      <c r="E616" s="116">
        <v>0.3</v>
      </c>
      <c r="F616" s="1" t="s">
        <v>9</v>
      </c>
      <c r="G616" s="1" t="s">
        <v>1422</v>
      </c>
      <c r="H616" s="1">
        <v>4.7</v>
      </c>
      <c r="I616" s="1" t="str" cm="1">
        <f t="array" ref="I616">_xlfn.IFS(a.nike.original.man[[#This Row],[Rating]]&lt;=2.9, "0 - 2.9",a.nike.original.man[[#This Row],[Rating]]&lt;=3.9,"3 - 3.9", a.nike.original.man[[#This Row],[Rating]]&lt;=5,"4 - 5")</f>
        <v>4 - 5</v>
      </c>
      <c r="J616" s="1">
        <v>10</v>
      </c>
      <c r="K616" s="1" t="str" cm="1">
        <f t="array" ref="K616">_xlfn.IFS(a.nike.original.man[[#This Row],[Reviews]]&lt;=7, "Below Average", a.nike.original.man[[#This Row],[Reviews]]&gt;=8, "Average +")</f>
        <v>Average +</v>
      </c>
      <c r="L616" s="11" t="s">
        <v>1690</v>
      </c>
      <c r="M616" s="1" t="s">
        <v>1470</v>
      </c>
    </row>
    <row r="617" spans="1:13" x14ac:dyDescent="0.2">
      <c r="A617" s="2" t="s">
        <v>1179</v>
      </c>
      <c r="B617" s="2" t="s">
        <v>1180</v>
      </c>
      <c r="C617" s="331">
        <v>0</v>
      </c>
      <c r="D617" s="331">
        <v>230</v>
      </c>
      <c r="E617" s="116">
        <v>0</v>
      </c>
      <c r="F617" s="2" t="s">
        <v>9</v>
      </c>
      <c r="G617" s="2" t="s">
        <v>1181</v>
      </c>
      <c r="H617" s="2">
        <v>4.3</v>
      </c>
      <c r="I617" s="2" t="str" cm="1">
        <f t="array" ref="I617">_xlfn.IFS(a.nike.original.man[[#This Row],[Rating]]&lt;=2.9, "0 - 2.9",a.nike.original.man[[#This Row],[Rating]]&lt;=3.9,"3 - 3.9", a.nike.original.man[[#This Row],[Rating]]&lt;=5,"4 - 5")</f>
        <v>4 - 5</v>
      </c>
      <c r="J617" s="2">
        <v>8</v>
      </c>
      <c r="K617" s="2" t="str" cm="1">
        <f t="array" ref="K617">_xlfn.IFS(a.nike.original.man[[#This Row],[Reviews]]&lt;=7, "Below Average", a.nike.original.man[[#This Row],[Reviews]]&gt;=8, "Average +")</f>
        <v>Average +</v>
      </c>
      <c r="L617" s="12" t="s">
        <v>1690</v>
      </c>
      <c r="M617" s="2" t="s">
        <v>1470</v>
      </c>
    </row>
    <row r="618" spans="1:13" x14ac:dyDescent="0.2">
      <c r="A618" s="1" t="s">
        <v>763</v>
      </c>
      <c r="B618" s="1" t="s">
        <v>1429</v>
      </c>
      <c r="C618" s="330">
        <v>169.95</v>
      </c>
      <c r="D618" s="330">
        <v>136</v>
      </c>
      <c r="E618" s="116">
        <v>0.2</v>
      </c>
      <c r="F618" s="1" t="s">
        <v>9</v>
      </c>
      <c r="G618" s="1" t="s">
        <v>1430</v>
      </c>
      <c r="H618" s="1">
        <v>3.7</v>
      </c>
      <c r="I618" s="1" t="str" cm="1">
        <f t="array" ref="I618">_xlfn.IFS(a.nike.original.man[[#This Row],[Rating]]&lt;=2.9, "0 - 2.9",a.nike.original.man[[#This Row],[Rating]]&lt;=3.9,"3 - 3.9", a.nike.original.man[[#This Row],[Rating]]&lt;=5,"4 - 5")</f>
        <v>3 - 3.9</v>
      </c>
      <c r="J618" s="1">
        <v>3</v>
      </c>
      <c r="K618" s="1" t="str" cm="1">
        <f t="array" ref="K618">_xlfn.IFS(a.nike.original.man[[#This Row],[Reviews]]&lt;=7, "Below Average", a.nike.original.man[[#This Row],[Reviews]]&gt;=8, "Average +")</f>
        <v>Below Average</v>
      </c>
      <c r="L618" s="11" t="s">
        <v>1691</v>
      </c>
      <c r="M618" s="1" t="s">
        <v>1470</v>
      </c>
    </row>
    <row r="619" spans="1:13" x14ac:dyDescent="0.2">
      <c r="A619" s="1" t="s">
        <v>1423</v>
      </c>
      <c r="B619" s="1" t="s">
        <v>1424</v>
      </c>
      <c r="C619" s="330">
        <v>0</v>
      </c>
      <c r="D619" s="330">
        <v>65</v>
      </c>
      <c r="E619" s="116">
        <v>0</v>
      </c>
      <c r="F619" s="1" t="s">
        <v>9</v>
      </c>
      <c r="G619" s="1" t="s">
        <v>1425</v>
      </c>
      <c r="H619" s="1">
        <v>0</v>
      </c>
      <c r="I619" s="1" t="str" cm="1">
        <f t="array" ref="I619">_xlfn.IFS(a.nike.original.man[[#This Row],[Rating]]&lt;=2.9, "0 - 2.9",a.nike.original.man[[#This Row],[Rating]]&lt;=3.9,"3 - 3.9", a.nike.original.man[[#This Row],[Rating]]&lt;=5,"4 - 5")</f>
        <v>0 - 2.9</v>
      </c>
      <c r="J619" s="1">
        <v>0</v>
      </c>
      <c r="K619" s="1" t="str" cm="1">
        <f t="array" ref="K619">_xlfn.IFS(a.nike.original.man[[#This Row],[Reviews]]&lt;=7, "Below Average", a.nike.original.man[[#This Row],[Reviews]]&gt;=8, "Average +")</f>
        <v>Below Average</v>
      </c>
      <c r="L619" s="11" t="s">
        <v>1691</v>
      </c>
      <c r="M619" s="1" t="s">
        <v>1470</v>
      </c>
    </row>
    <row r="620" spans="1:13" x14ac:dyDescent="0.2">
      <c r="A620" s="2" t="s">
        <v>1426</v>
      </c>
      <c r="B620" s="2" t="s">
        <v>1427</v>
      </c>
      <c r="C620" s="331">
        <v>69.95</v>
      </c>
      <c r="D620" s="331">
        <v>56</v>
      </c>
      <c r="E620" s="116">
        <v>0.2</v>
      </c>
      <c r="F620" s="2" t="s">
        <v>9</v>
      </c>
      <c r="G620" s="2" t="s">
        <v>1428</v>
      </c>
      <c r="H620" s="2">
        <v>0</v>
      </c>
      <c r="I620" s="2" t="str" cm="1">
        <f t="array" ref="I620">_xlfn.IFS(a.nike.original.man[[#This Row],[Rating]]&lt;=2.9, "0 - 2.9",a.nike.original.man[[#This Row],[Rating]]&lt;=3.9,"3 - 3.9", a.nike.original.man[[#This Row],[Rating]]&lt;=5,"4 - 5")</f>
        <v>0 - 2.9</v>
      </c>
      <c r="J620" s="2">
        <v>0</v>
      </c>
      <c r="K620" s="2" t="str" cm="1">
        <f t="array" ref="K620">_xlfn.IFS(a.nike.original.man[[#This Row],[Reviews]]&lt;=7, "Below Average", a.nike.original.man[[#This Row],[Reviews]]&gt;=8, "Average +")</f>
        <v>Below Average</v>
      </c>
      <c r="L620" s="12" t="s">
        <v>1691</v>
      </c>
      <c r="M620" s="2" t="s">
        <v>1470</v>
      </c>
    </row>
    <row r="621" spans="1:13" x14ac:dyDescent="0.2">
      <c r="A621" s="2" t="s">
        <v>1431</v>
      </c>
      <c r="B621" s="2" t="s">
        <v>1432</v>
      </c>
      <c r="C621" s="331">
        <v>0</v>
      </c>
      <c r="D621" s="331">
        <v>75</v>
      </c>
      <c r="E621" s="116">
        <v>0</v>
      </c>
      <c r="F621" s="2" t="s">
        <v>9</v>
      </c>
      <c r="G621" s="2" t="s">
        <v>1433</v>
      </c>
      <c r="H621" s="2">
        <v>5</v>
      </c>
      <c r="I621" s="2" t="str" cm="1">
        <f t="array" ref="I621">_xlfn.IFS(a.nike.original.man[[#This Row],[Rating]]&lt;=2.9, "0 - 2.9",a.nike.original.man[[#This Row],[Rating]]&lt;=3.9,"3 - 3.9", a.nike.original.man[[#This Row],[Rating]]&lt;=5,"4 - 5")</f>
        <v>4 - 5</v>
      </c>
      <c r="J621" s="2">
        <v>3</v>
      </c>
      <c r="K621" s="2" t="str" cm="1">
        <f t="array" ref="K621">_xlfn.IFS(a.nike.original.man[[#This Row],[Reviews]]&lt;=7, "Below Average", a.nike.original.man[[#This Row],[Reviews]]&gt;=8, "Average +")</f>
        <v>Below Average</v>
      </c>
      <c r="L621" s="12" t="s">
        <v>1692</v>
      </c>
      <c r="M621" s="2" t="s">
        <v>1470</v>
      </c>
    </row>
    <row r="622" spans="1:13" x14ac:dyDescent="0.2">
      <c r="A622" s="2" t="s">
        <v>268</v>
      </c>
      <c r="B622" s="2" t="s">
        <v>269</v>
      </c>
      <c r="C622" s="331">
        <v>0</v>
      </c>
      <c r="D622" s="331">
        <v>85</v>
      </c>
      <c r="E622" s="116">
        <v>0</v>
      </c>
      <c r="F622" s="2" t="s">
        <v>9</v>
      </c>
      <c r="G622" s="2" t="s">
        <v>270</v>
      </c>
      <c r="H622" s="2">
        <v>5</v>
      </c>
      <c r="I622" s="2" t="str" cm="1">
        <f t="array" ref="I622">_xlfn.IFS(a.nike.original.man[[#This Row],[Rating]]&lt;=2.9, "0 - 2.9",a.nike.original.man[[#This Row],[Rating]]&lt;=3.9,"3 - 3.9", a.nike.original.man[[#This Row],[Rating]]&lt;=5,"4 - 5")</f>
        <v>4 - 5</v>
      </c>
      <c r="J622" s="2">
        <v>2</v>
      </c>
      <c r="K622" s="2" t="str" cm="1">
        <f t="array" ref="K622">_xlfn.IFS(a.nike.original.man[[#This Row],[Reviews]]&lt;=7, "Below Average", a.nike.original.man[[#This Row],[Reviews]]&gt;=8, "Average +")</f>
        <v>Below Average</v>
      </c>
      <c r="L622" s="12" t="s">
        <v>1693</v>
      </c>
      <c r="M622" s="2" t="s">
        <v>1470</v>
      </c>
    </row>
    <row r="623" spans="1:13" x14ac:dyDescent="0.2">
      <c r="A623" s="1" t="s">
        <v>781</v>
      </c>
      <c r="B623" s="1" t="s">
        <v>782</v>
      </c>
      <c r="C623" s="330">
        <v>0</v>
      </c>
      <c r="D623" s="330">
        <v>75</v>
      </c>
      <c r="E623" s="116">
        <v>0</v>
      </c>
      <c r="F623" s="1" t="s">
        <v>9</v>
      </c>
      <c r="G623" s="1" t="s">
        <v>783</v>
      </c>
      <c r="H623" s="1">
        <v>0</v>
      </c>
      <c r="I623" s="1" t="str" cm="1">
        <f t="array" ref="I623">_xlfn.IFS(a.nike.original.man[[#This Row],[Rating]]&lt;=2.9, "0 - 2.9",a.nike.original.man[[#This Row],[Rating]]&lt;=3.9,"3 - 3.9", a.nike.original.man[[#This Row],[Rating]]&lt;=5,"4 - 5")</f>
        <v>0 - 2.9</v>
      </c>
      <c r="J623" s="1">
        <v>0</v>
      </c>
      <c r="K623" s="1" t="str" cm="1">
        <f t="array" ref="K623">_xlfn.IFS(a.nike.original.man[[#This Row],[Reviews]]&lt;=7, "Below Average", a.nike.original.man[[#This Row],[Reviews]]&gt;=8, "Average +")</f>
        <v>Below Average</v>
      </c>
      <c r="L623" s="11" t="s">
        <v>1693</v>
      </c>
      <c r="M623" s="1" t="s">
        <v>1470</v>
      </c>
    </row>
    <row r="624" spans="1:13" x14ac:dyDescent="0.2">
      <c r="A624" s="1" t="s">
        <v>1327</v>
      </c>
      <c r="B624" s="1" t="s">
        <v>1434</v>
      </c>
      <c r="C624" s="330">
        <v>0</v>
      </c>
      <c r="D624" s="330">
        <v>80</v>
      </c>
      <c r="E624" s="116">
        <v>0</v>
      </c>
      <c r="F624" s="1" t="s">
        <v>9</v>
      </c>
      <c r="G624" s="1" t="s">
        <v>1435</v>
      </c>
      <c r="H624" s="1">
        <v>5</v>
      </c>
      <c r="I624" s="1" t="str" cm="1">
        <f t="array" ref="I624">_xlfn.IFS(a.nike.original.man[[#This Row],[Rating]]&lt;=2.9, "0 - 2.9",a.nike.original.man[[#This Row],[Rating]]&lt;=3.9,"3 - 3.9", a.nike.original.man[[#This Row],[Rating]]&lt;=5,"4 - 5")</f>
        <v>4 - 5</v>
      </c>
      <c r="J624" s="1">
        <v>1</v>
      </c>
      <c r="K624" s="1" t="str" cm="1">
        <f t="array" ref="K624">_xlfn.IFS(a.nike.original.man[[#This Row],[Reviews]]&lt;=7, "Below Average", a.nike.original.man[[#This Row],[Reviews]]&gt;=8, "Average +")</f>
        <v>Below Average</v>
      </c>
      <c r="L624" s="11" t="s">
        <v>1694</v>
      </c>
      <c r="M624" s="1" t="s">
        <v>1470</v>
      </c>
    </row>
    <row r="625" spans="1:13" x14ac:dyDescent="0.2">
      <c r="A625" s="2" t="s">
        <v>1436</v>
      </c>
      <c r="B625" s="2" t="s">
        <v>1437</v>
      </c>
      <c r="C625" s="331">
        <v>169.95</v>
      </c>
      <c r="D625" s="331">
        <v>136</v>
      </c>
      <c r="E625" s="116">
        <v>0.2</v>
      </c>
      <c r="F625" s="2" t="s">
        <v>9</v>
      </c>
      <c r="G625" s="2" t="s">
        <v>1438</v>
      </c>
      <c r="H625" s="2">
        <v>1</v>
      </c>
      <c r="I625" s="2" t="str" cm="1">
        <f t="array" ref="I625">_xlfn.IFS(a.nike.original.man[[#This Row],[Rating]]&lt;=2.9, "0 - 2.9",a.nike.original.man[[#This Row],[Rating]]&lt;=3.9,"3 - 3.9", a.nike.original.man[[#This Row],[Rating]]&lt;=5,"4 - 5")</f>
        <v>0 - 2.9</v>
      </c>
      <c r="J625" s="2">
        <v>1</v>
      </c>
      <c r="K625" s="2" t="str" cm="1">
        <f t="array" ref="K625">_xlfn.IFS(a.nike.original.man[[#This Row],[Reviews]]&lt;=7, "Below Average", a.nike.original.man[[#This Row],[Reviews]]&gt;=8, "Average +")</f>
        <v>Below Average</v>
      </c>
      <c r="L625" s="12" t="s">
        <v>1695</v>
      </c>
      <c r="M625" s="2" t="s">
        <v>1470</v>
      </c>
    </row>
    <row r="626" spans="1:13" x14ac:dyDescent="0.2">
      <c r="A626" s="1" t="s">
        <v>942</v>
      </c>
      <c r="B626" s="1" t="s">
        <v>943</v>
      </c>
      <c r="C626" s="330">
        <v>0</v>
      </c>
      <c r="D626" s="330">
        <v>130</v>
      </c>
      <c r="E626" s="116">
        <v>0</v>
      </c>
      <c r="F626" s="1" t="s">
        <v>9</v>
      </c>
      <c r="G626" s="1" t="s">
        <v>944</v>
      </c>
      <c r="H626" s="1">
        <v>3.9</v>
      </c>
      <c r="I626" s="1" t="str" cm="1">
        <f t="array" ref="I626">_xlfn.IFS(a.nike.original.man[[#This Row],[Rating]]&lt;=2.9, "0 - 2.9",a.nike.original.man[[#This Row],[Rating]]&lt;=3.9,"3 - 3.9", a.nike.original.man[[#This Row],[Rating]]&lt;=5,"4 - 5")</f>
        <v>3 - 3.9</v>
      </c>
      <c r="J626" s="1">
        <v>10</v>
      </c>
      <c r="K626" s="1" t="str" cm="1">
        <f t="array" ref="K626">_xlfn.IFS(a.nike.original.man[[#This Row],[Reviews]]&lt;=7, "Below Average", a.nike.original.man[[#This Row],[Reviews]]&gt;=8, "Average +")</f>
        <v>Average +</v>
      </c>
      <c r="L626" s="11" t="s">
        <v>1696</v>
      </c>
      <c r="M626" s="1" t="s">
        <v>1470</v>
      </c>
    </row>
    <row r="627" spans="1:13" x14ac:dyDescent="0.2">
      <c r="A627" s="2" t="s">
        <v>607</v>
      </c>
      <c r="B627" s="2" t="s">
        <v>1439</v>
      </c>
      <c r="C627" s="331">
        <v>0</v>
      </c>
      <c r="D627" s="331">
        <v>100</v>
      </c>
      <c r="E627" s="116">
        <v>0</v>
      </c>
      <c r="F627" s="2" t="s">
        <v>9</v>
      </c>
      <c r="G627" s="2" t="s">
        <v>1440</v>
      </c>
      <c r="H627" s="2">
        <v>0</v>
      </c>
      <c r="I627" s="2" t="str" cm="1">
        <f t="array" ref="I627">_xlfn.IFS(a.nike.original.man[[#This Row],[Rating]]&lt;=2.9, "0 - 2.9",a.nike.original.man[[#This Row],[Rating]]&lt;=3.9,"3 - 3.9", a.nike.original.man[[#This Row],[Rating]]&lt;=5,"4 - 5")</f>
        <v>0 - 2.9</v>
      </c>
      <c r="J627" s="2">
        <v>0</v>
      </c>
      <c r="K627" s="2" t="str" cm="1">
        <f t="array" ref="K627">_xlfn.IFS(a.nike.original.man[[#This Row],[Reviews]]&lt;=7, "Below Average", a.nike.original.man[[#This Row],[Reviews]]&gt;=8, "Average +")</f>
        <v>Below Average</v>
      </c>
      <c r="L627" s="12" t="s">
        <v>1697</v>
      </c>
      <c r="M627" s="2" t="s">
        <v>1470</v>
      </c>
    </row>
    <row r="628" spans="1:13" x14ac:dyDescent="0.2">
      <c r="A628" s="1" t="s">
        <v>564</v>
      </c>
      <c r="B628" s="1" t="s">
        <v>565</v>
      </c>
      <c r="C628" s="330">
        <v>74.95</v>
      </c>
      <c r="D628" s="330">
        <v>52</v>
      </c>
      <c r="E628" s="116">
        <v>0.3</v>
      </c>
      <c r="F628" s="1" t="s">
        <v>9</v>
      </c>
      <c r="G628" s="1" t="s">
        <v>566</v>
      </c>
      <c r="H628" s="1">
        <v>0</v>
      </c>
      <c r="I628" s="1" t="str" cm="1">
        <f t="array" ref="I628">_xlfn.IFS(a.nike.original.man[[#This Row],[Rating]]&lt;=2.9, "0 - 2.9",a.nike.original.man[[#This Row],[Rating]]&lt;=3.9,"3 - 3.9", a.nike.original.man[[#This Row],[Rating]]&lt;=5,"4 - 5")</f>
        <v>0 - 2.9</v>
      </c>
      <c r="J628" s="1">
        <v>0</v>
      </c>
      <c r="K628" s="1" t="str" cm="1">
        <f t="array" ref="K628">_xlfn.IFS(a.nike.original.man[[#This Row],[Reviews]]&lt;=7, "Below Average", a.nike.original.man[[#This Row],[Reviews]]&gt;=8, "Average +")</f>
        <v>Below Average</v>
      </c>
      <c r="L628" s="11" t="s">
        <v>1698</v>
      </c>
      <c r="M628" s="1" t="s">
        <v>1470</v>
      </c>
    </row>
    <row r="629" spans="1:13" x14ac:dyDescent="0.2">
      <c r="A629" s="2" t="s">
        <v>1232</v>
      </c>
      <c r="B629" s="2" t="s">
        <v>1233</v>
      </c>
      <c r="C629" s="331">
        <v>84.95</v>
      </c>
      <c r="D629" s="331">
        <v>68</v>
      </c>
      <c r="E629" s="116">
        <v>0.2</v>
      </c>
      <c r="F629" s="2" t="s">
        <v>9</v>
      </c>
      <c r="G629" s="2" t="s">
        <v>1234</v>
      </c>
      <c r="H629" s="2">
        <v>0</v>
      </c>
      <c r="I629" s="2" t="str" cm="1">
        <f t="array" ref="I629">_xlfn.IFS(a.nike.original.man[[#This Row],[Rating]]&lt;=2.9, "0 - 2.9",a.nike.original.man[[#This Row],[Rating]]&lt;=3.9,"3 - 3.9", a.nike.original.man[[#This Row],[Rating]]&lt;=5,"4 - 5")</f>
        <v>0 - 2.9</v>
      </c>
      <c r="J629" s="2">
        <v>0</v>
      </c>
      <c r="K629" s="2" t="str" cm="1">
        <f t="array" ref="K629">_xlfn.IFS(a.nike.original.man[[#This Row],[Reviews]]&lt;=7, "Below Average", a.nike.original.man[[#This Row],[Reviews]]&gt;=8, "Average +")</f>
        <v>Below Average</v>
      </c>
      <c r="L629" s="12" t="s">
        <v>1699</v>
      </c>
      <c r="M629" s="2" t="s">
        <v>1470</v>
      </c>
    </row>
    <row r="630" spans="1:13" x14ac:dyDescent="0.2">
      <c r="A630" s="1" t="s">
        <v>1441</v>
      </c>
      <c r="B630" s="1" t="s">
        <v>1442</v>
      </c>
      <c r="C630" s="330">
        <v>89.95</v>
      </c>
      <c r="D630" s="330">
        <v>72</v>
      </c>
      <c r="E630" s="116">
        <v>0.2</v>
      </c>
      <c r="F630" s="1" t="s">
        <v>9</v>
      </c>
      <c r="G630" s="1" t="s">
        <v>1443</v>
      </c>
      <c r="H630" s="1">
        <v>0</v>
      </c>
      <c r="I630" s="1" t="str" cm="1">
        <f t="array" ref="I630">_xlfn.IFS(a.nike.original.man[[#This Row],[Rating]]&lt;=2.9, "0 - 2.9",a.nike.original.man[[#This Row],[Rating]]&lt;=3.9,"3 - 3.9", a.nike.original.man[[#This Row],[Rating]]&lt;=5,"4 - 5")</f>
        <v>0 - 2.9</v>
      </c>
      <c r="J630" s="1">
        <v>0</v>
      </c>
      <c r="K630" s="1" t="str" cm="1">
        <f t="array" ref="K630">_xlfn.IFS(a.nike.original.man[[#This Row],[Reviews]]&lt;=7, "Below Average", a.nike.original.man[[#This Row],[Reviews]]&gt;=8, "Average +")</f>
        <v>Below Average</v>
      </c>
      <c r="L630" s="11" t="s">
        <v>1699</v>
      </c>
      <c r="M630" s="1" t="s">
        <v>1470</v>
      </c>
    </row>
    <row r="631" spans="1:13" x14ac:dyDescent="0.2">
      <c r="A631" s="2" t="s">
        <v>1444</v>
      </c>
      <c r="B631" s="2" t="s">
        <v>1445</v>
      </c>
      <c r="C631" s="331">
        <v>0</v>
      </c>
      <c r="D631" s="331">
        <v>50</v>
      </c>
      <c r="E631" s="116">
        <v>0</v>
      </c>
      <c r="F631" s="2" t="s">
        <v>9</v>
      </c>
      <c r="G631" s="2" t="s">
        <v>1446</v>
      </c>
      <c r="H631" s="2">
        <v>0</v>
      </c>
      <c r="I631" s="2" t="str" cm="1">
        <f t="array" ref="I631">_xlfn.IFS(a.nike.original.man[[#This Row],[Rating]]&lt;=2.9, "0 - 2.9",a.nike.original.man[[#This Row],[Rating]]&lt;=3.9,"3 - 3.9", a.nike.original.man[[#This Row],[Rating]]&lt;=5,"4 - 5")</f>
        <v>0 - 2.9</v>
      </c>
      <c r="J631" s="2">
        <v>0</v>
      </c>
      <c r="K631" s="2" t="str" cm="1">
        <f t="array" ref="K631">_xlfn.IFS(a.nike.original.man[[#This Row],[Reviews]]&lt;=7, "Below Average", a.nike.original.man[[#This Row],[Reviews]]&gt;=8, "Average +")</f>
        <v>Below Average</v>
      </c>
      <c r="L631" s="12" t="s">
        <v>1700</v>
      </c>
      <c r="M631" s="2" t="s">
        <v>1470</v>
      </c>
    </row>
    <row r="632" spans="1:13" x14ac:dyDescent="0.2">
      <c r="A632" s="1" t="s">
        <v>1447</v>
      </c>
      <c r="B632" s="1" t="s">
        <v>1448</v>
      </c>
      <c r="C632" s="330">
        <v>159.94999999999999</v>
      </c>
      <c r="D632" s="330">
        <v>128</v>
      </c>
      <c r="E632" s="116">
        <v>0.2</v>
      </c>
      <c r="F632" s="1" t="s">
        <v>9</v>
      </c>
      <c r="G632" s="1" t="s">
        <v>1449</v>
      </c>
      <c r="H632" s="1">
        <v>5</v>
      </c>
      <c r="I632" s="1" t="str" cm="1">
        <f t="array" ref="I632">_xlfn.IFS(a.nike.original.man[[#This Row],[Rating]]&lt;=2.9, "0 - 2.9",a.nike.original.man[[#This Row],[Rating]]&lt;=3.9,"3 - 3.9", a.nike.original.man[[#This Row],[Rating]]&lt;=5,"4 - 5")</f>
        <v>4 - 5</v>
      </c>
      <c r="J632" s="1">
        <v>1</v>
      </c>
      <c r="K632" s="1" t="str" cm="1">
        <f t="array" ref="K632">_xlfn.IFS(a.nike.original.man[[#This Row],[Reviews]]&lt;=7, "Below Average", a.nike.original.man[[#This Row],[Reviews]]&gt;=8, "Average +")</f>
        <v>Below Average</v>
      </c>
      <c r="L632" s="11" t="s">
        <v>1701</v>
      </c>
      <c r="M632" s="1" t="s">
        <v>1470</v>
      </c>
    </row>
    <row r="633" spans="1:13" x14ac:dyDescent="0.2">
      <c r="A633" s="2" t="s">
        <v>162</v>
      </c>
      <c r="B633" s="2" t="s">
        <v>1035</v>
      </c>
      <c r="C633" s="331">
        <v>0</v>
      </c>
      <c r="D633" s="331">
        <v>120</v>
      </c>
      <c r="E633" s="116">
        <v>0</v>
      </c>
      <c r="F633" s="2" t="s">
        <v>9</v>
      </c>
      <c r="G633" s="2" t="s">
        <v>164</v>
      </c>
      <c r="H633" s="2">
        <v>4.5</v>
      </c>
      <c r="I633" s="2" t="str" cm="1">
        <f t="array" ref="I633">_xlfn.IFS(a.nike.original.man[[#This Row],[Rating]]&lt;=2.9, "0 - 2.9",a.nike.original.man[[#This Row],[Rating]]&lt;=3.9,"3 - 3.9", a.nike.original.man[[#This Row],[Rating]]&lt;=5,"4 - 5")</f>
        <v>4 - 5</v>
      </c>
      <c r="J633" s="2">
        <v>2</v>
      </c>
      <c r="K633" s="2" t="str" cm="1">
        <f t="array" ref="K633">_xlfn.IFS(a.nike.original.man[[#This Row],[Reviews]]&lt;=7, "Below Average", a.nike.original.man[[#This Row],[Reviews]]&gt;=8, "Average +")</f>
        <v>Below Average</v>
      </c>
      <c r="L633" s="12" t="s">
        <v>1702</v>
      </c>
      <c r="M633" s="2" t="s">
        <v>1470</v>
      </c>
    </row>
    <row r="634" spans="1:13" x14ac:dyDescent="0.2">
      <c r="A634" s="1" t="s">
        <v>931</v>
      </c>
      <c r="B634" s="1" t="s">
        <v>1450</v>
      </c>
      <c r="C634" s="330">
        <v>0</v>
      </c>
      <c r="D634" s="330">
        <v>160</v>
      </c>
      <c r="E634" s="116">
        <v>0</v>
      </c>
      <c r="F634" s="1" t="s">
        <v>9</v>
      </c>
      <c r="G634" s="1" t="s">
        <v>1451</v>
      </c>
      <c r="H634" s="1">
        <v>3.3</v>
      </c>
      <c r="I634" s="1" t="str" cm="1">
        <f t="array" ref="I634">_xlfn.IFS(a.nike.original.man[[#This Row],[Rating]]&lt;=2.9, "0 - 2.9",a.nike.original.man[[#This Row],[Rating]]&lt;=3.9,"3 - 3.9", a.nike.original.man[[#This Row],[Rating]]&lt;=5,"4 - 5")</f>
        <v>3 - 3.9</v>
      </c>
      <c r="J634" s="1">
        <v>3</v>
      </c>
      <c r="K634" s="1" t="str" cm="1">
        <f t="array" ref="K634">_xlfn.IFS(a.nike.original.man[[#This Row],[Reviews]]&lt;=7, "Below Average", a.nike.original.man[[#This Row],[Reviews]]&gt;=8, "Average +")</f>
        <v>Below Average</v>
      </c>
      <c r="L634" s="11" t="s">
        <v>1703</v>
      </c>
      <c r="M634" s="1" t="s">
        <v>1470</v>
      </c>
    </row>
    <row r="635" spans="1:13" x14ac:dyDescent="0.2">
      <c r="A635" s="2" t="s">
        <v>790</v>
      </c>
      <c r="B635" s="2" t="s">
        <v>791</v>
      </c>
      <c r="C635" s="331">
        <v>0</v>
      </c>
      <c r="D635" s="331">
        <v>200</v>
      </c>
      <c r="E635" s="116">
        <v>0</v>
      </c>
      <c r="F635" s="2" t="s">
        <v>9</v>
      </c>
      <c r="G635" s="2" t="s">
        <v>792</v>
      </c>
      <c r="H635" s="2">
        <v>4.7</v>
      </c>
      <c r="I635" s="2" t="str" cm="1">
        <f t="array" ref="I635">_xlfn.IFS(a.nike.original.man[[#This Row],[Rating]]&lt;=2.9, "0 - 2.9",a.nike.original.man[[#This Row],[Rating]]&lt;=3.9,"3 - 3.9", a.nike.original.man[[#This Row],[Rating]]&lt;=5,"4 - 5")</f>
        <v>4 - 5</v>
      </c>
      <c r="J635" s="2">
        <v>45</v>
      </c>
      <c r="K635" s="2" t="str" cm="1">
        <f t="array" ref="K635">_xlfn.IFS(a.nike.original.man[[#This Row],[Reviews]]&lt;=7, "Below Average", a.nike.original.man[[#This Row],[Reviews]]&gt;=8, "Average +")</f>
        <v>Average +</v>
      </c>
      <c r="L635" s="12" t="s">
        <v>1704</v>
      </c>
      <c r="M635" s="2" t="s">
        <v>1470</v>
      </c>
    </row>
    <row r="636" spans="1:13" x14ac:dyDescent="0.2">
      <c r="A636" s="1" t="s">
        <v>1117</v>
      </c>
      <c r="B636" s="1" t="s">
        <v>1118</v>
      </c>
      <c r="C636" s="330">
        <v>74.95</v>
      </c>
      <c r="D636" s="330">
        <v>52</v>
      </c>
      <c r="E636" s="116">
        <v>0.3</v>
      </c>
      <c r="F636" s="1" t="s">
        <v>9</v>
      </c>
      <c r="G636" s="1" t="s">
        <v>1119</v>
      </c>
      <c r="H636" s="1">
        <v>0</v>
      </c>
      <c r="I636" s="1" t="str" cm="1">
        <f t="array" ref="I636">_xlfn.IFS(a.nike.original.man[[#This Row],[Rating]]&lt;=2.9, "0 - 2.9",a.nike.original.man[[#This Row],[Rating]]&lt;=3.9,"3 - 3.9", a.nike.original.man[[#This Row],[Rating]]&lt;=5,"4 - 5")</f>
        <v>0 - 2.9</v>
      </c>
      <c r="J636" s="1">
        <v>0</v>
      </c>
      <c r="K636" s="1" t="str" cm="1">
        <f t="array" ref="K636">_xlfn.IFS(a.nike.original.man[[#This Row],[Reviews]]&lt;=7, "Below Average", a.nike.original.man[[#This Row],[Reviews]]&gt;=8, "Average +")</f>
        <v>Below Average</v>
      </c>
      <c r="L636" s="11" t="s">
        <v>1705</v>
      </c>
      <c r="M636" s="1" t="s">
        <v>1470</v>
      </c>
    </row>
    <row r="637" spans="1:13" x14ac:dyDescent="0.2">
      <c r="A637" s="2" t="s">
        <v>1452</v>
      </c>
      <c r="B637" s="2" t="s">
        <v>1453</v>
      </c>
      <c r="C637" s="331">
        <v>0</v>
      </c>
      <c r="D637" s="331">
        <v>65</v>
      </c>
      <c r="E637" s="116">
        <v>0</v>
      </c>
      <c r="F637" s="2" t="s">
        <v>9</v>
      </c>
      <c r="G637" s="2" t="s">
        <v>1454</v>
      </c>
      <c r="H637" s="2">
        <v>0</v>
      </c>
      <c r="I637" s="2" t="str" cm="1">
        <f t="array" ref="I637">_xlfn.IFS(a.nike.original.man[[#This Row],[Rating]]&lt;=2.9, "0 - 2.9",a.nike.original.man[[#This Row],[Rating]]&lt;=3.9,"3 - 3.9", a.nike.original.man[[#This Row],[Rating]]&lt;=5,"4 - 5")</f>
        <v>0 - 2.9</v>
      </c>
      <c r="J637" s="2">
        <v>0</v>
      </c>
      <c r="K637" s="2" t="str" cm="1">
        <f t="array" ref="K637">_xlfn.IFS(a.nike.original.man[[#This Row],[Reviews]]&lt;=7, "Below Average", a.nike.original.man[[#This Row],[Reviews]]&gt;=8, "Average +")</f>
        <v>Below Average</v>
      </c>
      <c r="L637" s="12" t="s">
        <v>1706</v>
      </c>
      <c r="M637" s="2" t="s">
        <v>1470</v>
      </c>
    </row>
    <row r="638" spans="1:13" x14ac:dyDescent="0.2">
      <c r="A638" s="1" t="s">
        <v>775</v>
      </c>
      <c r="B638" s="1" t="s">
        <v>776</v>
      </c>
      <c r="C638" s="330">
        <v>109.95</v>
      </c>
      <c r="D638" s="330">
        <v>88</v>
      </c>
      <c r="E638" s="116">
        <v>0.2</v>
      </c>
      <c r="F638" s="1" t="s">
        <v>9</v>
      </c>
      <c r="G638" s="1" t="s">
        <v>777</v>
      </c>
      <c r="H638" s="1">
        <v>4.4000000000000004</v>
      </c>
      <c r="I638" s="1" t="str" cm="1">
        <f t="array" ref="I638">_xlfn.IFS(a.nike.original.man[[#This Row],[Rating]]&lt;=2.9, "0 - 2.9",a.nike.original.man[[#This Row],[Rating]]&lt;=3.9,"3 - 3.9", a.nike.original.man[[#This Row],[Rating]]&lt;=5,"4 - 5")</f>
        <v>4 - 5</v>
      </c>
      <c r="J638" s="1">
        <v>10</v>
      </c>
      <c r="K638" s="1" t="str" cm="1">
        <f t="array" ref="K638">_xlfn.IFS(a.nike.original.man[[#This Row],[Reviews]]&lt;=7, "Below Average", a.nike.original.man[[#This Row],[Reviews]]&gt;=8, "Average +")</f>
        <v>Average +</v>
      </c>
      <c r="L638" s="11" t="s">
        <v>1707</v>
      </c>
      <c r="M638" s="1" t="s">
        <v>1470</v>
      </c>
    </row>
    <row r="639" spans="1:13" x14ac:dyDescent="0.2">
      <c r="A639" s="2" t="s">
        <v>757</v>
      </c>
      <c r="B639" s="2" t="s">
        <v>1455</v>
      </c>
      <c r="C639" s="331">
        <v>0</v>
      </c>
      <c r="D639" s="331">
        <v>140</v>
      </c>
      <c r="E639" s="116">
        <v>0</v>
      </c>
      <c r="F639" s="2" t="s">
        <v>9</v>
      </c>
      <c r="G639" s="2" t="s">
        <v>1456</v>
      </c>
      <c r="H639" s="2">
        <v>3</v>
      </c>
      <c r="I639" s="2" t="str" cm="1">
        <f t="array" ref="I639">_xlfn.IFS(a.nike.original.man[[#This Row],[Rating]]&lt;=2.9, "0 - 2.9",a.nike.original.man[[#This Row],[Rating]]&lt;=3.9,"3 - 3.9", a.nike.original.man[[#This Row],[Rating]]&lt;=5,"4 - 5")</f>
        <v>3 - 3.9</v>
      </c>
      <c r="J639" s="2">
        <v>1</v>
      </c>
      <c r="K639" s="2" t="str" cm="1">
        <f t="array" ref="K639">_xlfn.IFS(a.nike.original.man[[#This Row],[Reviews]]&lt;=7, "Below Average", a.nike.original.man[[#This Row],[Reviews]]&gt;=8, "Average +")</f>
        <v>Below Average</v>
      </c>
      <c r="L639" s="12" t="s">
        <v>1708</v>
      </c>
      <c r="M639" s="2" t="s">
        <v>1470</v>
      </c>
    </row>
    <row r="640" spans="1:13" x14ac:dyDescent="0.2">
      <c r="A640" s="1" t="s">
        <v>1457</v>
      </c>
      <c r="B640" s="1" t="s">
        <v>1458</v>
      </c>
      <c r="C640" s="330">
        <v>159.94999999999999</v>
      </c>
      <c r="D640" s="330">
        <v>128</v>
      </c>
      <c r="E640" s="116">
        <v>0.2</v>
      </c>
      <c r="F640" s="1" t="s">
        <v>9</v>
      </c>
      <c r="G640" s="1" t="s">
        <v>1459</v>
      </c>
      <c r="H640" s="1">
        <v>5</v>
      </c>
      <c r="I640" s="1" t="str" cm="1">
        <f t="array" ref="I640">_xlfn.IFS(a.nike.original.man[[#This Row],[Rating]]&lt;=2.9, "0 - 2.9",a.nike.original.man[[#This Row],[Rating]]&lt;=3.9,"3 - 3.9", a.nike.original.man[[#This Row],[Rating]]&lt;=5,"4 - 5")</f>
        <v>4 - 5</v>
      </c>
      <c r="J640" s="1">
        <v>1</v>
      </c>
      <c r="K640" s="1" t="str" cm="1">
        <f t="array" ref="K640">_xlfn.IFS(a.nike.original.man[[#This Row],[Reviews]]&lt;=7, "Below Average", a.nike.original.man[[#This Row],[Reviews]]&gt;=8, "Average +")</f>
        <v>Below Average</v>
      </c>
      <c r="L640" s="11" t="s">
        <v>1709</v>
      </c>
      <c r="M640" s="1" t="s">
        <v>1470</v>
      </c>
    </row>
    <row r="641" spans="1:13" x14ac:dyDescent="0.2">
      <c r="A641" s="2" t="s">
        <v>831</v>
      </c>
      <c r="B641" s="2" t="s">
        <v>832</v>
      </c>
      <c r="C641" s="331">
        <v>49.95</v>
      </c>
      <c r="D641" s="331">
        <v>35</v>
      </c>
      <c r="E641" s="116">
        <v>0.3</v>
      </c>
      <c r="F641" s="2" t="s">
        <v>9</v>
      </c>
      <c r="G641" s="2" t="s">
        <v>833</v>
      </c>
      <c r="H641" s="2">
        <v>0</v>
      </c>
      <c r="I641" s="2" t="str" cm="1">
        <f t="array" ref="I641">_xlfn.IFS(a.nike.original.man[[#This Row],[Rating]]&lt;=2.9, "0 - 2.9",a.nike.original.man[[#This Row],[Rating]]&lt;=3.9,"3 - 3.9", a.nike.original.man[[#This Row],[Rating]]&lt;=5,"4 - 5")</f>
        <v>0 - 2.9</v>
      </c>
      <c r="J641" s="2">
        <v>0</v>
      </c>
      <c r="K641" s="2" t="str" cm="1">
        <f t="array" ref="K641">_xlfn.IFS(a.nike.original.man[[#This Row],[Reviews]]&lt;=7, "Below Average", a.nike.original.man[[#This Row],[Reviews]]&gt;=8, "Average +")</f>
        <v>Below Average</v>
      </c>
      <c r="L641" s="12" t="s">
        <v>1710</v>
      </c>
      <c r="M641" s="2" t="s">
        <v>1470</v>
      </c>
    </row>
    <row r="642" spans="1:13" x14ac:dyDescent="0.2">
      <c r="A642" s="1" t="s">
        <v>980</v>
      </c>
      <c r="B642" s="1" t="s">
        <v>981</v>
      </c>
      <c r="C642" s="330">
        <v>84.95</v>
      </c>
      <c r="D642" s="330">
        <v>59</v>
      </c>
      <c r="E642" s="116">
        <v>0.3</v>
      </c>
      <c r="F642" s="1" t="s">
        <v>9</v>
      </c>
      <c r="G642" s="1" t="s">
        <v>982</v>
      </c>
      <c r="H642" s="1">
        <v>5</v>
      </c>
      <c r="I642" s="1" t="str" cm="1">
        <f t="array" ref="I642">_xlfn.IFS(a.nike.original.man[[#This Row],[Rating]]&lt;=2.9, "0 - 2.9",a.nike.original.man[[#This Row],[Rating]]&lt;=3.9,"3 - 3.9", a.nike.original.man[[#This Row],[Rating]]&lt;=5,"4 - 5")</f>
        <v>4 - 5</v>
      </c>
      <c r="J642" s="1">
        <v>1</v>
      </c>
      <c r="K642" s="1" t="str" cm="1">
        <f t="array" ref="K642">_xlfn.IFS(a.nike.original.man[[#This Row],[Reviews]]&lt;=7, "Below Average", a.nike.original.man[[#This Row],[Reviews]]&gt;=8, "Average +")</f>
        <v>Below Average</v>
      </c>
      <c r="L642" s="11" t="s">
        <v>1711</v>
      </c>
      <c r="M642" s="1" t="s">
        <v>1470</v>
      </c>
    </row>
    <row r="643" spans="1:13" x14ac:dyDescent="0.2">
      <c r="A643" s="2" t="s">
        <v>135</v>
      </c>
      <c r="B643" s="2" t="s">
        <v>1460</v>
      </c>
      <c r="C643" s="331">
        <v>0</v>
      </c>
      <c r="D643" s="331">
        <v>170</v>
      </c>
      <c r="E643" s="116">
        <v>0</v>
      </c>
      <c r="F643" s="2" t="s">
        <v>9</v>
      </c>
      <c r="G643" s="2" t="s">
        <v>1461</v>
      </c>
      <c r="H643" s="2">
        <v>4</v>
      </c>
      <c r="I643" s="2" t="str" cm="1">
        <f t="array" ref="I643">_xlfn.IFS(a.nike.original.man[[#This Row],[Rating]]&lt;=2.9, "0 - 2.9",a.nike.original.man[[#This Row],[Rating]]&lt;=3.9,"3 - 3.9", a.nike.original.man[[#This Row],[Rating]]&lt;=5,"4 - 5")</f>
        <v>4 - 5</v>
      </c>
      <c r="J643" s="2">
        <v>4</v>
      </c>
      <c r="K643" s="2" t="str" cm="1">
        <f t="array" ref="K643">_xlfn.IFS(a.nike.original.man[[#This Row],[Reviews]]&lt;=7, "Below Average", a.nike.original.man[[#This Row],[Reviews]]&gt;=8, "Average +")</f>
        <v>Below Average</v>
      </c>
      <c r="L643" s="12" t="s">
        <v>1712</v>
      </c>
      <c r="M643" s="2" t="s">
        <v>1470</v>
      </c>
    </row>
    <row r="644" spans="1:13" x14ac:dyDescent="0.2">
      <c r="A644" s="4" t="s">
        <v>1462</v>
      </c>
      <c r="B644" s="4" t="s">
        <v>1463</v>
      </c>
      <c r="C644" s="332">
        <v>89.95</v>
      </c>
      <c r="D644" s="332">
        <v>63</v>
      </c>
      <c r="E644" s="220">
        <v>0.3</v>
      </c>
      <c r="F644" s="4" t="s">
        <v>9</v>
      </c>
      <c r="G644" s="4" t="s">
        <v>1464</v>
      </c>
      <c r="H644" s="4">
        <v>0</v>
      </c>
      <c r="I644" s="4" t="str" cm="1">
        <f t="array" ref="I644">_xlfn.IFS(a.nike.original.man[[#This Row],[Rating]]&lt;=2.9, "0 - 2.9",a.nike.original.man[[#This Row],[Rating]]&lt;=3.9,"3 - 3.9", a.nike.original.man[[#This Row],[Rating]]&lt;=5,"4 - 5")</f>
        <v>0 - 2.9</v>
      </c>
      <c r="J644" s="4">
        <v>0</v>
      </c>
      <c r="K644" s="4" t="str" cm="1">
        <f t="array" ref="K644">_xlfn.IFS(a.nike.original.man[[#This Row],[Reviews]]&lt;=7, "Below Average", a.nike.original.man[[#This Row],[Reviews]]&gt;=8, "Average +")</f>
        <v>Below Average</v>
      </c>
      <c r="L644" s="13" t="s">
        <v>1713</v>
      </c>
      <c r="M644" s="4" t="s">
        <v>1470</v>
      </c>
    </row>
  </sheetData>
  <phoneticPr fontId="2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C4CB-4220-1B40-864A-3DC5D64525F6}">
  <dimension ref="A1:O554"/>
  <sheetViews>
    <sheetView workbookViewId="0">
      <selection activeCell="B1" sqref="B1:B1048576"/>
    </sheetView>
  </sheetViews>
  <sheetFormatPr baseColWidth="10" defaultRowHeight="16" x14ac:dyDescent="0.2"/>
  <cols>
    <col min="1" max="1" width="12.6640625" bestFit="1" customWidth="1"/>
    <col min="2" max="2" width="26.6640625" customWidth="1"/>
    <col min="3" max="3" width="12.5" style="5" customWidth="1"/>
    <col min="4" max="4" width="9" bestFit="1" customWidth="1"/>
    <col min="5" max="5" width="13.33203125" bestFit="1" customWidth="1"/>
    <col min="6" max="6" width="24.6640625" style="5" customWidth="1"/>
    <col min="7" max="7" width="13.33203125" style="10" bestFit="1" customWidth="1"/>
    <col min="8" max="8" width="19.33203125" bestFit="1" customWidth="1"/>
    <col min="9" max="9" width="26.83203125" bestFit="1" customWidth="1"/>
    <col min="10" max="11" width="26.83203125" customWidth="1"/>
    <col min="12" max="13" width="15.33203125" bestFit="1" customWidth="1"/>
  </cols>
  <sheetData>
    <row r="1" spans="1:15" x14ac:dyDescent="0.2">
      <c r="A1" t="s">
        <v>1483</v>
      </c>
      <c r="B1" t="s">
        <v>1484</v>
      </c>
      <c r="C1" s="7" t="s">
        <v>1486</v>
      </c>
      <c r="D1" t="s">
        <v>5</v>
      </c>
      <c r="E1" s="10" t="s">
        <v>1487</v>
      </c>
      <c r="F1" s="7" t="s">
        <v>1907</v>
      </c>
      <c r="G1" t="s">
        <v>1485</v>
      </c>
      <c r="H1" t="s">
        <v>1468</v>
      </c>
      <c r="I1" t="s">
        <v>1488</v>
      </c>
      <c r="J1" t="s">
        <v>1760</v>
      </c>
      <c r="K1" t="s">
        <v>1754</v>
      </c>
      <c r="L1" t="s">
        <v>1469</v>
      </c>
    </row>
    <row r="2" spans="1:15" x14ac:dyDescent="0.2">
      <c r="A2" t="s">
        <v>204</v>
      </c>
      <c r="B2" t="str">
        <f>_xlfn.XLOOKUP(b.nike.views[[#This Row],[product_ID]], a.nike.original.man[Product_ID], a.nike.original.man[Product Name], "Not Found")</f>
        <v>Nike Air Max 90</v>
      </c>
      <c r="C2" s="5" t="str">
        <f>_xlfn.XLOOKUP(b.nike.views[[#This Row],[product_ID]], a.nike.original.man[Product_ID], a.nike.original.man[Rating_Group], "Not Found")</f>
        <v>4 - 5</v>
      </c>
      <c r="D2">
        <f>_xlfn.XLOOKUP(b.nike.views[[#This Row],[product_ID]], a.nike.original.man[Product_ID], a.nike.original.man[Rating], "Not Found")</f>
        <v>5</v>
      </c>
      <c r="E2" s="10">
        <f>ROUND(_xlfn.XLOOKUP(b.nike.views[[#This Row],[product_ID]], a.nike.original.man[Product_ID], a.nike.original.man[Sale Price], "Not Found"), 0)</f>
        <v>100</v>
      </c>
      <c r="F2" s="5" t="str" cm="1">
        <f t="array" ref="F2">_xlfn.IFS(b.nike.views[[#This Row],[Sales_Price]]&lt;=9, "under $10",b.nike.views[[#This Row],[Sales_Price]]&lt;=20, "$20 and under",b.nike.views[[#This Row],[Sales_Price]]&lt;=50, "$50 and under", b.nike.views[[#This Row],[Sales_Price]]&lt;=99, "under $100", b.nike.views[[#This Row],[Sales_Price]]&gt;=100, "$100 +")</f>
        <v>$100 +</v>
      </c>
      <c r="G2">
        <f>COUNTIF(a.nike.original.man[Product_ID], A2)</f>
        <v>1</v>
      </c>
      <c r="H2" t="str" cm="1">
        <f t="array" ref="H2">_xlfn.IFS(b.nike.views[[#This Row],[Review_Count]]&lt;=7, "Below Average",b.nike.views[[#This Row],[Review_Count]]&gt;=8, "Average +")</f>
        <v>Average +</v>
      </c>
      <c r="I2">
        <f>SUMIF(a.nike.original.man[Product_ID],b.nike.views[[#This Row],[product_ID]], a.nike.original.man[Reviews])</f>
        <v>9</v>
      </c>
      <c r="J2" s="41">
        <f>_xlfn.XLOOKUP(b.nike.views[[#This Row],[product_ID]],a.nike.original.man[Product_ID], a.nike.original.man[Discount %], "Not Found")</f>
        <v>0</v>
      </c>
      <c r="K2" s="41"/>
      <c r="L2" t="s">
        <v>1470</v>
      </c>
    </row>
    <row r="3" spans="1:15" x14ac:dyDescent="0.2">
      <c r="A3" t="s">
        <v>38</v>
      </c>
      <c r="B3" t="str">
        <f>_xlfn.XLOOKUP(b.nike.views[[#This Row],[product_ID]], a.nike.original.man[Product_ID], a.nike.original.man[Product Name], "Not Found")</f>
        <v>Nike Air Max 90</v>
      </c>
      <c r="C3" s="5" t="str">
        <f>_xlfn.XLOOKUP(b.nike.views[[#This Row],[product_ID]], a.nike.original.man[Product_ID], a.nike.original.man[Rating_Group], "Not Found")</f>
        <v>4 - 5</v>
      </c>
      <c r="D3">
        <f>_xlfn.XLOOKUP(b.nike.views[[#This Row],[product_ID]], a.nike.original.man[Product_ID], a.nike.original.man[Rating], "Not Found")</f>
        <v>5</v>
      </c>
      <c r="E3" s="10">
        <f>ROUND(_xlfn.XLOOKUP(b.nike.views[[#This Row],[product_ID]], a.nike.original.man[Product_ID], a.nike.original.man[Sale Price], "Not Found"), 0)</f>
        <v>100</v>
      </c>
      <c r="F3" s="5" t="str" cm="1">
        <f t="array" ref="F3">_xlfn.IFS(b.nike.views[[#This Row],[Sales_Price]]&lt;=9, "under $10",b.nike.views[[#This Row],[Sales_Price]]&lt;=20, "$20 and under",b.nike.views[[#This Row],[Sales_Price]]&lt;=50, "$50 and under", b.nike.views[[#This Row],[Sales_Price]]&lt;=99, "under $100", b.nike.views[[#This Row],[Sales_Price]]&gt;=100, "$100 +")</f>
        <v>$100 +</v>
      </c>
      <c r="G3">
        <f>COUNTIF(a.nike.original.man[Product_ID], A3)</f>
        <v>1</v>
      </c>
      <c r="H3" t="str" cm="1">
        <f t="array" ref="H3">_xlfn.IFS(b.nike.views[[#This Row],[Review_Count]]&lt;=7, "Below Average",b.nike.views[[#This Row],[Review_Count]]&gt;=8, "Average +")</f>
        <v>Average +</v>
      </c>
      <c r="I3">
        <f>SUMIF(a.nike.original.man[Product_ID],b.nike.views[[#This Row],[product_ID]], a.nike.original.man[Reviews])</f>
        <v>9</v>
      </c>
      <c r="J3" s="41">
        <f>_xlfn.XLOOKUP(b.nike.views[[#This Row],[product_ID]],a.nike.original.man[Product_ID], a.nike.original.man[Discount %], "Not Found")</f>
        <v>0</v>
      </c>
      <c r="K3" s="41"/>
      <c r="L3" t="s">
        <v>1470</v>
      </c>
    </row>
    <row r="4" spans="1:15" x14ac:dyDescent="0.2">
      <c r="A4" t="s">
        <v>318</v>
      </c>
      <c r="B4" t="str">
        <f>_xlfn.XLOOKUP(b.nike.views[[#This Row],[product_ID]], a.nike.original.man[Product_ID], a.nike.original.man[Product Name], "Not Found")</f>
        <v>Nike Air Force 1 '07 LV8</v>
      </c>
      <c r="C4" s="5" t="str">
        <f>_xlfn.XLOOKUP(b.nike.views[[#This Row],[product_ID]], a.nike.original.man[Product_ID], a.nike.original.man[Rating_Group], "Not Found")</f>
        <v>4 - 5</v>
      </c>
      <c r="D4">
        <f>_xlfn.XLOOKUP(b.nike.views[[#This Row],[product_ID]], a.nike.original.man[Product_ID], a.nike.original.man[Rating], "Not Found")</f>
        <v>5</v>
      </c>
      <c r="E4" s="10">
        <f>ROUND(_xlfn.XLOOKUP(b.nike.views[[#This Row],[product_ID]], a.nike.original.man[Product_ID], a.nike.original.man[Sale Price], "Not Found"), 0)</f>
        <v>76</v>
      </c>
      <c r="F4" s="5" t="str" cm="1">
        <f t="array" ref="F4">_xlfn.IFS(b.nike.views[[#This Row],[Sales_Price]]&lt;=9, "under $10",b.nike.views[[#This Row],[Sales_Price]]&lt;=20, "$20 and under",b.nike.views[[#This Row],[Sales_Price]]&lt;=50, "$50 and under", b.nike.views[[#This Row],[Sales_Price]]&lt;=99, "under $100", b.nike.views[[#This Row],[Sales_Price]]&gt;=100, "$100 +")</f>
        <v>under $100</v>
      </c>
      <c r="G4">
        <f>COUNTIF(a.nike.original.man[Product_ID], A4)</f>
        <v>1</v>
      </c>
      <c r="H4" t="str" cm="1">
        <f t="array" ref="H4">_xlfn.IFS(b.nike.views[[#This Row],[Review_Count]]&lt;=7, "Below Average",b.nike.views[[#This Row],[Review_Count]]&gt;=8, "Average +")</f>
        <v>Below Average</v>
      </c>
      <c r="I4">
        <f>SUMIF(a.nike.original.man[Product_ID],b.nike.views[[#This Row],[product_ID]], a.nike.original.man[Reviews])</f>
        <v>6</v>
      </c>
      <c r="J4" s="41">
        <f>_xlfn.XLOOKUP(b.nike.views[[#This Row],[product_ID]],a.nike.original.man[Product_ID], a.nike.original.man[Discount %], "Not Found")</f>
        <v>0</v>
      </c>
      <c r="K4" s="41"/>
      <c r="L4" t="s">
        <v>1470</v>
      </c>
    </row>
    <row r="5" spans="1:15" x14ac:dyDescent="0.2">
      <c r="A5" t="s">
        <v>920</v>
      </c>
      <c r="B5" t="str">
        <f>_xlfn.XLOOKUP(b.nike.views[[#This Row],[product_ID]], a.nike.original.man[Product_ID], a.nike.original.man[Product Name], "Not Found")</f>
        <v>Nike Air Zoom Wildhorse 5</v>
      </c>
      <c r="C5" s="5" t="str">
        <f>_xlfn.XLOOKUP(b.nike.views[[#This Row],[product_ID]], a.nike.original.man[Product_ID], a.nike.original.man[Rating_Group], "Not Found")</f>
        <v>4 - 5</v>
      </c>
      <c r="D5">
        <f>_xlfn.XLOOKUP(b.nike.views[[#This Row],[product_ID]], a.nike.original.man[Product_ID], a.nike.original.man[Rating], "Not Found")</f>
        <v>5</v>
      </c>
      <c r="E5" s="10">
        <f>ROUND(_xlfn.XLOOKUP(b.nike.views[[#This Row],[product_ID]], a.nike.original.man[Product_ID], a.nike.original.man[Sale Price], "Not Found"), 0)</f>
        <v>90</v>
      </c>
      <c r="F5" s="5" t="str" cm="1">
        <f t="array" ref="F5">_xlfn.IFS(b.nike.views[[#This Row],[Sales_Price]]&lt;=9, "under $10",b.nike.views[[#This Row],[Sales_Price]]&lt;=20, "$20 and under",b.nike.views[[#This Row],[Sales_Price]]&lt;=50, "$50 and under", b.nike.views[[#This Row],[Sales_Price]]&lt;=99, "under $100", b.nike.views[[#This Row],[Sales_Price]]&gt;=100, "$100 +")</f>
        <v>under $100</v>
      </c>
      <c r="G5">
        <f>COUNTIF(a.nike.original.man[Product_ID], A5)</f>
        <v>1</v>
      </c>
      <c r="H5" t="str" cm="1">
        <f t="array" ref="H5">_xlfn.IFS(b.nike.views[[#This Row],[Review_Count]]&lt;=7, "Below Average",b.nike.views[[#This Row],[Review_Count]]&gt;=8, "Average +")</f>
        <v>Below Average</v>
      </c>
      <c r="I5">
        <f>SUMIF(a.nike.original.man[Product_ID],b.nike.views[[#This Row],[product_ID]], a.nike.original.man[Reviews])</f>
        <v>6</v>
      </c>
      <c r="J5" s="41">
        <f>_xlfn.XLOOKUP(b.nike.views[[#This Row],[product_ID]],a.nike.original.man[Product_ID], a.nike.original.man[Discount %], "Not Found")</f>
        <v>0</v>
      </c>
      <c r="K5" s="41"/>
      <c r="L5" t="s">
        <v>1470</v>
      </c>
    </row>
    <row r="6" spans="1:15" x14ac:dyDescent="0.2">
      <c r="A6" t="s">
        <v>1051</v>
      </c>
      <c r="B6" t="str">
        <f>_xlfn.XLOOKUP(b.nike.views[[#This Row],[product_ID]], a.nike.original.man[Product_ID], a.nike.original.man[Product Name], "Not Found")</f>
        <v>Nike Air Max 720 (OBJ)</v>
      </c>
      <c r="C6" s="5" t="str">
        <f>_xlfn.XLOOKUP(b.nike.views[[#This Row],[product_ID]], a.nike.original.man[Product_ID], a.nike.original.man[Rating_Group], "Not Found")</f>
        <v>4 - 5</v>
      </c>
      <c r="D6">
        <f>_xlfn.XLOOKUP(b.nike.views[[#This Row],[product_ID]], a.nike.original.man[Product_ID], a.nike.original.man[Rating], "Not Found")</f>
        <v>5</v>
      </c>
      <c r="E6" s="10">
        <f>ROUND(_xlfn.XLOOKUP(b.nike.views[[#This Row],[product_ID]], a.nike.original.man[Product_ID], a.nike.original.man[Sale Price], "Not Found"), 0)</f>
        <v>136</v>
      </c>
      <c r="F6" s="5" t="str" cm="1">
        <f t="array" ref="F6">_xlfn.IFS(b.nike.views[[#This Row],[Sales_Price]]&lt;=9, "under $10",b.nike.views[[#This Row],[Sales_Price]]&lt;=20, "$20 and under",b.nike.views[[#This Row],[Sales_Price]]&lt;=50, "$50 and under", b.nike.views[[#This Row],[Sales_Price]]&lt;=99, "under $100", b.nike.views[[#This Row],[Sales_Price]]&gt;=100, "$100 +")</f>
        <v>$100 +</v>
      </c>
      <c r="G6">
        <f>COUNTIF(a.nike.original.man[Product_ID], A6)</f>
        <v>1</v>
      </c>
      <c r="H6" t="str" cm="1">
        <f t="array" ref="H6">_xlfn.IFS(b.nike.views[[#This Row],[Review_Count]]&lt;=7, "Below Average",b.nike.views[[#This Row],[Review_Count]]&gt;=8, "Average +")</f>
        <v>Below Average</v>
      </c>
      <c r="I6">
        <f>SUMIF(a.nike.original.man[Product_ID],b.nike.views[[#This Row],[product_ID]], a.nike.original.man[Reviews])</f>
        <v>5</v>
      </c>
      <c r="J6" s="41">
        <f>_xlfn.XLOOKUP(b.nike.views[[#This Row],[product_ID]],a.nike.original.man[Product_ID], a.nike.original.man[Discount %], "Not Found")</f>
        <v>0.2</v>
      </c>
      <c r="K6" s="41"/>
      <c r="L6" t="s">
        <v>1470</v>
      </c>
    </row>
    <row r="7" spans="1:15" x14ac:dyDescent="0.2">
      <c r="A7" t="s">
        <v>1186</v>
      </c>
      <c r="B7" t="str">
        <f>_xlfn.XLOOKUP(b.nike.views[[#This Row],[product_ID]], a.nike.original.man[Product_ID], a.nike.original.man[Product Name], "Not Found")</f>
        <v>Nike Air Zoom Pegasus 36 Premium Rise</v>
      </c>
      <c r="C7" s="5" t="str">
        <f>_xlfn.XLOOKUP(b.nike.views[[#This Row],[product_ID]], a.nike.original.man[Product_ID], a.nike.original.man[Rating_Group], "Not Found")</f>
        <v>4 - 5</v>
      </c>
      <c r="D7">
        <f>_xlfn.XLOOKUP(b.nike.views[[#This Row],[product_ID]], a.nike.original.man[Product_ID], a.nike.original.man[Rating], "Not Found")</f>
        <v>5</v>
      </c>
      <c r="E7" s="10">
        <f>ROUND(_xlfn.XLOOKUP(b.nike.views[[#This Row],[product_ID]], a.nike.original.man[Product_ID], a.nike.original.man[Sale Price], "Not Found"), 0)</f>
        <v>66</v>
      </c>
      <c r="F7" s="5" t="str" cm="1">
        <f t="array" ref="F7">_xlfn.IFS(b.nike.views[[#This Row],[Sales_Price]]&lt;=9, "under $10",b.nike.views[[#This Row],[Sales_Price]]&lt;=20, "$20 and under",b.nike.views[[#This Row],[Sales_Price]]&lt;=50, "$50 and under", b.nike.views[[#This Row],[Sales_Price]]&lt;=99, "under $100", b.nike.views[[#This Row],[Sales_Price]]&gt;=100, "$100 +")</f>
        <v>under $100</v>
      </c>
      <c r="G7">
        <f>COUNTIF(a.nike.original.man[Product_ID], A7)</f>
        <v>1</v>
      </c>
      <c r="H7" t="str" cm="1">
        <f t="array" ref="H7">_xlfn.IFS(b.nike.views[[#This Row],[Review_Count]]&lt;=7, "Below Average",b.nike.views[[#This Row],[Review_Count]]&gt;=8, "Average +")</f>
        <v>Below Average</v>
      </c>
      <c r="I7">
        <f>SUMIF(a.nike.original.man[Product_ID],b.nike.views[[#This Row],[product_ID]], a.nike.original.man[Reviews])</f>
        <v>5</v>
      </c>
      <c r="J7" s="41">
        <f>_xlfn.XLOOKUP(b.nike.views[[#This Row],[product_ID]],a.nike.original.man[Product_ID], a.nike.original.man[Discount %], "Not Found")</f>
        <v>0.4</v>
      </c>
      <c r="K7" s="41"/>
      <c r="L7" t="s">
        <v>1470</v>
      </c>
    </row>
    <row r="8" spans="1:15" x14ac:dyDescent="0.2">
      <c r="A8" t="s">
        <v>163</v>
      </c>
      <c r="B8" t="str">
        <f>_xlfn.XLOOKUP(b.nike.views[[#This Row],[product_ID]], a.nike.original.man[Product_ID], a.nike.original.man[Product Name], "Not Found")</f>
        <v>Nike Metcon 5 AMP</v>
      </c>
      <c r="C8" s="5" t="str">
        <f>_xlfn.XLOOKUP(b.nike.views[[#This Row],[product_ID]], a.nike.original.man[Product_ID], a.nike.original.man[Rating_Group], "Not Found")</f>
        <v>4 - 5</v>
      </c>
      <c r="D8">
        <f>_xlfn.XLOOKUP(b.nike.views[[#This Row],[product_ID]], a.nike.original.man[Product_ID], a.nike.original.man[Rating], "Not Found")</f>
        <v>5</v>
      </c>
      <c r="E8" s="10">
        <f>ROUND(_xlfn.XLOOKUP(b.nike.views[[#This Row],[product_ID]], a.nike.original.man[Product_ID], a.nike.original.man[Sale Price], "Not Found"), 0)</f>
        <v>120</v>
      </c>
      <c r="F8" s="5" t="str" cm="1">
        <f t="array" ref="F8">_xlfn.IFS(b.nike.views[[#This Row],[Sales_Price]]&lt;=9, "under $10",b.nike.views[[#This Row],[Sales_Price]]&lt;=20, "$20 and under",b.nike.views[[#This Row],[Sales_Price]]&lt;=50, "$50 and under", b.nike.views[[#This Row],[Sales_Price]]&lt;=99, "under $100", b.nike.views[[#This Row],[Sales_Price]]&gt;=100, "$100 +")</f>
        <v>$100 +</v>
      </c>
      <c r="G8">
        <f>COUNTIF(a.nike.original.man[Product_ID], A8)</f>
        <v>2</v>
      </c>
      <c r="H8" t="str" cm="1">
        <f t="array" ref="H8">_xlfn.IFS(b.nike.views[[#This Row],[Review_Count]]&lt;=7, "Below Average",b.nike.views[[#This Row],[Review_Count]]&gt;=8, "Average +")</f>
        <v>Below Average</v>
      </c>
      <c r="I8">
        <f>SUMIF(a.nike.original.man[Product_ID],b.nike.views[[#This Row],[product_ID]], a.nike.original.man[Reviews])</f>
        <v>4</v>
      </c>
      <c r="J8" s="41">
        <f>_xlfn.XLOOKUP(b.nike.views[[#This Row],[product_ID]],a.nike.original.man[Product_ID], a.nike.original.man[Discount %], "Not Found")</f>
        <v>0</v>
      </c>
      <c r="K8" s="41"/>
      <c r="L8" t="s">
        <v>1470</v>
      </c>
    </row>
    <row r="9" spans="1:15" x14ac:dyDescent="0.2">
      <c r="A9" t="s">
        <v>70</v>
      </c>
      <c r="B9" t="str">
        <f>_xlfn.XLOOKUP(b.nike.views[[#This Row],[product_ID]], a.nike.original.man[Product_ID], a.nike.original.man[Product Name], "Not Found")</f>
        <v>Air Jordan XXXIV PF</v>
      </c>
      <c r="C9" s="5" t="str">
        <f>_xlfn.XLOOKUP(b.nike.views[[#This Row],[product_ID]], a.nike.original.man[Product_ID], a.nike.original.man[Rating_Group], "Not Found")</f>
        <v>4 - 5</v>
      </c>
      <c r="D9">
        <f>_xlfn.XLOOKUP(b.nike.views[[#This Row],[product_ID]], a.nike.original.man[Product_ID], a.nike.original.man[Rating], "Not Found")</f>
        <v>5</v>
      </c>
      <c r="E9" s="10">
        <f>ROUND(_xlfn.XLOOKUP(b.nike.views[[#This Row],[product_ID]], a.nike.original.man[Product_ID], a.nike.original.man[Sale Price], "Not Found"), 0)</f>
        <v>150</v>
      </c>
      <c r="F9" s="5" t="str" cm="1">
        <f t="array" ref="F9">_xlfn.IFS(b.nike.views[[#This Row],[Sales_Price]]&lt;=9, "under $10",b.nike.views[[#This Row],[Sales_Price]]&lt;=20, "$20 and under",b.nike.views[[#This Row],[Sales_Price]]&lt;=50, "$50 and under", b.nike.views[[#This Row],[Sales_Price]]&lt;=99, "under $100", b.nike.views[[#This Row],[Sales_Price]]&gt;=100, "$100 +")</f>
        <v>$100 +</v>
      </c>
      <c r="G9">
        <f>COUNTIF(a.nike.original.man[Product_ID], A9)</f>
        <v>2</v>
      </c>
      <c r="H9" t="str" cm="1">
        <f t="array" ref="H9">_xlfn.IFS(b.nike.views[[#This Row],[Review_Count]]&lt;=7, "Below Average",b.nike.views[[#This Row],[Review_Count]]&gt;=8, "Average +")</f>
        <v>Below Average</v>
      </c>
      <c r="I9">
        <f>SUMIF(a.nike.original.man[Product_ID],b.nike.views[[#This Row],[product_ID]], a.nike.original.man[Reviews])</f>
        <v>4</v>
      </c>
      <c r="J9" s="41">
        <f>_xlfn.XLOOKUP(b.nike.views[[#This Row],[product_ID]],a.nike.original.man[Product_ID], a.nike.original.man[Discount %], "Not Found")</f>
        <v>0</v>
      </c>
      <c r="K9" s="41"/>
      <c r="L9" t="s">
        <v>1470</v>
      </c>
    </row>
    <row r="10" spans="1:15" x14ac:dyDescent="0.2">
      <c r="A10" t="s">
        <v>269</v>
      </c>
      <c r="B10" t="str">
        <f>_xlfn.XLOOKUP(b.nike.views[[#This Row],[product_ID]], a.nike.original.man[Product_ID], a.nike.original.man[Product Name], "Not Found")</f>
        <v>Nike Mercurial Superfly 7 Academy MG</v>
      </c>
      <c r="C10" s="5" t="str">
        <f>_xlfn.XLOOKUP(b.nike.views[[#This Row],[product_ID]], a.nike.original.man[Product_ID], a.nike.original.man[Rating_Group], "Not Found")</f>
        <v>4 - 5</v>
      </c>
      <c r="D10">
        <f>_xlfn.XLOOKUP(b.nike.views[[#This Row],[product_ID]], a.nike.original.man[Product_ID], a.nike.original.man[Rating], "Not Found")</f>
        <v>5</v>
      </c>
      <c r="E10" s="10">
        <f>ROUND(_xlfn.XLOOKUP(b.nike.views[[#This Row],[product_ID]], a.nike.original.man[Product_ID], a.nike.original.man[Sale Price], "Not Found"), 0)</f>
        <v>85</v>
      </c>
      <c r="F10" s="5" t="str" cm="1">
        <f t="array" ref="F10">_xlfn.IFS(b.nike.views[[#This Row],[Sales_Price]]&lt;=9, "under $10",b.nike.views[[#This Row],[Sales_Price]]&lt;=20, "$20 and under",b.nike.views[[#This Row],[Sales_Price]]&lt;=50, "$50 and under", b.nike.views[[#This Row],[Sales_Price]]&lt;=99, "under $100", b.nike.views[[#This Row],[Sales_Price]]&gt;=100, "$100 +")</f>
        <v>under $100</v>
      </c>
      <c r="G10">
        <f>COUNTIF(a.nike.original.man[Product_ID], A10)</f>
        <v>2</v>
      </c>
      <c r="H10" t="str" cm="1">
        <f t="array" ref="H10">_xlfn.IFS(b.nike.views[[#This Row],[Review_Count]]&lt;=7, "Below Average",b.nike.views[[#This Row],[Review_Count]]&gt;=8, "Average +")</f>
        <v>Below Average</v>
      </c>
      <c r="I10">
        <f>SUMIF(a.nike.original.man[Product_ID],b.nike.views[[#This Row],[product_ID]], a.nike.original.man[Reviews])</f>
        <v>4</v>
      </c>
      <c r="J10" s="41">
        <f>_xlfn.XLOOKUP(b.nike.views[[#This Row],[product_ID]],a.nike.original.man[Product_ID], a.nike.original.man[Discount %], "Not Found")</f>
        <v>0</v>
      </c>
      <c r="K10" s="41"/>
      <c r="L10" t="s">
        <v>1470</v>
      </c>
    </row>
    <row r="11" spans="1:15" x14ac:dyDescent="0.2">
      <c r="A11" t="s">
        <v>960</v>
      </c>
      <c r="B11" t="str">
        <f>_xlfn.XLOOKUP(b.nike.views[[#This Row],[product_ID]], a.nike.original.man[Product_ID], a.nike.original.man[Product Name], "Not Found")</f>
        <v>Nike Joyride CC</v>
      </c>
      <c r="C11" s="5" t="str">
        <f>_xlfn.XLOOKUP(b.nike.views[[#This Row],[product_ID]], a.nike.original.man[Product_ID], a.nike.original.man[Rating_Group], "Not Found")</f>
        <v>4 - 5</v>
      </c>
      <c r="D11">
        <f>_xlfn.XLOOKUP(b.nike.views[[#This Row],[product_ID]], a.nike.original.man[Product_ID], a.nike.original.man[Rating], "Not Found")</f>
        <v>5</v>
      </c>
      <c r="E11" s="10">
        <f>ROUND(_xlfn.XLOOKUP(b.nike.views[[#This Row],[product_ID]], a.nike.original.man[Product_ID], a.nike.original.man[Sale Price], "Not Found"), 0)</f>
        <v>84</v>
      </c>
      <c r="F11" s="5" t="str" cm="1">
        <f t="array" ref="F11">_xlfn.IFS(b.nike.views[[#This Row],[Sales_Price]]&lt;=9, "under $10",b.nike.views[[#This Row],[Sales_Price]]&lt;=20, "$20 and under",b.nike.views[[#This Row],[Sales_Price]]&lt;=50, "$50 and under", b.nike.views[[#This Row],[Sales_Price]]&lt;=99, "under $100", b.nike.views[[#This Row],[Sales_Price]]&gt;=100, "$100 +")</f>
        <v>under $100</v>
      </c>
      <c r="G11">
        <f>COUNTIF(a.nike.original.man[Product_ID], A11)</f>
        <v>1</v>
      </c>
      <c r="H11" t="str" cm="1">
        <f t="array" ref="H11">_xlfn.IFS(b.nike.views[[#This Row],[Review_Count]]&lt;=7, "Below Average",b.nike.views[[#This Row],[Review_Count]]&gt;=8, "Average +")</f>
        <v>Below Average</v>
      </c>
      <c r="I11">
        <f>SUMIF(a.nike.original.man[Product_ID],b.nike.views[[#This Row],[product_ID]], a.nike.original.man[Reviews])</f>
        <v>4</v>
      </c>
      <c r="J11" s="41">
        <f>_xlfn.XLOOKUP(b.nike.views[[#This Row],[product_ID]],a.nike.original.man[Product_ID], a.nike.original.man[Discount %], "Not Found")</f>
        <v>0.3</v>
      </c>
      <c r="K11" s="41"/>
      <c r="L11" t="s">
        <v>1470</v>
      </c>
      <c r="O11">
        <f>COUNTIF(b.nike.views[discount], b.nike.views[[#This Row],[discount]])</f>
        <v>70</v>
      </c>
    </row>
    <row r="12" spans="1:15" x14ac:dyDescent="0.2">
      <c r="A12" t="s">
        <v>923</v>
      </c>
      <c r="B12" t="str">
        <f>_xlfn.XLOOKUP(b.nike.views[[#This Row],[product_ID]], a.nike.original.man[Product_ID], a.nike.original.man[Product Name], "Not Found")</f>
        <v>Nike Air Max 720 Waves</v>
      </c>
      <c r="C12" s="5" t="str">
        <f>_xlfn.XLOOKUP(b.nike.views[[#This Row],[product_ID]], a.nike.original.man[Product_ID], a.nike.original.man[Rating_Group], "Not Found")</f>
        <v>4 - 5</v>
      </c>
      <c r="D12">
        <f>_xlfn.XLOOKUP(b.nike.views[[#This Row],[product_ID]], a.nike.original.man[Product_ID], a.nike.original.man[Rating], "Not Found")</f>
        <v>5</v>
      </c>
      <c r="E12" s="10">
        <f>ROUND(_xlfn.XLOOKUP(b.nike.views[[#This Row],[product_ID]], a.nike.original.man[Product_ID], a.nike.original.man[Sale Price], "Not Found"), 0)</f>
        <v>112</v>
      </c>
      <c r="F12" s="5" t="str" cm="1">
        <f t="array" ref="F12">_xlfn.IFS(b.nike.views[[#This Row],[Sales_Price]]&lt;=9, "under $10",b.nike.views[[#This Row],[Sales_Price]]&lt;=20, "$20 and under",b.nike.views[[#This Row],[Sales_Price]]&lt;=50, "$50 and under", b.nike.views[[#This Row],[Sales_Price]]&lt;=99, "under $100", b.nike.views[[#This Row],[Sales_Price]]&gt;=100, "$100 +")</f>
        <v>$100 +</v>
      </c>
      <c r="G12">
        <f>COUNTIF(a.nike.original.man[Product_ID], A12)</f>
        <v>1</v>
      </c>
      <c r="H12" t="str" cm="1">
        <f t="array" ref="H12">_xlfn.IFS(b.nike.views[[#This Row],[Review_Count]]&lt;=7, "Below Average",b.nike.views[[#This Row],[Review_Count]]&gt;=8, "Average +")</f>
        <v>Below Average</v>
      </c>
      <c r="I12">
        <f>SUMIF(a.nike.original.man[Product_ID],b.nike.views[[#This Row],[product_ID]], a.nike.original.man[Reviews])</f>
        <v>4</v>
      </c>
      <c r="J12" s="41">
        <f>_xlfn.XLOOKUP(b.nike.views[[#This Row],[product_ID]],a.nike.original.man[Product_ID], a.nike.original.man[Discount %], "Not Found")</f>
        <v>0.3</v>
      </c>
      <c r="K12" s="41"/>
      <c r="L12" t="s">
        <v>1470</v>
      </c>
    </row>
    <row r="13" spans="1:15" x14ac:dyDescent="0.2">
      <c r="A13" t="s">
        <v>320</v>
      </c>
      <c r="B13" t="str">
        <f>_xlfn.XLOOKUP(b.nike.views[[#This Row],[product_ID]], a.nike.original.man[Product_ID], a.nike.original.man[Product Name], "Not Found")</f>
        <v>Nike Air Max 90</v>
      </c>
      <c r="C13" s="5" t="str">
        <f>_xlfn.XLOOKUP(b.nike.views[[#This Row],[product_ID]], a.nike.original.man[Product_ID], a.nike.original.man[Rating_Group], "Not Found")</f>
        <v>4 - 5</v>
      </c>
      <c r="D13">
        <f>_xlfn.XLOOKUP(b.nike.views[[#This Row],[product_ID]], a.nike.original.man[Product_ID], a.nike.original.man[Rating], "Not Found")</f>
        <v>5</v>
      </c>
      <c r="E13" s="10">
        <f>ROUND(_xlfn.XLOOKUP(b.nike.views[[#This Row],[product_ID]], a.nike.original.man[Product_ID], a.nike.original.man[Sale Price], "Not Found"), 0)</f>
        <v>100</v>
      </c>
      <c r="F13" s="5" t="str" cm="1">
        <f t="array" ref="F13">_xlfn.IFS(b.nike.views[[#This Row],[Sales_Price]]&lt;=9, "under $10",b.nike.views[[#This Row],[Sales_Price]]&lt;=20, "$20 and under",b.nike.views[[#This Row],[Sales_Price]]&lt;=50, "$50 and under", b.nike.views[[#This Row],[Sales_Price]]&lt;=99, "under $100", b.nike.views[[#This Row],[Sales_Price]]&gt;=100, "$100 +")</f>
        <v>$100 +</v>
      </c>
      <c r="G13">
        <f>COUNTIF(a.nike.original.man[Product_ID], A13)</f>
        <v>1</v>
      </c>
      <c r="H13" t="str" cm="1">
        <f t="array" ref="H13">_xlfn.IFS(b.nike.views[[#This Row],[Review_Count]]&lt;=7, "Below Average",b.nike.views[[#This Row],[Review_Count]]&gt;=8, "Average +")</f>
        <v>Below Average</v>
      </c>
      <c r="I13">
        <f>SUMIF(a.nike.original.man[Product_ID],b.nike.views[[#This Row],[product_ID]], a.nike.original.man[Reviews])</f>
        <v>3</v>
      </c>
      <c r="J13" s="41">
        <f>_xlfn.XLOOKUP(b.nike.views[[#This Row],[product_ID]],a.nike.original.man[Product_ID], a.nike.original.man[Discount %], "Not Found")</f>
        <v>0</v>
      </c>
      <c r="K13" s="41"/>
      <c r="L13" t="s">
        <v>1470</v>
      </c>
    </row>
    <row r="14" spans="1:15" x14ac:dyDescent="0.2">
      <c r="A14" t="s">
        <v>109</v>
      </c>
      <c r="B14" t="str">
        <f>_xlfn.XLOOKUP(b.nike.views[[#This Row],[product_ID]], a.nike.original.man[Product_ID], a.nike.original.man[Product Name], "Not Found")</f>
        <v>Nike Air Force 1 '07 LV8</v>
      </c>
      <c r="C14" s="5" t="str">
        <f>_xlfn.XLOOKUP(b.nike.views[[#This Row],[product_ID]], a.nike.original.man[Product_ID], a.nike.original.man[Rating_Group], "Not Found")</f>
        <v>4 - 5</v>
      </c>
      <c r="D14">
        <f>_xlfn.XLOOKUP(b.nike.views[[#This Row],[product_ID]], a.nike.original.man[Product_ID], a.nike.original.man[Rating], "Not Found")</f>
        <v>5</v>
      </c>
      <c r="E14" s="10">
        <f>ROUND(_xlfn.XLOOKUP(b.nike.views[[#This Row],[product_ID]], a.nike.original.man[Product_ID], a.nike.original.man[Sale Price], "Not Found"), 0)</f>
        <v>76</v>
      </c>
      <c r="F14" s="5" t="str" cm="1">
        <f t="array" ref="F14">_xlfn.IFS(b.nike.views[[#This Row],[Sales_Price]]&lt;=9, "under $10",b.nike.views[[#This Row],[Sales_Price]]&lt;=20, "$20 and under",b.nike.views[[#This Row],[Sales_Price]]&lt;=50, "$50 and under", b.nike.views[[#This Row],[Sales_Price]]&lt;=99, "under $100", b.nike.views[[#This Row],[Sales_Price]]&gt;=100, "$100 +")</f>
        <v>under $100</v>
      </c>
      <c r="G14">
        <f>COUNTIF(a.nike.original.man[Product_ID], A14)</f>
        <v>1</v>
      </c>
      <c r="H14" t="str" cm="1">
        <f t="array" ref="H14">_xlfn.IFS(b.nike.views[[#This Row],[Review_Count]]&lt;=7, "Below Average",b.nike.views[[#This Row],[Review_Count]]&gt;=8, "Average +")</f>
        <v>Below Average</v>
      </c>
      <c r="I14">
        <f>SUMIF(a.nike.original.man[Product_ID],b.nike.views[[#This Row],[product_ID]], a.nike.original.man[Reviews])</f>
        <v>3</v>
      </c>
      <c r="J14" s="41">
        <f>_xlfn.XLOOKUP(b.nike.views[[#This Row],[product_ID]],a.nike.original.man[Product_ID], a.nike.original.man[Discount %], "Not Found")</f>
        <v>0</v>
      </c>
      <c r="K14" s="41"/>
      <c r="L14" t="s">
        <v>1470</v>
      </c>
    </row>
    <row r="15" spans="1:15" x14ac:dyDescent="0.2">
      <c r="A15" t="s">
        <v>405</v>
      </c>
      <c r="B15" t="str">
        <f>_xlfn.XLOOKUP(b.nike.views[[#This Row],[product_ID]], a.nike.original.man[Product_ID], a.nike.original.man[Product Name], "Not Found")</f>
        <v>Nike Air Force 1 '07 LV8</v>
      </c>
      <c r="C15" s="5" t="str">
        <f>_xlfn.XLOOKUP(b.nike.views[[#This Row],[product_ID]], a.nike.original.man[Product_ID], a.nike.original.man[Rating_Group], "Not Found")</f>
        <v>4 - 5</v>
      </c>
      <c r="D15">
        <f>_xlfn.XLOOKUP(b.nike.views[[#This Row],[product_ID]], a.nike.original.man[Product_ID], a.nike.original.man[Rating], "Not Found")</f>
        <v>5</v>
      </c>
      <c r="E15" s="10">
        <f>ROUND(_xlfn.XLOOKUP(b.nike.views[[#This Row],[product_ID]], a.nike.original.man[Product_ID], a.nike.original.man[Sale Price], "Not Found"), 0)</f>
        <v>80</v>
      </c>
      <c r="F15" s="5" t="str" cm="1">
        <f t="array" ref="F15">_xlfn.IFS(b.nike.views[[#This Row],[Sales_Price]]&lt;=9, "under $10",b.nike.views[[#This Row],[Sales_Price]]&lt;=20, "$20 and under",b.nike.views[[#This Row],[Sales_Price]]&lt;=50, "$50 and under", b.nike.views[[#This Row],[Sales_Price]]&lt;=99, "under $100", b.nike.views[[#This Row],[Sales_Price]]&gt;=100, "$100 +")</f>
        <v>under $100</v>
      </c>
      <c r="G15">
        <f>COUNTIF(a.nike.original.man[Product_ID], A15)</f>
        <v>1</v>
      </c>
      <c r="H15" t="str" cm="1">
        <f t="array" ref="H15">_xlfn.IFS(b.nike.views[[#This Row],[Review_Count]]&lt;=7, "Below Average",b.nike.views[[#This Row],[Review_Count]]&gt;=8, "Average +")</f>
        <v>Below Average</v>
      </c>
      <c r="I15">
        <f>SUMIF(a.nike.original.man[Product_ID],b.nike.views[[#This Row],[product_ID]], a.nike.original.man[Reviews])</f>
        <v>3</v>
      </c>
      <c r="J15" s="41">
        <f>_xlfn.XLOOKUP(b.nike.views[[#This Row],[product_ID]],a.nike.original.man[Product_ID], a.nike.original.man[Discount %], "Not Found")</f>
        <v>0</v>
      </c>
      <c r="K15" s="41"/>
      <c r="L15" t="s">
        <v>1470</v>
      </c>
    </row>
    <row r="16" spans="1:15" x14ac:dyDescent="0.2">
      <c r="A16" t="s">
        <v>848</v>
      </c>
      <c r="B16" t="str">
        <f>_xlfn.XLOOKUP(b.nike.views[[#This Row],[product_ID]], a.nike.original.man[Product_ID], a.nike.original.man[Product Name], "Not Found")</f>
        <v>Nike Zoom Fly 3 Premium</v>
      </c>
      <c r="C16" s="5" t="str">
        <f>_xlfn.XLOOKUP(b.nike.views[[#This Row],[product_ID]], a.nike.original.man[Product_ID], a.nike.original.man[Rating_Group], "Not Found")</f>
        <v>4 - 5</v>
      </c>
      <c r="D16">
        <f>_xlfn.XLOOKUP(b.nike.views[[#This Row],[product_ID]], a.nike.original.man[Product_ID], a.nike.original.man[Rating], "Not Found")</f>
        <v>5</v>
      </c>
      <c r="E16" s="10">
        <f>ROUND(_xlfn.XLOOKUP(b.nike.views[[#This Row],[product_ID]], a.nike.original.man[Product_ID], a.nike.original.man[Sale Price], "Not Found"), 0)</f>
        <v>150</v>
      </c>
      <c r="F16" s="5" t="str" cm="1">
        <f t="array" ref="F16">_xlfn.IFS(b.nike.views[[#This Row],[Sales_Price]]&lt;=9, "under $10",b.nike.views[[#This Row],[Sales_Price]]&lt;=20, "$20 and under",b.nike.views[[#This Row],[Sales_Price]]&lt;=50, "$50 and under", b.nike.views[[#This Row],[Sales_Price]]&lt;=99, "under $100", b.nike.views[[#This Row],[Sales_Price]]&gt;=100, "$100 +")</f>
        <v>$100 +</v>
      </c>
      <c r="G16">
        <f>COUNTIF(a.nike.original.man[Product_ID], A16)</f>
        <v>1</v>
      </c>
      <c r="H16" t="str" cm="1">
        <f t="array" ref="H16">_xlfn.IFS(b.nike.views[[#This Row],[Review_Count]]&lt;=7, "Below Average",b.nike.views[[#This Row],[Review_Count]]&gt;=8, "Average +")</f>
        <v>Below Average</v>
      </c>
      <c r="I16">
        <f>SUMIF(a.nike.original.man[Product_ID],b.nike.views[[#This Row],[product_ID]], a.nike.original.man[Reviews])</f>
        <v>3</v>
      </c>
      <c r="J16" s="41">
        <f>_xlfn.XLOOKUP(b.nike.views[[#This Row],[product_ID]],a.nike.original.man[Product_ID], a.nike.original.man[Discount %], "Not Found")</f>
        <v>0</v>
      </c>
      <c r="K16" s="41"/>
      <c r="L16" t="s">
        <v>1470</v>
      </c>
    </row>
    <row r="17" spans="1:12" x14ac:dyDescent="0.2">
      <c r="A17" t="s">
        <v>373</v>
      </c>
      <c r="B17" t="str">
        <f>_xlfn.XLOOKUP(b.nike.views[[#This Row],[product_ID]], a.nike.original.man[Product_ID], a.nike.original.man[Product Name], "Not Found")</f>
        <v>Nike Air Zoom Winflo 6</v>
      </c>
      <c r="C17" s="5" t="str">
        <f>_xlfn.XLOOKUP(b.nike.views[[#This Row],[product_ID]], a.nike.original.man[Product_ID], a.nike.original.man[Rating_Group], "Not Found")</f>
        <v>4 - 5</v>
      </c>
      <c r="D17">
        <f>_xlfn.XLOOKUP(b.nike.views[[#This Row],[product_ID]], a.nike.original.man[Product_ID], a.nike.original.man[Rating], "Not Found")</f>
        <v>5</v>
      </c>
      <c r="E17" s="10">
        <f>ROUND(_xlfn.XLOOKUP(b.nike.views[[#This Row],[product_ID]], a.nike.original.man[Product_ID], a.nike.original.man[Sale Price], "Not Found"), 0)</f>
        <v>80</v>
      </c>
      <c r="F17" s="5" t="str" cm="1">
        <f t="array" ref="F17">_xlfn.IFS(b.nike.views[[#This Row],[Sales_Price]]&lt;=9, "under $10",b.nike.views[[#This Row],[Sales_Price]]&lt;=20, "$20 and under",b.nike.views[[#This Row],[Sales_Price]]&lt;=50, "$50 and under", b.nike.views[[#This Row],[Sales_Price]]&lt;=99, "under $100", b.nike.views[[#This Row],[Sales_Price]]&gt;=100, "$100 +")</f>
        <v>under $100</v>
      </c>
      <c r="G17">
        <f>COUNTIF(a.nike.original.man[Product_ID], A17)</f>
        <v>1</v>
      </c>
      <c r="H17" t="str" cm="1">
        <f t="array" ref="H17">_xlfn.IFS(b.nike.views[[#This Row],[Review_Count]]&lt;=7, "Below Average",b.nike.views[[#This Row],[Review_Count]]&gt;=8, "Average +")</f>
        <v>Below Average</v>
      </c>
      <c r="I17">
        <f>SUMIF(a.nike.original.man[Product_ID],b.nike.views[[#This Row],[product_ID]], a.nike.original.man[Reviews])</f>
        <v>3</v>
      </c>
      <c r="J17" s="41">
        <f>_xlfn.XLOOKUP(b.nike.views[[#This Row],[product_ID]],a.nike.original.man[Product_ID], a.nike.original.man[Discount %], "Not Found")</f>
        <v>0</v>
      </c>
      <c r="K17" s="41"/>
      <c r="L17" t="s">
        <v>1470</v>
      </c>
    </row>
    <row r="18" spans="1:12" x14ac:dyDescent="0.2">
      <c r="A18" t="s">
        <v>1033</v>
      </c>
      <c r="B18" t="str">
        <f>_xlfn.XLOOKUP(b.nike.views[[#This Row],[product_ID]], a.nike.original.man[Product_ID], a.nike.original.man[Product Name], "Not Found")</f>
        <v>Nike Epic Phantom React</v>
      </c>
      <c r="C18" s="5" t="str">
        <f>_xlfn.XLOOKUP(b.nike.views[[#This Row],[product_ID]], a.nike.original.man[Product_ID], a.nike.original.man[Rating_Group], "Not Found")</f>
        <v>4 - 5</v>
      </c>
      <c r="D18">
        <f>_xlfn.XLOOKUP(b.nike.views[[#This Row],[product_ID]], a.nike.original.man[Product_ID], a.nike.original.man[Rating], "Not Found")</f>
        <v>5</v>
      </c>
      <c r="E18" s="10">
        <f>ROUND(_xlfn.XLOOKUP(b.nike.views[[#This Row],[product_ID]], a.nike.original.man[Product_ID], a.nike.original.man[Sale Price], "Not Found"), 0)</f>
        <v>84</v>
      </c>
      <c r="F18" s="5" t="str" cm="1">
        <f t="array" ref="F18">_xlfn.IFS(b.nike.views[[#This Row],[Sales_Price]]&lt;=9, "under $10",b.nike.views[[#This Row],[Sales_Price]]&lt;=20, "$20 and under",b.nike.views[[#This Row],[Sales_Price]]&lt;=50, "$50 and under", b.nike.views[[#This Row],[Sales_Price]]&lt;=99, "under $100", b.nike.views[[#This Row],[Sales_Price]]&gt;=100, "$100 +")</f>
        <v>under $100</v>
      </c>
      <c r="G18">
        <f>COUNTIF(a.nike.original.man[Product_ID], A18)</f>
        <v>1</v>
      </c>
      <c r="H18" t="str" cm="1">
        <f t="array" ref="H18">_xlfn.IFS(b.nike.views[[#This Row],[Review_Count]]&lt;=7, "Below Average",b.nike.views[[#This Row],[Review_Count]]&gt;=8, "Average +")</f>
        <v>Below Average</v>
      </c>
      <c r="I18">
        <f>SUMIF(a.nike.original.man[Product_ID],b.nike.views[[#This Row],[product_ID]], a.nike.original.man[Reviews])</f>
        <v>3</v>
      </c>
      <c r="J18" s="41">
        <f>_xlfn.XLOOKUP(b.nike.views[[#This Row],[product_ID]],a.nike.original.man[Product_ID], a.nike.original.man[Discount %], "Not Found")</f>
        <v>0.4</v>
      </c>
      <c r="K18" s="41"/>
      <c r="L18" t="s">
        <v>1470</v>
      </c>
    </row>
    <row r="19" spans="1:12" x14ac:dyDescent="0.2">
      <c r="A19" t="s">
        <v>275</v>
      </c>
      <c r="B19" t="str">
        <f>_xlfn.XLOOKUP(b.nike.views[[#This Row],[product_ID]], a.nike.original.man[Product_ID], a.nike.original.man[Product Name], "Not Found")</f>
        <v>Nike Daybreak SP</v>
      </c>
      <c r="C19" s="5" t="str">
        <f>_xlfn.XLOOKUP(b.nike.views[[#This Row],[product_ID]], a.nike.original.man[Product_ID], a.nike.original.man[Rating_Group], "Not Found")</f>
        <v>4 - 5</v>
      </c>
      <c r="D19">
        <f>_xlfn.XLOOKUP(b.nike.views[[#This Row],[product_ID]], a.nike.original.man[Product_ID], a.nike.original.man[Rating], "Not Found")</f>
        <v>5</v>
      </c>
      <c r="E19" s="10">
        <f>ROUND(_xlfn.XLOOKUP(b.nike.views[[#This Row],[product_ID]], a.nike.original.man[Product_ID], a.nike.original.man[Sale Price], "Not Found"), 0)</f>
        <v>48</v>
      </c>
      <c r="F19" s="5" t="str" cm="1">
        <f t="array" ref="F19">_xlfn.IFS(b.nike.views[[#This Row],[Sales_Price]]&lt;=9, "under $10",b.nike.views[[#This Row],[Sales_Price]]&lt;=20, "$20 and under",b.nike.views[[#This Row],[Sales_Price]]&lt;=50, "$50 and under", b.nike.views[[#This Row],[Sales_Price]]&lt;=99, "under $100", b.nike.views[[#This Row],[Sales_Price]]&gt;=100, "$100 +")</f>
        <v>$50 and under</v>
      </c>
      <c r="G19">
        <f>COUNTIF(a.nike.original.man[Product_ID], A19)</f>
        <v>1</v>
      </c>
      <c r="H19" t="str" cm="1">
        <f t="array" ref="H19">_xlfn.IFS(b.nike.views[[#This Row],[Review_Count]]&lt;=7, "Below Average",b.nike.views[[#This Row],[Review_Count]]&gt;=8, "Average +")</f>
        <v>Below Average</v>
      </c>
      <c r="I19">
        <f>SUMIF(a.nike.original.man[Product_ID],b.nike.views[[#This Row],[product_ID]], a.nike.original.man[Reviews])</f>
        <v>3</v>
      </c>
      <c r="J19" s="41">
        <f>_xlfn.XLOOKUP(b.nike.views[[#This Row],[product_ID]],a.nike.original.man[Product_ID], a.nike.original.man[Discount %], "Not Found")</f>
        <v>0.4</v>
      </c>
      <c r="K19" s="41"/>
      <c r="L19" t="s">
        <v>1470</v>
      </c>
    </row>
    <row r="20" spans="1:12" x14ac:dyDescent="0.2">
      <c r="A20" t="s">
        <v>708</v>
      </c>
      <c r="B20" t="str">
        <f>_xlfn.XLOOKUP(b.nike.views[[#This Row],[product_ID]], a.nike.original.man[Product_ID], a.nike.original.man[Product Name], "Not Found")</f>
        <v>Jordan Trunner NXT React</v>
      </c>
      <c r="C20" s="5" t="str">
        <f>_xlfn.XLOOKUP(b.nike.views[[#This Row],[product_ID]], a.nike.original.man[Product_ID], a.nike.original.man[Rating_Group], "Not Found")</f>
        <v>4 - 5</v>
      </c>
      <c r="D20">
        <f>_xlfn.XLOOKUP(b.nike.views[[#This Row],[product_ID]], a.nike.original.man[Product_ID], a.nike.original.man[Rating], "Not Found")</f>
        <v>5</v>
      </c>
      <c r="E20" s="10">
        <f>ROUND(_xlfn.XLOOKUP(b.nike.views[[#This Row],[product_ID]], a.nike.original.man[Product_ID], a.nike.original.man[Sale Price], "Not Found"), 0)</f>
        <v>120</v>
      </c>
      <c r="F20" s="5" t="str" cm="1">
        <f t="array" ref="F20">_xlfn.IFS(b.nike.views[[#This Row],[Sales_Price]]&lt;=9, "under $10",b.nike.views[[#This Row],[Sales_Price]]&lt;=20, "$20 and under",b.nike.views[[#This Row],[Sales_Price]]&lt;=50, "$50 and under", b.nike.views[[#This Row],[Sales_Price]]&lt;=99, "under $100", b.nike.views[[#This Row],[Sales_Price]]&gt;=100, "$100 +")</f>
        <v>$100 +</v>
      </c>
      <c r="G20">
        <f>COUNTIF(a.nike.original.man[Product_ID], A20)</f>
        <v>1</v>
      </c>
      <c r="H20" t="str" cm="1">
        <f t="array" ref="H20">_xlfn.IFS(b.nike.views[[#This Row],[Review_Count]]&lt;=7, "Below Average",b.nike.views[[#This Row],[Review_Count]]&gt;=8, "Average +")</f>
        <v>Below Average</v>
      </c>
      <c r="I20">
        <f>SUMIF(a.nike.original.man[Product_ID],b.nike.views[[#This Row],[product_ID]], a.nike.original.man[Reviews])</f>
        <v>3</v>
      </c>
      <c r="J20" s="41">
        <f>_xlfn.XLOOKUP(b.nike.views[[#This Row],[product_ID]],a.nike.original.man[Product_ID], a.nike.original.man[Discount %], "Not Found")</f>
        <v>0</v>
      </c>
      <c r="K20" s="41"/>
      <c r="L20" t="s">
        <v>1470</v>
      </c>
    </row>
    <row r="21" spans="1:12" x14ac:dyDescent="0.2">
      <c r="A21" t="s">
        <v>720</v>
      </c>
      <c r="B21" t="str">
        <f>_xlfn.XLOOKUP(b.nike.views[[#This Row],[product_ID]], a.nike.original.man[Product_ID], a.nike.original.man[Product Name], "Not Found")</f>
        <v>Kyrie 5</v>
      </c>
      <c r="C21" s="5" t="str">
        <f>_xlfn.XLOOKUP(b.nike.views[[#This Row],[product_ID]], a.nike.original.man[Product_ID], a.nike.original.man[Rating_Group], "Not Found")</f>
        <v>4 - 5</v>
      </c>
      <c r="D21">
        <f>_xlfn.XLOOKUP(b.nike.views[[#This Row],[product_ID]], a.nike.original.man[Product_ID], a.nike.original.man[Rating], "Not Found")</f>
        <v>5</v>
      </c>
      <c r="E21" s="10">
        <f>ROUND(_xlfn.XLOOKUP(b.nike.views[[#This Row],[product_ID]], a.nike.original.man[Product_ID], a.nike.original.man[Sale Price], "Not Found"), 0)</f>
        <v>85</v>
      </c>
      <c r="F21" s="5" t="str" cm="1">
        <f t="array" ref="F21">_xlfn.IFS(b.nike.views[[#This Row],[Sales_Price]]&lt;=9, "under $10",b.nike.views[[#This Row],[Sales_Price]]&lt;=20, "$20 and under",b.nike.views[[#This Row],[Sales_Price]]&lt;=50, "$50 and under", b.nike.views[[#This Row],[Sales_Price]]&lt;=99, "under $100", b.nike.views[[#This Row],[Sales_Price]]&gt;=100, "$100 +")</f>
        <v>under $100</v>
      </c>
      <c r="G21">
        <f>COUNTIF(a.nike.original.man[Product_ID], A21)</f>
        <v>1</v>
      </c>
      <c r="H21" t="str" cm="1">
        <f t="array" ref="H21">_xlfn.IFS(b.nike.views[[#This Row],[Review_Count]]&lt;=7, "Below Average",b.nike.views[[#This Row],[Review_Count]]&gt;=8, "Average +")</f>
        <v>Below Average</v>
      </c>
      <c r="I21">
        <f>SUMIF(a.nike.original.man[Product_ID],b.nike.views[[#This Row],[product_ID]], a.nike.original.man[Reviews])</f>
        <v>3</v>
      </c>
      <c r="J21" s="41">
        <f>_xlfn.XLOOKUP(b.nike.views[[#This Row],[product_ID]],a.nike.original.man[Product_ID], a.nike.original.man[Discount %], "Not Found")</f>
        <v>0</v>
      </c>
      <c r="K21" s="41"/>
      <c r="L21" t="s">
        <v>1470</v>
      </c>
    </row>
    <row r="22" spans="1:12" x14ac:dyDescent="0.2">
      <c r="A22" t="s">
        <v>1224</v>
      </c>
      <c r="B22" t="str">
        <f>_xlfn.XLOOKUP(b.nike.views[[#This Row],[product_ID]], a.nike.original.man[Product_ID], a.nike.original.man[Product Name], "Not Found")</f>
        <v>Nike Air Max Dia</v>
      </c>
      <c r="C22" s="5" t="str">
        <f>_xlfn.XLOOKUP(b.nike.views[[#This Row],[product_ID]], a.nike.original.man[Product_ID], a.nike.original.man[Rating_Group], "Not Found")</f>
        <v>4 - 5</v>
      </c>
      <c r="D22">
        <f>_xlfn.XLOOKUP(b.nike.views[[#This Row],[product_ID]], a.nike.original.man[Product_ID], a.nike.original.man[Rating], "Not Found")</f>
        <v>5</v>
      </c>
      <c r="E22" s="10">
        <f>ROUND(_xlfn.XLOOKUP(b.nike.views[[#This Row],[product_ID]], a.nike.original.man[Product_ID], a.nike.original.man[Sale Price], "Not Found"), 0)</f>
        <v>90</v>
      </c>
      <c r="F22" s="5" t="str" cm="1">
        <f t="array" ref="F22">_xlfn.IFS(b.nike.views[[#This Row],[Sales_Price]]&lt;=9, "under $10",b.nike.views[[#This Row],[Sales_Price]]&lt;=20, "$20 and under",b.nike.views[[#This Row],[Sales_Price]]&lt;=50, "$50 and under", b.nike.views[[#This Row],[Sales_Price]]&lt;=99, "under $100", b.nike.views[[#This Row],[Sales_Price]]&gt;=100, "$100 +")</f>
        <v>under $100</v>
      </c>
      <c r="G22">
        <f>COUNTIF(a.nike.original.man[Product_ID], A22)</f>
        <v>1</v>
      </c>
      <c r="H22" t="str" cm="1">
        <f t="array" ref="H22">_xlfn.IFS(b.nike.views[[#This Row],[Review_Count]]&lt;=7, "Below Average",b.nike.views[[#This Row],[Review_Count]]&gt;=8, "Average +")</f>
        <v>Below Average</v>
      </c>
      <c r="I22">
        <f>SUMIF(a.nike.original.man[Product_ID],b.nike.views[[#This Row],[product_ID]], a.nike.original.man[Reviews])</f>
        <v>3</v>
      </c>
      <c r="J22" s="41">
        <f>_xlfn.XLOOKUP(b.nike.views[[#This Row],[product_ID]],a.nike.original.man[Product_ID], a.nike.original.man[Discount %], "Not Found")</f>
        <v>0</v>
      </c>
      <c r="K22" s="41"/>
      <c r="L22" t="s">
        <v>1470</v>
      </c>
    </row>
    <row r="23" spans="1:12" x14ac:dyDescent="0.2">
      <c r="A23" t="s">
        <v>1432</v>
      </c>
      <c r="B23" t="str">
        <f>_xlfn.XLOOKUP(b.nike.views[[#This Row],[product_ID]], a.nike.original.man[Product_ID], a.nike.original.man[Product Name], "Not Found")</f>
        <v>Nike Pre-Love O.X.</v>
      </c>
      <c r="C23" s="5" t="str">
        <f>_xlfn.XLOOKUP(b.nike.views[[#This Row],[product_ID]], a.nike.original.man[Product_ID], a.nike.original.man[Rating_Group], "Not Found")</f>
        <v>4 - 5</v>
      </c>
      <c r="D23">
        <f>_xlfn.XLOOKUP(b.nike.views[[#This Row],[product_ID]], a.nike.original.man[Product_ID], a.nike.original.man[Rating], "Not Found")</f>
        <v>5</v>
      </c>
      <c r="E23" s="10">
        <f>ROUND(_xlfn.XLOOKUP(b.nike.views[[#This Row],[product_ID]], a.nike.original.man[Product_ID], a.nike.original.man[Sale Price], "Not Found"), 0)</f>
        <v>75</v>
      </c>
      <c r="F23" s="5" t="str" cm="1">
        <f t="array" ref="F23">_xlfn.IFS(b.nike.views[[#This Row],[Sales_Price]]&lt;=9, "under $10",b.nike.views[[#This Row],[Sales_Price]]&lt;=20, "$20 and under",b.nike.views[[#This Row],[Sales_Price]]&lt;=50, "$50 and under", b.nike.views[[#This Row],[Sales_Price]]&lt;=99, "under $100", b.nike.views[[#This Row],[Sales_Price]]&gt;=100, "$100 +")</f>
        <v>under $100</v>
      </c>
      <c r="G23">
        <f>COUNTIF(a.nike.original.man[Product_ID], A23)</f>
        <v>1</v>
      </c>
      <c r="H23" t="str" cm="1">
        <f t="array" ref="H23">_xlfn.IFS(b.nike.views[[#This Row],[Review_Count]]&lt;=7, "Below Average",b.nike.views[[#This Row],[Review_Count]]&gt;=8, "Average +")</f>
        <v>Below Average</v>
      </c>
      <c r="I23">
        <f>SUMIF(a.nike.original.man[Product_ID],b.nike.views[[#This Row],[product_ID]], a.nike.original.man[Reviews])</f>
        <v>3</v>
      </c>
      <c r="J23" s="41">
        <f>_xlfn.XLOOKUP(b.nike.views[[#This Row],[product_ID]],a.nike.original.man[Product_ID], a.nike.original.man[Discount %], "Not Found")</f>
        <v>0</v>
      </c>
      <c r="K23" s="41"/>
      <c r="L23" t="s">
        <v>1470</v>
      </c>
    </row>
    <row r="24" spans="1:12" x14ac:dyDescent="0.2">
      <c r="A24" t="s">
        <v>1068</v>
      </c>
      <c r="B24" t="str">
        <f>_xlfn.XLOOKUP(b.nike.views[[#This Row],[product_ID]], a.nike.original.man[Product_ID], a.nike.original.man[Product Name], "Not Found")</f>
        <v>Nike Air Max 2090</v>
      </c>
      <c r="C24" s="5" t="str">
        <f>_xlfn.XLOOKUP(b.nike.views[[#This Row],[product_ID]], a.nike.original.man[Product_ID], a.nike.original.man[Rating_Group], "Not Found")</f>
        <v>4 - 5</v>
      </c>
      <c r="D24">
        <f>_xlfn.XLOOKUP(b.nike.views[[#This Row],[product_ID]], a.nike.original.man[Product_ID], a.nike.original.man[Rating], "Not Found")</f>
        <v>5</v>
      </c>
      <c r="E24" s="10">
        <f>ROUND(_xlfn.XLOOKUP(b.nike.views[[#This Row],[product_ID]], a.nike.original.man[Product_ID], a.nike.original.man[Sale Price], "Not Found"), 0)</f>
        <v>120</v>
      </c>
      <c r="F24" s="5" t="str" cm="1">
        <f t="array" ref="F24">_xlfn.IFS(b.nike.views[[#This Row],[Sales_Price]]&lt;=9, "under $10",b.nike.views[[#This Row],[Sales_Price]]&lt;=20, "$20 and under",b.nike.views[[#This Row],[Sales_Price]]&lt;=50, "$50 and under", b.nike.views[[#This Row],[Sales_Price]]&lt;=99, "under $100", b.nike.views[[#This Row],[Sales_Price]]&gt;=100, "$100 +")</f>
        <v>$100 +</v>
      </c>
      <c r="G24">
        <f>COUNTIF(a.nike.original.man[Product_ID], A24)</f>
        <v>1</v>
      </c>
      <c r="H24" t="str" cm="1">
        <f t="array" ref="H24">_xlfn.IFS(b.nike.views[[#This Row],[Review_Count]]&lt;=7, "Below Average",b.nike.views[[#This Row],[Review_Count]]&gt;=8, "Average +")</f>
        <v>Below Average</v>
      </c>
      <c r="I24">
        <f>SUMIF(a.nike.original.man[Product_ID],b.nike.views[[#This Row],[product_ID]], a.nike.original.man[Reviews])</f>
        <v>2</v>
      </c>
      <c r="J24" s="41">
        <f>_xlfn.XLOOKUP(b.nike.views[[#This Row],[product_ID]],a.nike.original.man[Product_ID], a.nike.original.man[Discount %], "Not Found")</f>
        <v>0</v>
      </c>
      <c r="K24" s="41"/>
      <c r="L24" t="s">
        <v>1470</v>
      </c>
    </row>
    <row r="25" spans="1:12" x14ac:dyDescent="0.2">
      <c r="A25" t="s">
        <v>35</v>
      </c>
      <c r="B25" t="str">
        <f>_xlfn.XLOOKUP(b.nike.views[[#This Row],[product_ID]], a.nike.original.man[Product_ID], a.nike.original.man[Product Name], "Not Found")</f>
        <v>Nike Air Max 270 React ENG</v>
      </c>
      <c r="C25" s="5" t="str">
        <f>_xlfn.XLOOKUP(b.nike.views[[#This Row],[product_ID]], a.nike.original.man[Product_ID], a.nike.original.man[Rating_Group], "Not Found")</f>
        <v>4 - 5</v>
      </c>
      <c r="D25">
        <f>_xlfn.XLOOKUP(b.nike.views[[#This Row],[product_ID]], a.nike.original.man[Product_ID], a.nike.original.man[Rating], "Not Found")</f>
        <v>5</v>
      </c>
      <c r="E25" s="10">
        <f>ROUND(_xlfn.XLOOKUP(b.nike.views[[#This Row],[product_ID]], a.nike.original.man[Product_ID], a.nike.original.man[Sale Price], "Not Found"), 0)</f>
        <v>150</v>
      </c>
      <c r="F25" s="5" t="str" cm="1">
        <f t="array" ref="F25">_xlfn.IFS(b.nike.views[[#This Row],[Sales_Price]]&lt;=9, "under $10",b.nike.views[[#This Row],[Sales_Price]]&lt;=20, "$20 and under",b.nike.views[[#This Row],[Sales_Price]]&lt;=50, "$50 and under", b.nike.views[[#This Row],[Sales_Price]]&lt;=99, "under $100", b.nike.views[[#This Row],[Sales_Price]]&gt;=100, "$100 +")</f>
        <v>$100 +</v>
      </c>
      <c r="G25">
        <f>COUNTIF(a.nike.original.man[Product_ID], A25)</f>
        <v>1</v>
      </c>
      <c r="H25" t="str" cm="1">
        <f t="array" ref="H25">_xlfn.IFS(b.nike.views[[#This Row],[Review_Count]]&lt;=7, "Below Average",b.nike.views[[#This Row],[Review_Count]]&gt;=8, "Average +")</f>
        <v>Below Average</v>
      </c>
      <c r="I25">
        <f>SUMIF(a.nike.original.man[Product_ID],b.nike.views[[#This Row],[product_ID]], a.nike.original.man[Reviews])</f>
        <v>2</v>
      </c>
      <c r="J25" s="41">
        <f>_xlfn.XLOOKUP(b.nike.views[[#This Row],[product_ID]],a.nike.original.man[Product_ID], a.nike.original.man[Discount %], "Not Found")</f>
        <v>0</v>
      </c>
      <c r="K25" s="41"/>
      <c r="L25" t="s">
        <v>1470</v>
      </c>
    </row>
    <row r="26" spans="1:12" x14ac:dyDescent="0.2">
      <c r="A26" t="s">
        <v>412</v>
      </c>
      <c r="B26" t="str">
        <f>_xlfn.XLOOKUP(b.nike.views[[#This Row],[product_ID]], a.nike.original.man[Product_ID], a.nike.original.man[Product Name], "Not Found")</f>
        <v>Nike Air Max Verona</v>
      </c>
      <c r="C26" s="5" t="str">
        <f>_xlfn.XLOOKUP(b.nike.views[[#This Row],[product_ID]], a.nike.original.man[Product_ID], a.nike.original.man[Rating_Group], "Not Found")</f>
        <v>4 - 5</v>
      </c>
      <c r="D26">
        <f>_xlfn.XLOOKUP(b.nike.views[[#This Row],[product_ID]], a.nike.original.man[Product_ID], a.nike.original.man[Rating], "Not Found")</f>
        <v>5</v>
      </c>
      <c r="E26" s="10">
        <f>ROUND(_xlfn.XLOOKUP(b.nike.views[[#This Row],[product_ID]], a.nike.original.man[Product_ID], a.nike.original.man[Sale Price], "Not Found"), 0)</f>
        <v>100</v>
      </c>
      <c r="F26" s="5" t="str" cm="1">
        <f t="array" ref="F26">_xlfn.IFS(b.nike.views[[#This Row],[Sales_Price]]&lt;=9, "under $10",b.nike.views[[#This Row],[Sales_Price]]&lt;=20, "$20 and under",b.nike.views[[#This Row],[Sales_Price]]&lt;=50, "$50 and under", b.nike.views[[#This Row],[Sales_Price]]&lt;=99, "under $100", b.nike.views[[#This Row],[Sales_Price]]&gt;=100, "$100 +")</f>
        <v>$100 +</v>
      </c>
      <c r="G26">
        <f>COUNTIF(a.nike.original.man[Product_ID], A26)</f>
        <v>1</v>
      </c>
      <c r="H26" t="str" cm="1">
        <f t="array" ref="H26">_xlfn.IFS(b.nike.views[[#This Row],[Review_Count]]&lt;=7, "Below Average",b.nike.views[[#This Row],[Review_Count]]&gt;=8, "Average +")</f>
        <v>Below Average</v>
      </c>
      <c r="I26">
        <f>SUMIF(a.nike.original.man[Product_ID],b.nike.views[[#This Row],[product_ID]], a.nike.original.man[Reviews])</f>
        <v>2</v>
      </c>
      <c r="J26" s="41">
        <f>_xlfn.XLOOKUP(b.nike.views[[#This Row],[product_ID]],a.nike.original.man[Product_ID], a.nike.original.man[Discount %], "Not Found")</f>
        <v>0</v>
      </c>
      <c r="K26" s="41"/>
      <c r="L26" t="s">
        <v>1470</v>
      </c>
    </row>
    <row r="27" spans="1:12" x14ac:dyDescent="0.2">
      <c r="A27" t="s">
        <v>621</v>
      </c>
      <c r="B27" t="str">
        <f>_xlfn.XLOOKUP(b.nike.views[[#This Row],[product_ID]], a.nike.original.man[Product_ID], a.nike.original.man[Product Name], "Not Found")</f>
        <v>Nike Air Zoom Terra Kiger 6</v>
      </c>
      <c r="C27" s="5" t="str">
        <f>_xlfn.XLOOKUP(b.nike.views[[#This Row],[product_ID]], a.nike.original.man[Product_ID], a.nike.original.man[Rating_Group], "Not Found")</f>
        <v>4 - 5</v>
      </c>
      <c r="D27">
        <f>_xlfn.XLOOKUP(b.nike.views[[#This Row],[product_ID]], a.nike.original.man[Product_ID], a.nike.original.man[Rating], "Not Found")</f>
        <v>5</v>
      </c>
      <c r="E27" s="10">
        <f>ROUND(_xlfn.XLOOKUP(b.nike.views[[#This Row],[product_ID]], a.nike.original.man[Product_ID], a.nike.original.man[Sale Price], "Not Found"), 0)</f>
        <v>110</v>
      </c>
      <c r="F27" s="5" t="str" cm="1">
        <f t="array" ref="F27">_xlfn.IFS(b.nike.views[[#This Row],[Sales_Price]]&lt;=9, "under $10",b.nike.views[[#This Row],[Sales_Price]]&lt;=20, "$20 and under",b.nike.views[[#This Row],[Sales_Price]]&lt;=50, "$50 and under", b.nike.views[[#This Row],[Sales_Price]]&lt;=99, "under $100", b.nike.views[[#This Row],[Sales_Price]]&gt;=100, "$100 +")</f>
        <v>$100 +</v>
      </c>
      <c r="G27">
        <f>COUNTIF(a.nike.original.man[Product_ID], A27)</f>
        <v>1</v>
      </c>
      <c r="H27" t="str" cm="1">
        <f t="array" ref="H27">_xlfn.IFS(b.nike.views[[#This Row],[Review_Count]]&lt;=7, "Below Average",b.nike.views[[#This Row],[Review_Count]]&gt;=8, "Average +")</f>
        <v>Below Average</v>
      </c>
      <c r="I27">
        <f>SUMIF(a.nike.original.man[Product_ID],b.nike.views[[#This Row],[product_ID]], a.nike.original.man[Reviews])</f>
        <v>2</v>
      </c>
      <c r="J27" s="41">
        <f>_xlfn.XLOOKUP(b.nike.views[[#This Row],[product_ID]],a.nike.original.man[Product_ID], a.nike.original.man[Discount %], "Not Found")</f>
        <v>0</v>
      </c>
      <c r="K27" s="41"/>
      <c r="L27" t="s">
        <v>1470</v>
      </c>
    </row>
    <row r="28" spans="1:12" x14ac:dyDescent="0.2">
      <c r="A28" t="s">
        <v>196</v>
      </c>
      <c r="B28" t="str">
        <f>_xlfn.XLOOKUP(b.nike.views[[#This Row],[product_ID]], a.nike.original.man[Product_ID], a.nike.original.man[Product Name], "Not Found")</f>
        <v>Nike Air Max 90 Premium</v>
      </c>
      <c r="C28" s="5" t="str">
        <f>_xlfn.XLOOKUP(b.nike.views[[#This Row],[product_ID]], a.nike.original.man[Product_ID], a.nike.original.man[Rating_Group], "Not Found")</f>
        <v>4 - 5</v>
      </c>
      <c r="D28">
        <f>_xlfn.XLOOKUP(b.nike.views[[#This Row],[product_ID]], a.nike.original.man[Product_ID], a.nike.original.man[Rating], "Not Found")</f>
        <v>5</v>
      </c>
      <c r="E28" s="10">
        <f>ROUND(_xlfn.XLOOKUP(b.nike.views[[#This Row],[product_ID]], a.nike.original.man[Product_ID], a.nike.original.man[Sale Price], "Not Found"), 0)</f>
        <v>120</v>
      </c>
      <c r="F28" s="5" t="str" cm="1">
        <f t="array" ref="F28">_xlfn.IFS(b.nike.views[[#This Row],[Sales_Price]]&lt;=9, "under $10",b.nike.views[[#This Row],[Sales_Price]]&lt;=20, "$20 and under",b.nike.views[[#This Row],[Sales_Price]]&lt;=50, "$50 and under", b.nike.views[[#This Row],[Sales_Price]]&lt;=99, "under $100", b.nike.views[[#This Row],[Sales_Price]]&gt;=100, "$100 +")</f>
        <v>$100 +</v>
      </c>
      <c r="G28">
        <f>COUNTIF(a.nike.original.man[Product_ID], A28)</f>
        <v>1</v>
      </c>
      <c r="H28" t="str" cm="1">
        <f t="array" ref="H28">_xlfn.IFS(b.nike.views[[#This Row],[Review_Count]]&lt;=7, "Below Average",b.nike.views[[#This Row],[Review_Count]]&gt;=8, "Average +")</f>
        <v>Below Average</v>
      </c>
      <c r="I28">
        <f>SUMIF(a.nike.original.man[Product_ID],b.nike.views[[#This Row],[product_ID]], a.nike.original.man[Reviews])</f>
        <v>2</v>
      </c>
      <c r="J28" s="41">
        <f>_xlfn.XLOOKUP(b.nike.views[[#This Row],[product_ID]],a.nike.original.man[Product_ID], a.nike.original.man[Discount %], "Not Found")</f>
        <v>0</v>
      </c>
      <c r="K28" s="41"/>
      <c r="L28" t="s">
        <v>1470</v>
      </c>
    </row>
    <row r="29" spans="1:12" x14ac:dyDescent="0.2">
      <c r="A29" t="s">
        <v>779</v>
      </c>
      <c r="B29" t="str">
        <f>_xlfn.XLOOKUP(b.nike.views[[#This Row],[product_ID]], a.nike.original.man[Product_ID], a.nike.original.man[Product Name], "Not Found")</f>
        <v>Nike Tiempo Legend 8 Academy IC</v>
      </c>
      <c r="C29" s="5" t="str">
        <f>_xlfn.XLOOKUP(b.nike.views[[#This Row],[product_ID]], a.nike.original.man[Product_ID], a.nike.original.man[Rating_Group], "Not Found")</f>
        <v>4 - 5</v>
      </c>
      <c r="D29">
        <f>_xlfn.XLOOKUP(b.nike.views[[#This Row],[product_ID]], a.nike.original.man[Product_ID], a.nike.original.man[Rating], "Not Found")</f>
        <v>5</v>
      </c>
      <c r="E29" s="10">
        <f>ROUND(_xlfn.XLOOKUP(b.nike.views[[#This Row],[product_ID]], a.nike.original.man[Product_ID], a.nike.original.man[Sale Price], "Not Found"), 0)</f>
        <v>65</v>
      </c>
      <c r="F29" s="5" t="str" cm="1">
        <f t="array" ref="F29">_xlfn.IFS(b.nike.views[[#This Row],[Sales_Price]]&lt;=9, "under $10",b.nike.views[[#This Row],[Sales_Price]]&lt;=20, "$20 and under",b.nike.views[[#This Row],[Sales_Price]]&lt;=50, "$50 and under", b.nike.views[[#This Row],[Sales_Price]]&lt;=99, "under $100", b.nike.views[[#This Row],[Sales_Price]]&gt;=100, "$100 +")</f>
        <v>under $100</v>
      </c>
      <c r="G29">
        <f>COUNTIF(a.nike.original.man[Product_ID], A29)</f>
        <v>2</v>
      </c>
      <c r="H29" t="str" cm="1">
        <f t="array" ref="H29">_xlfn.IFS(b.nike.views[[#This Row],[Review_Count]]&lt;=7, "Below Average",b.nike.views[[#This Row],[Review_Count]]&gt;=8, "Average +")</f>
        <v>Below Average</v>
      </c>
      <c r="I29">
        <f>SUMIF(a.nike.original.man[Product_ID],b.nike.views[[#This Row],[product_ID]], a.nike.original.man[Reviews])</f>
        <v>2</v>
      </c>
      <c r="J29" s="41">
        <f>_xlfn.XLOOKUP(b.nike.views[[#This Row],[product_ID]],a.nike.original.man[Product_ID], a.nike.original.man[Discount %], "Not Found")</f>
        <v>0</v>
      </c>
      <c r="K29" s="41"/>
      <c r="L29" t="s">
        <v>1470</v>
      </c>
    </row>
    <row r="30" spans="1:12" x14ac:dyDescent="0.2">
      <c r="A30" t="s">
        <v>426</v>
      </c>
      <c r="B30" t="str">
        <f>_xlfn.XLOOKUP(b.nike.views[[#This Row],[product_ID]], a.nike.original.man[Product_ID], a.nike.original.man[Product Name], "Not Found")</f>
        <v>Nike Air Max Plus III</v>
      </c>
      <c r="C30" s="5" t="str">
        <f>_xlfn.XLOOKUP(b.nike.views[[#This Row],[product_ID]], a.nike.original.man[Product_ID], a.nike.original.man[Rating_Group], "Not Found")</f>
        <v>4 - 5</v>
      </c>
      <c r="D30">
        <f>_xlfn.XLOOKUP(b.nike.views[[#This Row],[product_ID]], a.nike.original.man[Product_ID], a.nike.original.man[Rating], "Not Found")</f>
        <v>5</v>
      </c>
      <c r="E30" s="10">
        <f>ROUND(_xlfn.XLOOKUP(b.nike.views[[#This Row],[product_ID]], a.nike.original.man[Product_ID], a.nike.original.man[Sale Price], "Not Found"), 0)</f>
        <v>112</v>
      </c>
      <c r="F30" s="5" t="str" cm="1">
        <f t="array" ref="F30">_xlfn.IFS(b.nike.views[[#This Row],[Sales_Price]]&lt;=9, "under $10",b.nike.views[[#This Row],[Sales_Price]]&lt;=20, "$20 and under",b.nike.views[[#This Row],[Sales_Price]]&lt;=50, "$50 and under", b.nike.views[[#This Row],[Sales_Price]]&lt;=99, "under $100", b.nike.views[[#This Row],[Sales_Price]]&gt;=100, "$100 +")</f>
        <v>$100 +</v>
      </c>
      <c r="G30">
        <f>COUNTIF(a.nike.original.man[Product_ID], A30)</f>
        <v>1</v>
      </c>
      <c r="H30" t="str" cm="1">
        <f t="array" ref="H30">_xlfn.IFS(b.nike.views[[#This Row],[Review_Count]]&lt;=7, "Below Average",b.nike.views[[#This Row],[Review_Count]]&gt;=8, "Average +")</f>
        <v>Below Average</v>
      </c>
      <c r="I30">
        <f>SUMIF(a.nike.original.man[Product_ID],b.nike.views[[#This Row],[product_ID]], a.nike.original.man[Reviews])</f>
        <v>2</v>
      </c>
      <c r="J30" s="41">
        <f>_xlfn.XLOOKUP(b.nike.views[[#This Row],[product_ID]],a.nike.original.man[Product_ID], a.nike.original.man[Discount %], "Not Found")</f>
        <v>0.3</v>
      </c>
      <c r="K30" s="41"/>
      <c r="L30" t="s">
        <v>1470</v>
      </c>
    </row>
    <row r="31" spans="1:12" x14ac:dyDescent="0.2">
      <c r="A31" t="s">
        <v>518</v>
      </c>
      <c r="B31" t="str">
        <f>_xlfn.XLOOKUP(b.nike.views[[#This Row],[product_ID]], a.nike.original.man[Product_ID], a.nike.original.man[Product Name], "Not Found")</f>
        <v>Nike Phantom Vision Club Dynamic Fit FG</v>
      </c>
      <c r="C31" s="5" t="str">
        <f>_xlfn.XLOOKUP(b.nike.views[[#This Row],[product_ID]], a.nike.original.man[Product_ID], a.nike.original.man[Rating_Group], "Not Found")</f>
        <v>4 - 5</v>
      </c>
      <c r="D31">
        <f>_xlfn.XLOOKUP(b.nike.views[[#This Row],[product_ID]], a.nike.original.man[Product_ID], a.nike.original.man[Rating], "Not Found")</f>
        <v>5</v>
      </c>
      <c r="E31" s="10">
        <f>ROUND(_xlfn.XLOOKUP(b.nike.views[[#This Row],[product_ID]], a.nike.original.man[Product_ID], a.nike.original.man[Sale Price], "Not Found"), 0)</f>
        <v>45</v>
      </c>
      <c r="F31" s="5" t="str" cm="1">
        <f t="array" ref="F31">_xlfn.IFS(b.nike.views[[#This Row],[Sales_Price]]&lt;=9, "under $10",b.nike.views[[#This Row],[Sales_Price]]&lt;=20, "$20 and under",b.nike.views[[#This Row],[Sales_Price]]&lt;=50, "$50 and under", b.nike.views[[#This Row],[Sales_Price]]&lt;=99, "under $100", b.nike.views[[#This Row],[Sales_Price]]&gt;=100, "$100 +")</f>
        <v>$50 and under</v>
      </c>
      <c r="G31">
        <f>COUNTIF(a.nike.original.man[Product_ID], A31)</f>
        <v>2</v>
      </c>
      <c r="H31" t="str" cm="1">
        <f t="array" ref="H31">_xlfn.IFS(b.nike.views[[#This Row],[Review_Count]]&lt;=7, "Below Average",b.nike.views[[#This Row],[Review_Count]]&gt;=8, "Average +")</f>
        <v>Below Average</v>
      </c>
      <c r="I31">
        <f>SUMIF(a.nike.original.man[Product_ID],b.nike.views[[#This Row],[product_ID]], a.nike.original.man[Reviews])</f>
        <v>2</v>
      </c>
      <c r="J31" s="41">
        <f>_xlfn.XLOOKUP(b.nike.views[[#This Row],[product_ID]],a.nike.original.man[Product_ID], a.nike.original.man[Discount %], "Not Found")</f>
        <v>0.25</v>
      </c>
      <c r="K31" s="41"/>
      <c r="L31" t="s">
        <v>1470</v>
      </c>
    </row>
    <row r="32" spans="1:12" x14ac:dyDescent="0.2">
      <c r="A32" t="s">
        <v>527</v>
      </c>
      <c r="B32" t="str">
        <f>_xlfn.XLOOKUP(b.nike.views[[#This Row],[product_ID]], a.nike.original.man[Product_ID], a.nike.original.man[Product Name], "Not Found")</f>
        <v>Nike Mercurial Superfly 7 Academy IC</v>
      </c>
      <c r="C32" s="5" t="str">
        <f>_xlfn.XLOOKUP(b.nike.views[[#This Row],[product_ID]], a.nike.original.man[Product_ID], a.nike.original.man[Rating_Group], "Not Found")</f>
        <v>4 - 5</v>
      </c>
      <c r="D32">
        <f>_xlfn.XLOOKUP(b.nike.views[[#This Row],[product_ID]], a.nike.original.man[Product_ID], a.nike.original.man[Rating], "Not Found")</f>
        <v>5</v>
      </c>
      <c r="E32" s="10">
        <f>ROUND(_xlfn.XLOOKUP(b.nike.views[[#This Row],[product_ID]], a.nike.original.man[Product_ID], a.nike.original.man[Sale Price], "Not Found"), 0)</f>
        <v>85</v>
      </c>
      <c r="F32" s="5" t="str" cm="1">
        <f t="array" ref="F32">_xlfn.IFS(b.nike.views[[#This Row],[Sales_Price]]&lt;=9, "under $10",b.nike.views[[#This Row],[Sales_Price]]&lt;=20, "$20 and under",b.nike.views[[#This Row],[Sales_Price]]&lt;=50, "$50 and under", b.nike.views[[#This Row],[Sales_Price]]&lt;=99, "under $100", b.nike.views[[#This Row],[Sales_Price]]&gt;=100, "$100 +")</f>
        <v>under $100</v>
      </c>
      <c r="G32">
        <f>COUNTIF(a.nike.original.man[Product_ID], A32)</f>
        <v>2</v>
      </c>
      <c r="H32" t="str" cm="1">
        <f t="array" ref="H32">_xlfn.IFS(b.nike.views[[#This Row],[Review_Count]]&lt;=7, "Below Average",b.nike.views[[#This Row],[Review_Count]]&gt;=8, "Average +")</f>
        <v>Below Average</v>
      </c>
      <c r="I32">
        <f>SUMIF(a.nike.original.man[Product_ID],b.nike.views[[#This Row],[product_ID]], a.nike.original.man[Reviews])</f>
        <v>2</v>
      </c>
      <c r="J32" s="41">
        <f>_xlfn.XLOOKUP(b.nike.views[[#This Row],[product_ID]],a.nike.original.man[Product_ID], a.nike.original.man[Discount %], "Not Found")</f>
        <v>0</v>
      </c>
      <c r="K32" s="41"/>
      <c r="L32" t="s">
        <v>1470</v>
      </c>
    </row>
    <row r="33" spans="1:12" x14ac:dyDescent="0.2">
      <c r="A33" t="s">
        <v>681</v>
      </c>
      <c r="B33" t="str">
        <f>_xlfn.XLOOKUP(b.nike.views[[#This Row],[product_ID]], a.nike.original.man[Product_ID], a.nike.original.man[Product Name], "Not Found")</f>
        <v>Nike SB Zoom Stefan Janoski Mid RM</v>
      </c>
      <c r="C33" s="5" t="str">
        <f>_xlfn.XLOOKUP(b.nike.views[[#This Row],[product_ID]], a.nike.original.man[Product_ID], a.nike.original.man[Rating_Group], "Not Found")</f>
        <v>4 - 5</v>
      </c>
      <c r="D33">
        <f>_xlfn.XLOOKUP(b.nike.views[[#This Row],[product_ID]], a.nike.original.man[Product_ID], a.nike.original.man[Rating], "Not Found")</f>
        <v>5</v>
      </c>
      <c r="E33" s="10">
        <f>ROUND(_xlfn.XLOOKUP(b.nike.views[[#This Row],[product_ID]], a.nike.original.man[Product_ID], a.nike.original.man[Sale Price], "Not Found"), 0)</f>
        <v>64</v>
      </c>
      <c r="F33" s="5" t="str" cm="1">
        <f t="array" ref="F33">_xlfn.IFS(b.nike.views[[#This Row],[Sales_Price]]&lt;=9, "under $10",b.nike.views[[#This Row],[Sales_Price]]&lt;=20, "$20 and under",b.nike.views[[#This Row],[Sales_Price]]&lt;=50, "$50 and under", b.nike.views[[#This Row],[Sales_Price]]&lt;=99, "under $100", b.nike.views[[#This Row],[Sales_Price]]&gt;=100, "$100 +")</f>
        <v>under $100</v>
      </c>
      <c r="G33">
        <f>COUNTIF(a.nike.original.man[Product_ID], A33)</f>
        <v>2</v>
      </c>
      <c r="H33" t="str" cm="1">
        <f t="array" ref="H33">_xlfn.IFS(b.nike.views[[#This Row],[Review_Count]]&lt;=7, "Below Average",b.nike.views[[#This Row],[Review_Count]]&gt;=8, "Average +")</f>
        <v>Below Average</v>
      </c>
      <c r="I33">
        <f>SUMIF(a.nike.original.man[Product_ID],b.nike.views[[#This Row],[product_ID]], a.nike.original.man[Reviews])</f>
        <v>2</v>
      </c>
      <c r="J33" s="41">
        <f>_xlfn.XLOOKUP(b.nike.views[[#This Row],[product_ID]],a.nike.original.man[Product_ID], a.nike.original.man[Discount %], "Not Found")</f>
        <v>0.2</v>
      </c>
      <c r="K33" s="41"/>
      <c r="L33" t="s">
        <v>1470</v>
      </c>
    </row>
    <row r="34" spans="1:12" x14ac:dyDescent="0.2">
      <c r="A34" t="s">
        <v>740</v>
      </c>
      <c r="B34" t="str">
        <f>_xlfn.XLOOKUP(b.nike.views[[#This Row],[product_ID]], a.nike.original.man[Product_ID], a.nike.original.man[Product Name], "Not Found")</f>
        <v>Nike Phantom Vision 2 Elite Dynamic Fit FG</v>
      </c>
      <c r="C34" s="5" t="str">
        <f>_xlfn.XLOOKUP(b.nike.views[[#This Row],[product_ID]], a.nike.original.man[Product_ID], a.nike.original.man[Rating_Group], "Not Found")</f>
        <v>4 - 5</v>
      </c>
      <c r="D34">
        <f>_xlfn.XLOOKUP(b.nike.views[[#This Row],[product_ID]], a.nike.original.man[Product_ID], a.nike.original.man[Rating], "Not Found")</f>
        <v>5</v>
      </c>
      <c r="E34" s="10">
        <f>ROUND(_xlfn.XLOOKUP(b.nike.views[[#This Row],[product_ID]], a.nike.original.man[Product_ID], a.nike.original.man[Sale Price], "Not Found"), 0)</f>
        <v>230</v>
      </c>
      <c r="F34" s="5" t="str" cm="1">
        <f t="array" ref="F34">_xlfn.IFS(b.nike.views[[#This Row],[Sales_Price]]&lt;=9, "under $10",b.nike.views[[#This Row],[Sales_Price]]&lt;=20, "$20 and under",b.nike.views[[#This Row],[Sales_Price]]&lt;=50, "$50 and under", b.nike.views[[#This Row],[Sales_Price]]&lt;=99, "under $100", b.nike.views[[#This Row],[Sales_Price]]&gt;=100, "$100 +")</f>
        <v>$100 +</v>
      </c>
      <c r="G34">
        <f>COUNTIF(a.nike.original.man[Product_ID], A34)</f>
        <v>2</v>
      </c>
      <c r="H34" t="str" cm="1">
        <f t="array" ref="H34">_xlfn.IFS(b.nike.views[[#This Row],[Review_Count]]&lt;=7, "Below Average",b.nike.views[[#This Row],[Review_Count]]&gt;=8, "Average +")</f>
        <v>Below Average</v>
      </c>
      <c r="I34">
        <f>SUMIF(a.nike.original.man[Product_ID],b.nike.views[[#This Row],[product_ID]], a.nike.original.man[Reviews])</f>
        <v>2</v>
      </c>
      <c r="J34" s="41">
        <f>_xlfn.XLOOKUP(b.nike.views[[#This Row],[product_ID]],a.nike.original.man[Product_ID], a.nike.original.man[Discount %], "Not Found")</f>
        <v>0</v>
      </c>
      <c r="K34" s="41"/>
      <c r="L34" t="s">
        <v>1470</v>
      </c>
    </row>
    <row r="35" spans="1:12" x14ac:dyDescent="0.2">
      <c r="A35" t="s">
        <v>838</v>
      </c>
      <c r="B35" t="str">
        <f>_xlfn.XLOOKUP(b.nike.views[[#This Row],[product_ID]], a.nike.original.man[Product_ID], a.nike.original.man[Product Name], "Not Found")</f>
        <v>Nike Mercurial Superfly 7 Elite MDS FG</v>
      </c>
      <c r="C35" s="5" t="str">
        <f>_xlfn.XLOOKUP(b.nike.views[[#This Row],[product_ID]], a.nike.original.man[Product_ID], a.nike.original.man[Rating_Group], "Not Found")</f>
        <v>4 - 5</v>
      </c>
      <c r="D35">
        <f>_xlfn.XLOOKUP(b.nike.views[[#This Row],[product_ID]], a.nike.original.man[Product_ID], a.nike.original.man[Rating], "Not Found")</f>
        <v>5</v>
      </c>
      <c r="E35" s="10">
        <f>ROUND(_xlfn.XLOOKUP(b.nike.views[[#This Row],[product_ID]], a.nike.original.man[Product_ID], a.nike.original.man[Sale Price], "Not Found"), 0)</f>
        <v>250</v>
      </c>
      <c r="F35" s="5" t="str" cm="1">
        <f t="array" ref="F35">_xlfn.IFS(b.nike.views[[#This Row],[Sales_Price]]&lt;=9, "under $10",b.nike.views[[#This Row],[Sales_Price]]&lt;=20, "$20 and under",b.nike.views[[#This Row],[Sales_Price]]&lt;=50, "$50 and under", b.nike.views[[#This Row],[Sales_Price]]&lt;=99, "under $100", b.nike.views[[#This Row],[Sales_Price]]&gt;=100, "$100 +")</f>
        <v>$100 +</v>
      </c>
      <c r="G35">
        <f>COUNTIF(a.nike.original.man[Product_ID], A35)</f>
        <v>2</v>
      </c>
      <c r="H35" t="str" cm="1">
        <f t="array" ref="H35">_xlfn.IFS(b.nike.views[[#This Row],[Review_Count]]&lt;=7, "Below Average",b.nike.views[[#This Row],[Review_Count]]&gt;=8, "Average +")</f>
        <v>Below Average</v>
      </c>
      <c r="I35">
        <f>SUMIF(a.nike.original.man[Product_ID],b.nike.views[[#This Row],[product_ID]], a.nike.original.man[Reviews])</f>
        <v>2</v>
      </c>
      <c r="J35" s="41">
        <f>_xlfn.XLOOKUP(b.nike.views[[#This Row],[product_ID]],a.nike.original.man[Product_ID], a.nike.original.man[Discount %], "Not Found")</f>
        <v>0</v>
      </c>
      <c r="K35" s="41"/>
      <c r="L35" t="s">
        <v>1470</v>
      </c>
    </row>
    <row r="36" spans="1:12" x14ac:dyDescent="0.2">
      <c r="A36" t="s">
        <v>858</v>
      </c>
      <c r="B36" t="str">
        <f>_xlfn.XLOOKUP(b.nike.views[[#This Row],[product_ID]], a.nike.original.man[Product_ID], a.nike.original.man[Product Name], "Not Found")</f>
        <v>Nike Air Max 720 BETRUE</v>
      </c>
      <c r="C36" s="5" t="str">
        <f>_xlfn.XLOOKUP(b.nike.views[[#This Row],[product_ID]], a.nike.original.man[Product_ID], a.nike.original.man[Rating_Group], "Not Found")</f>
        <v>4 - 5</v>
      </c>
      <c r="D36">
        <f>_xlfn.XLOOKUP(b.nike.views[[#This Row],[product_ID]], a.nike.original.man[Product_ID], a.nike.original.man[Rating], "Not Found")</f>
        <v>5</v>
      </c>
      <c r="E36" s="10">
        <f>ROUND(_xlfn.XLOOKUP(b.nike.views[[#This Row],[product_ID]], a.nike.original.man[Product_ID], a.nike.original.man[Sale Price], "Not Found"), 0)</f>
        <v>160</v>
      </c>
      <c r="F36" s="5" t="str" cm="1">
        <f t="array" ref="F36">_xlfn.IFS(b.nike.views[[#This Row],[Sales_Price]]&lt;=9, "under $10",b.nike.views[[#This Row],[Sales_Price]]&lt;=20, "$20 and under",b.nike.views[[#This Row],[Sales_Price]]&lt;=50, "$50 and under", b.nike.views[[#This Row],[Sales_Price]]&lt;=99, "under $100", b.nike.views[[#This Row],[Sales_Price]]&gt;=100, "$100 +")</f>
        <v>$100 +</v>
      </c>
      <c r="G36">
        <f>COUNTIF(a.nike.original.man[Product_ID], A36)</f>
        <v>2</v>
      </c>
      <c r="H36" t="str" cm="1">
        <f t="array" ref="H36">_xlfn.IFS(b.nike.views[[#This Row],[Review_Count]]&lt;=7, "Below Average",b.nike.views[[#This Row],[Review_Count]]&gt;=8, "Average +")</f>
        <v>Below Average</v>
      </c>
      <c r="I36">
        <f>SUMIF(a.nike.original.man[Product_ID],b.nike.views[[#This Row],[product_ID]], a.nike.original.man[Reviews])</f>
        <v>2</v>
      </c>
      <c r="J36" s="41">
        <f>_xlfn.XLOOKUP(b.nike.views[[#This Row],[product_ID]],a.nike.original.man[Product_ID], a.nike.original.man[Discount %], "Not Found")</f>
        <v>0</v>
      </c>
      <c r="K36" s="41"/>
      <c r="L36" t="s">
        <v>1470</v>
      </c>
    </row>
    <row r="37" spans="1:12" x14ac:dyDescent="0.2">
      <c r="A37" t="s">
        <v>981</v>
      </c>
      <c r="B37" t="str">
        <f>_xlfn.XLOOKUP(b.nike.views[[#This Row],[product_ID]], a.nike.original.man[Product_ID], a.nike.original.man[Product Name], "Not Found")</f>
        <v>Nike Mercurial Superfly 7 Academy TF</v>
      </c>
      <c r="C37" s="5" t="str">
        <f>_xlfn.XLOOKUP(b.nike.views[[#This Row],[product_ID]], a.nike.original.man[Product_ID], a.nike.original.man[Rating_Group], "Not Found")</f>
        <v>4 - 5</v>
      </c>
      <c r="D37">
        <f>_xlfn.XLOOKUP(b.nike.views[[#This Row],[product_ID]], a.nike.original.man[Product_ID], a.nike.original.man[Rating], "Not Found")</f>
        <v>5</v>
      </c>
      <c r="E37" s="10">
        <f>ROUND(_xlfn.XLOOKUP(b.nike.views[[#This Row],[product_ID]], a.nike.original.man[Product_ID], a.nike.original.man[Sale Price], "Not Found"), 0)</f>
        <v>59</v>
      </c>
      <c r="F37" s="5" t="str" cm="1">
        <f t="array" ref="F37">_xlfn.IFS(b.nike.views[[#This Row],[Sales_Price]]&lt;=9, "under $10",b.nike.views[[#This Row],[Sales_Price]]&lt;=20, "$20 and under",b.nike.views[[#This Row],[Sales_Price]]&lt;=50, "$50 and under", b.nike.views[[#This Row],[Sales_Price]]&lt;=99, "under $100", b.nike.views[[#This Row],[Sales_Price]]&gt;=100, "$100 +")</f>
        <v>under $100</v>
      </c>
      <c r="G37">
        <f>COUNTIF(a.nike.original.man[Product_ID], A37)</f>
        <v>2</v>
      </c>
      <c r="H37" t="str" cm="1">
        <f t="array" ref="H37">_xlfn.IFS(b.nike.views[[#This Row],[Review_Count]]&lt;=7, "Below Average",b.nike.views[[#This Row],[Review_Count]]&gt;=8, "Average +")</f>
        <v>Below Average</v>
      </c>
      <c r="I37">
        <f>SUMIF(a.nike.original.man[Product_ID],b.nike.views[[#This Row],[product_ID]], a.nike.original.man[Reviews])</f>
        <v>2</v>
      </c>
      <c r="J37" s="41">
        <f>_xlfn.XLOOKUP(b.nike.views[[#This Row],[product_ID]],a.nike.original.man[Product_ID], a.nike.original.man[Discount %], "Not Found")</f>
        <v>0.3</v>
      </c>
      <c r="K37" s="41"/>
      <c r="L37" t="s">
        <v>1470</v>
      </c>
    </row>
    <row r="38" spans="1:12" x14ac:dyDescent="0.2">
      <c r="A38" t="s">
        <v>1037</v>
      </c>
      <c r="B38" t="str">
        <f>_xlfn.XLOOKUP(b.nike.views[[#This Row],[product_ID]], a.nike.original.man[Product_ID], a.nike.original.man[Product Name], "Not Found")</f>
        <v>Nike SB Air Zoom Bruin Edge</v>
      </c>
      <c r="C38" s="5" t="str">
        <f>_xlfn.XLOOKUP(b.nike.views[[#This Row],[product_ID]], a.nike.original.man[Product_ID], a.nike.original.man[Rating_Group], "Not Found")</f>
        <v>4 - 5</v>
      </c>
      <c r="D38">
        <f>_xlfn.XLOOKUP(b.nike.views[[#This Row],[product_ID]], a.nike.original.man[Product_ID], a.nike.original.man[Rating], "Not Found")</f>
        <v>5</v>
      </c>
      <c r="E38" s="10">
        <f>ROUND(_xlfn.XLOOKUP(b.nike.views[[#This Row],[product_ID]], a.nike.original.man[Product_ID], a.nike.original.man[Sale Price], "Not Found"), 0)</f>
        <v>80</v>
      </c>
      <c r="F38" s="5" t="str" cm="1">
        <f t="array" ref="F38">_xlfn.IFS(b.nike.views[[#This Row],[Sales_Price]]&lt;=9, "under $10",b.nike.views[[#This Row],[Sales_Price]]&lt;=20, "$20 and under",b.nike.views[[#This Row],[Sales_Price]]&lt;=50, "$50 and under", b.nike.views[[#This Row],[Sales_Price]]&lt;=99, "under $100", b.nike.views[[#This Row],[Sales_Price]]&gt;=100, "$100 +")</f>
        <v>under $100</v>
      </c>
      <c r="G38">
        <f>COUNTIF(a.nike.original.man[Product_ID], A38)</f>
        <v>2</v>
      </c>
      <c r="H38" t="str" cm="1">
        <f t="array" ref="H38">_xlfn.IFS(b.nike.views[[#This Row],[Review_Count]]&lt;=7, "Below Average",b.nike.views[[#This Row],[Review_Count]]&gt;=8, "Average +")</f>
        <v>Below Average</v>
      </c>
      <c r="I38">
        <f>SUMIF(a.nike.original.man[Product_ID],b.nike.views[[#This Row],[product_ID]], a.nike.original.man[Reviews])</f>
        <v>2</v>
      </c>
      <c r="J38" s="41">
        <f>_xlfn.XLOOKUP(b.nike.views[[#This Row],[product_ID]],a.nike.original.man[Product_ID], a.nike.original.man[Discount %], "Not Found")</f>
        <v>0</v>
      </c>
      <c r="K38" s="41"/>
      <c r="L38" t="s">
        <v>1470</v>
      </c>
    </row>
    <row r="39" spans="1:12" x14ac:dyDescent="0.2">
      <c r="A39" t="s">
        <v>159</v>
      </c>
      <c r="B39" t="str">
        <f>_xlfn.XLOOKUP(b.nike.views[[#This Row],[product_ID]], a.nike.original.man[Product_ID], a.nike.original.man[Product Name], "Not Found")</f>
        <v>Jordan 'Why Not?' Zer0.3 PF</v>
      </c>
      <c r="C39" s="5" t="str">
        <f>_xlfn.XLOOKUP(b.nike.views[[#This Row],[product_ID]], a.nike.original.man[Product_ID], a.nike.original.man[Rating_Group], "Not Found")</f>
        <v>4 - 5</v>
      </c>
      <c r="D39">
        <f>_xlfn.XLOOKUP(b.nike.views[[#This Row],[product_ID]], a.nike.original.man[Product_ID], a.nike.original.man[Rating], "Not Found")</f>
        <v>5</v>
      </c>
      <c r="E39" s="10">
        <f>ROUND(_xlfn.XLOOKUP(b.nike.views[[#This Row],[product_ID]], a.nike.original.man[Product_ID], a.nike.original.man[Sale Price], "Not Found"), 0)</f>
        <v>110</v>
      </c>
      <c r="F39" s="5" t="str" cm="1">
        <f t="array" ref="F39">_xlfn.IFS(b.nike.views[[#This Row],[Sales_Price]]&lt;=9, "under $10",b.nike.views[[#This Row],[Sales_Price]]&lt;=20, "$20 and under",b.nike.views[[#This Row],[Sales_Price]]&lt;=50, "$50 and under", b.nike.views[[#This Row],[Sales_Price]]&lt;=99, "under $100", b.nike.views[[#This Row],[Sales_Price]]&gt;=100, "$100 +")</f>
        <v>$100 +</v>
      </c>
      <c r="G39">
        <f>COUNTIF(a.nike.original.man[Product_ID], A39)</f>
        <v>1</v>
      </c>
      <c r="H39" t="str" cm="1">
        <f t="array" ref="H39">_xlfn.IFS(b.nike.views[[#This Row],[Review_Count]]&lt;=7, "Below Average",b.nike.views[[#This Row],[Review_Count]]&gt;=8, "Average +")</f>
        <v>Below Average</v>
      </c>
      <c r="I39">
        <f>SUMIF(a.nike.original.man[Product_ID],b.nike.views[[#This Row],[product_ID]], a.nike.original.man[Reviews])</f>
        <v>2</v>
      </c>
      <c r="J39" s="41">
        <f>_xlfn.XLOOKUP(b.nike.views[[#This Row],[product_ID]],a.nike.original.man[Product_ID], a.nike.original.man[Discount %], "Not Found")</f>
        <v>0</v>
      </c>
      <c r="K39" s="41"/>
      <c r="L39" t="s">
        <v>1470</v>
      </c>
    </row>
    <row r="40" spans="1:12" x14ac:dyDescent="0.2">
      <c r="A40" t="s">
        <v>252</v>
      </c>
      <c r="B40" t="str">
        <f>_xlfn.XLOOKUP(b.nike.views[[#This Row],[product_ID]], a.nike.original.man[Product_ID], a.nike.original.man[Product Name], "Not Found")</f>
        <v>Nike ISPA Joyride Envelope</v>
      </c>
      <c r="C40" s="5" t="str">
        <f>_xlfn.XLOOKUP(b.nike.views[[#This Row],[product_ID]], a.nike.original.man[Product_ID], a.nike.original.man[Rating_Group], "Not Found")</f>
        <v>4 - 5</v>
      </c>
      <c r="D40">
        <f>_xlfn.XLOOKUP(b.nike.views[[#This Row],[product_ID]], a.nike.original.man[Product_ID], a.nike.original.man[Rating], "Not Found")</f>
        <v>5</v>
      </c>
      <c r="E40" s="10">
        <f>ROUND(_xlfn.XLOOKUP(b.nike.views[[#This Row],[product_ID]], a.nike.original.man[Product_ID], a.nike.original.man[Sale Price], "Not Found"), 0)</f>
        <v>136</v>
      </c>
      <c r="F40" s="5" t="str" cm="1">
        <f t="array" ref="F40">_xlfn.IFS(b.nike.views[[#This Row],[Sales_Price]]&lt;=9, "under $10",b.nike.views[[#This Row],[Sales_Price]]&lt;=20, "$20 and under",b.nike.views[[#This Row],[Sales_Price]]&lt;=50, "$50 and under", b.nike.views[[#This Row],[Sales_Price]]&lt;=99, "under $100", b.nike.views[[#This Row],[Sales_Price]]&gt;=100, "$100 +")</f>
        <v>$100 +</v>
      </c>
      <c r="G40">
        <f>COUNTIF(a.nike.original.man[Product_ID], A40)</f>
        <v>1</v>
      </c>
      <c r="H40" t="str" cm="1">
        <f t="array" ref="H40">_xlfn.IFS(b.nike.views[[#This Row],[Review_Count]]&lt;=7, "Below Average",b.nike.views[[#This Row],[Review_Count]]&gt;=8, "Average +")</f>
        <v>Below Average</v>
      </c>
      <c r="I40">
        <f>SUMIF(a.nike.original.man[Product_ID],b.nike.views[[#This Row],[product_ID]], a.nike.original.man[Reviews])</f>
        <v>2</v>
      </c>
      <c r="J40" s="41">
        <f>_xlfn.XLOOKUP(b.nike.views[[#This Row],[product_ID]],a.nike.original.man[Product_ID], a.nike.original.man[Discount %], "Not Found")</f>
        <v>0.2</v>
      </c>
      <c r="K40" s="41"/>
      <c r="L40" t="s">
        <v>1470</v>
      </c>
    </row>
    <row r="41" spans="1:12" x14ac:dyDescent="0.2">
      <c r="A41" t="s">
        <v>867</v>
      </c>
      <c r="B41" t="str">
        <f>_xlfn.XLOOKUP(b.nike.views[[#This Row],[product_ID]], a.nike.original.man[Product_ID], a.nike.original.man[Product Name], "Not Found")</f>
        <v>Nike EXP-X14 SE</v>
      </c>
      <c r="C41" s="5" t="str">
        <f>_xlfn.XLOOKUP(b.nike.views[[#This Row],[product_ID]], a.nike.original.man[Product_ID], a.nike.original.man[Rating_Group], "Not Found")</f>
        <v>4 - 5</v>
      </c>
      <c r="D41">
        <f>_xlfn.XLOOKUP(b.nike.views[[#This Row],[product_ID]], a.nike.original.man[Product_ID], a.nike.original.man[Rating], "Not Found")</f>
        <v>5</v>
      </c>
      <c r="E41" s="10">
        <f>ROUND(_xlfn.XLOOKUP(b.nike.views[[#This Row],[product_ID]], a.nike.original.man[Product_ID], a.nike.original.man[Sale Price], "Not Found"), 0)</f>
        <v>120</v>
      </c>
      <c r="F41" s="5" t="str" cm="1">
        <f t="array" ref="F41">_xlfn.IFS(b.nike.views[[#This Row],[Sales_Price]]&lt;=9, "under $10",b.nike.views[[#This Row],[Sales_Price]]&lt;=20, "$20 and under",b.nike.views[[#This Row],[Sales_Price]]&lt;=50, "$50 and under", b.nike.views[[#This Row],[Sales_Price]]&lt;=99, "under $100", b.nike.views[[#This Row],[Sales_Price]]&gt;=100, "$100 +")</f>
        <v>$100 +</v>
      </c>
      <c r="G41">
        <f>COUNTIF(a.nike.original.man[Product_ID], A41)</f>
        <v>1</v>
      </c>
      <c r="H41" t="str" cm="1">
        <f t="array" ref="H41">_xlfn.IFS(b.nike.views[[#This Row],[Review_Count]]&lt;=7, "Below Average",b.nike.views[[#This Row],[Review_Count]]&gt;=8, "Average +")</f>
        <v>Below Average</v>
      </c>
      <c r="I41">
        <f>SUMIF(a.nike.original.man[Product_ID],b.nike.views[[#This Row],[product_ID]], a.nike.original.man[Reviews])</f>
        <v>2</v>
      </c>
      <c r="J41" s="41">
        <f>_xlfn.XLOOKUP(b.nike.views[[#This Row],[product_ID]],a.nike.original.man[Product_ID], a.nike.original.man[Discount %], "Not Found")</f>
        <v>0</v>
      </c>
      <c r="K41" s="41"/>
      <c r="L41" t="s">
        <v>1470</v>
      </c>
    </row>
    <row r="42" spans="1:12" x14ac:dyDescent="0.2">
      <c r="A42" t="s">
        <v>202</v>
      </c>
      <c r="B42" t="str">
        <f>_xlfn.XLOOKUP(b.nike.views[[#This Row],[product_ID]], a.nike.original.man[Product_ID], a.nike.original.man[Product Name], "Not Found")</f>
        <v>Nike Epic Phantom React A.I.R. Cody Hudson</v>
      </c>
      <c r="C42" s="5" t="str">
        <f>_xlfn.XLOOKUP(b.nike.views[[#This Row],[product_ID]], a.nike.original.man[Product_ID], a.nike.original.man[Rating_Group], "Not Found")</f>
        <v>4 - 5</v>
      </c>
      <c r="D42">
        <f>_xlfn.XLOOKUP(b.nike.views[[#This Row],[product_ID]], a.nike.original.man[Product_ID], a.nike.original.man[Rating], "Not Found")</f>
        <v>5</v>
      </c>
      <c r="E42" s="10">
        <f>ROUND(_xlfn.XLOOKUP(b.nike.views[[#This Row],[product_ID]], a.nike.original.man[Product_ID], a.nike.original.man[Sale Price], "Not Found"), 0)</f>
        <v>84</v>
      </c>
      <c r="F42" s="5" t="str" cm="1">
        <f t="array" ref="F42">_xlfn.IFS(b.nike.views[[#This Row],[Sales_Price]]&lt;=9, "under $10",b.nike.views[[#This Row],[Sales_Price]]&lt;=20, "$20 and under",b.nike.views[[#This Row],[Sales_Price]]&lt;=50, "$50 and under", b.nike.views[[#This Row],[Sales_Price]]&lt;=99, "under $100", b.nike.views[[#This Row],[Sales_Price]]&gt;=100, "$100 +")</f>
        <v>under $100</v>
      </c>
      <c r="G42">
        <f>COUNTIF(a.nike.original.man[Product_ID], A42)</f>
        <v>1</v>
      </c>
      <c r="H42" t="str" cm="1">
        <f t="array" ref="H42">_xlfn.IFS(b.nike.views[[#This Row],[Review_Count]]&lt;=7, "Below Average",b.nike.views[[#This Row],[Review_Count]]&gt;=8, "Average +")</f>
        <v>Below Average</v>
      </c>
      <c r="I42">
        <f>SUMIF(a.nike.original.man[Product_ID],b.nike.views[[#This Row],[product_ID]], a.nike.original.man[Reviews])</f>
        <v>2</v>
      </c>
      <c r="J42" s="41">
        <f>_xlfn.XLOOKUP(b.nike.views[[#This Row],[product_ID]],a.nike.original.man[Product_ID], a.nike.original.man[Discount %], "Not Found")</f>
        <v>0.4</v>
      </c>
      <c r="K42" s="41"/>
      <c r="L42" t="s">
        <v>1470</v>
      </c>
    </row>
    <row r="43" spans="1:12" x14ac:dyDescent="0.2">
      <c r="A43" t="s">
        <v>627</v>
      </c>
      <c r="B43" t="str">
        <f>_xlfn.XLOOKUP(b.nike.views[[#This Row],[product_ID]], a.nike.original.man[Product_ID], a.nike.original.man[Product Name], "Not Found")</f>
        <v>Jordan Jumpman 2020 PF</v>
      </c>
      <c r="C43" s="5" t="str">
        <f>_xlfn.XLOOKUP(b.nike.views[[#This Row],[product_ID]], a.nike.original.man[Product_ID], a.nike.original.man[Rating_Group], "Not Found")</f>
        <v>4 - 5</v>
      </c>
      <c r="D43">
        <f>_xlfn.XLOOKUP(b.nike.views[[#This Row],[product_ID]], a.nike.original.man[Product_ID], a.nike.original.man[Rating], "Not Found")</f>
        <v>5</v>
      </c>
      <c r="E43" s="10">
        <f>ROUND(_xlfn.XLOOKUP(b.nike.views[[#This Row],[product_ID]], a.nike.original.man[Product_ID], a.nike.original.man[Sale Price], "Not Found"), 0)</f>
        <v>90</v>
      </c>
      <c r="F43" s="5" t="str" cm="1">
        <f t="array" ref="F43">_xlfn.IFS(b.nike.views[[#This Row],[Sales_Price]]&lt;=9, "under $10",b.nike.views[[#This Row],[Sales_Price]]&lt;=20, "$20 and under",b.nike.views[[#This Row],[Sales_Price]]&lt;=50, "$50 and under", b.nike.views[[#This Row],[Sales_Price]]&lt;=99, "under $100", b.nike.views[[#This Row],[Sales_Price]]&gt;=100, "$100 +")</f>
        <v>under $100</v>
      </c>
      <c r="G43">
        <f>COUNTIF(a.nike.original.man[Product_ID], A43)</f>
        <v>1</v>
      </c>
      <c r="H43" t="str" cm="1">
        <f t="array" ref="H43">_xlfn.IFS(b.nike.views[[#This Row],[Review_Count]]&lt;=7, "Below Average",b.nike.views[[#This Row],[Review_Count]]&gt;=8, "Average +")</f>
        <v>Below Average</v>
      </c>
      <c r="I43">
        <f>SUMIF(a.nike.original.man[Product_ID],b.nike.views[[#This Row],[product_ID]], a.nike.original.man[Reviews])</f>
        <v>2</v>
      </c>
      <c r="J43" s="41">
        <f>_xlfn.XLOOKUP(b.nike.views[[#This Row],[product_ID]],a.nike.original.man[Product_ID], a.nike.original.man[Discount %], "Not Found")</f>
        <v>0</v>
      </c>
      <c r="K43" s="41"/>
      <c r="L43" t="s">
        <v>1470</v>
      </c>
    </row>
    <row r="44" spans="1:12" x14ac:dyDescent="0.2">
      <c r="A44" t="s">
        <v>676</v>
      </c>
      <c r="B44" t="str">
        <f>_xlfn.XLOOKUP(b.nike.views[[#This Row],[product_ID]], a.nike.original.man[Product_ID], a.nike.original.man[Product Name], "Not Found")</f>
        <v>Nike React Sertu</v>
      </c>
      <c r="C44" s="5" t="str">
        <f>_xlfn.XLOOKUP(b.nike.views[[#This Row],[product_ID]], a.nike.original.man[Product_ID], a.nike.original.man[Rating_Group], "Not Found")</f>
        <v>4 - 5</v>
      </c>
      <c r="D44">
        <f>_xlfn.XLOOKUP(b.nike.views[[#This Row],[product_ID]], a.nike.original.man[Product_ID], a.nike.original.man[Rating], "Not Found")</f>
        <v>5</v>
      </c>
      <c r="E44" s="10">
        <f>ROUND(_xlfn.XLOOKUP(b.nike.views[[#This Row],[product_ID]], a.nike.original.man[Product_ID], a.nike.original.man[Sale Price], "Not Found"), 0)</f>
        <v>130</v>
      </c>
      <c r="F44" s="5" t="str" cm="1">
        <f t="array" ref="F44">_xlfn.IFS(b.nike.views[[#This Row],[Sales_Price]]&lt;=9, "under $10",b.nike.views[[#This Row],[Sales_Price]]&lt;=20, "$20 and under",b.nike.views[[#This Row],[Sales_Price]]&lt;=50, "$50 and under", b.nike.views[[#This Row],[Sales_Price]]&lt;=99, "under $100", b.nike.views[[#This Row],[Sales_Price]]&gt;=100, "$100 +")</f>
        <v>$100 +</v>
      </c>
      <c r="G44">
        <f>COUNTIF(a.nike.original.man[Product_ID], A44)</f>
        <v>1</v>
      </c>
      <c r="H44" t="str" cm="1">
        <f t="array" ref="H44">_xlfn.IFS(b.nike.views[[#This Row],[Review_Count]]&lt;=7, "Below Average",b.nike.views[[#This Row],[Review_Count]]&gt;=8, "Average +")</f>
        <v>Below Average</v>
      </c>
      <c r="I44">
        <f>SUMIF(a.nike.original.man[Product_ID],b.nike.views[[#This Row],[product_ID]], a.nike.original.man[Reviews])</f>
        <v>2</v>
      </c>
      <c r="J44" s="41">
        <f>_xlfn.XLOOKUP(b.nike.views[[#This Row],[product_ID]],a.nike.original.man[Product_ID], a.nike.original.man[Discount %], "Not Found")</f>
        <v>0</v>
      </c>
      <c r="K44" s="41"/>
      <c r="L44" t="s">
        <v>1470</v>
      </c>
    </row>
    <row r="45" spans="1:12" x14ac:dyDescent="0.2">
      <c r="A45" t="s">
        <v>752</v>
      </c>
      <c r="B45" t="str">
        <f>_xlfn.XLOOKUP(b.nike.views[[#This Row],[product_ID]], a.nike.original.man[Product_ID], a.nike.original.man[Product Name], "Not Found")</f>
        <v>Nike SB Blazer Low XT</v>
      </c>
      <c r="C45" s="5" t="str">
        <f>_xlfn.XLOOKUP(b.nike.views[[#This Row],[product_ID]], a.nike.original.man[Product_ID], a.nike.original.man[Rating_Group], "Not Found")</f>
        <v>4 - 5</v>
      </c>
      <c r="D45">
        <f>_xlfn.XLOOKUP(b.nike.views[[#This Row],[product_ID]], a.nike.original.man[Product_ID], a.nike.original.man[Rating], "Not Found")</f>
        <v>5</v>
      </c>
      <c r="E45" s="10">
        <f>ROUND(_xlfn.XLOOKUP(b.nike.views[[#This Row],[product_ID]], a.nike.original.man[Product_ID], a.nike.original.man[Sale Price], "Not Found"), 0)</f>
        <v>64</v>
      </c>
      <c r="F45" s="5" t="str" cm="1">
        <f t="array" ref="F45">_xlfn.IFS(b.nike.views[[#This Row],[Sales_Price]]&lt;=9, "under $10",b.nike.views[[#This Row],[Sales_Price]]&lt;=20, "$20 and under",b.nike.views[[#This Row],[Sales_Price]]&lt;=50, "$50 and under", b.nike.views[[#This Row],[Sales_Price]]&lt;=99, "under $100", b.nike.views[[#This Row],[Sales_Price]]&gt;=100, "$100 +")</f>
        <v>under $100</v>
      </c>
      <c r="G45">
        <f>COUNTIF(a.nike.original.man[Product_ID], A45)</f>
        <v>1</v>
      </c>
      <c r="H45" t="str" cm="1">
        <f t="array" ref="H45">_xlfn.IFS(b.nike.views[[#This Row],[Review_Count]]&lt;=7, "Below Average",b.nike.views[[#This Row],[Review_Count]]&gt;=8, "Average +")</f>
        <v>Below Average</v>
      </c>
      <c r="I45">
        <f>SUMIF(a.nike.original.man[Product_ID],b.nike.views[[#This Row],[product_ID]], a.nike.original.man[Reviews])</f>
        <v>2</v>
      </c>
      <c r="J45" s="41">
        <f>_xlfn.XLOOKUP(b.nike.views[[#This Row],[product_ID]],a.nike.original.man[Product_ID], a.nike.original.man[Discount %], "Not Found")</f>
        <v>0.2</v>
      </c>
      <c r="K45" s="41"/>
      <c r="L45" t="s">
        <v>1470</v>
      </c>
    </row>
    <row r="46" spans="1:12" x14ac:dyDescent="0.2">
      <c r="A46" t="s">
        <v>1065</v>
      </c>
      <c r="B46" t="str">
        <f>_xlfn.XLOOKUP(b.nike.views[[#This Row],[product_ID]], a.nike.original.man[Product_ID], a.nike.original.man[Product Name], "Not Found")</f>
        <v>Nike Air Max 90 NS SE</v>
      </c>
      <c r="C46" s="5" t="str">
        <f>_xlfn.XLOOKUP(b.nike.views[[#This Row],[product_ID]], a.nike.original.man[Product_ID], a.nike.original.man[Rating_Group], "Not Found")</f>
        <v>4 - 5</v>
      </c>
      <c r="D46">
        <f>_xlfn.XLOOKUP(b.nike.views[[#This Row],[product_ID]], a.nike.original.man[Product_ID], a.nike.original.man[Rating], "Not Found")</f>
        <v>5</v>
      </c>
      <c r="E46" s="10">
        <f>ROUND(_xlfn.XLOOKUP(b.nike.views[[#This Row],[product_ID]], a.nike.original.man[Product_ID], a.nike.original.man[Sale Price], "Not Found"), 0)</f>
        <v>80</v>
      </c>
      <c r="F46" s="5" t="str" cm="1">
        <f t="array" ref="F46">_xlfn.IFS(b.nike.views[[#This Row],[Sales_Price]]&lt;=9, "under $10",b.nike.views[[#This Row],[Sales_Price]]&lt;=20, "$20 and under",b.nike.views[[#This Row],[Sales_Price]]&lt;=50, "$50 and under", b.nike.views[[#This Row],[Sales_Price]]&lt;=99, "under $100", b.nike.views[[#This Row],[Sales_Price]]&gt;=100, "$100 +")</f>
        <v>under $100</v>
      </c>
      <c r="G46">
        <f>COUNTIF(a.nike.original.man[Product_ID], A46)</f>
        <v>1</v>
      </c>
      <c r="H46" t="str" cm="1">
        <f t="array" ref="H46">_xlfn.IFS(b.nike.views[[#This Row],[Review_Count]]&lt;=7, "Below Average",b.nike.views[[#This Row],[Review_Count]]&gt;=8, "Average +")</f>
        <v>Below Average</v>
      </c>
      <c r="I46">
        <f>SUMIF(a.nike.original.man[Product_ID],b.nike.views[[#This Row],[product_ID]], a.nike.original.man[Reviews])</f>
        <v>2</v>
      </c>
      <c r="J46" s="41">
        <f>_xlfn.XLOOKUP(b.nike.views[[#This Row],[product_ID]],a.nike.original.man[Product_ID], a.nike.original.man[Discount %], "Not Found")</f>
        <v>0.2</v>
      </c>
      <c r="K46" s="41"/>
      <c r="L46" t="s">
        <v>1470</v>
      </c>
    </row>
    <row r="47" spans="1:12" x14ac:dyDescent="0.2">
      <c r="A47" t="s">
        <v>1101</v>
      </c>
      <c r="B47" t="str">
        <f>_xlfn.XLOOKUP(b.nike.views[[#This Row],[product_ID]], a.nike.original.man[Product_ID], a.nike.original.man[Product Name], "Not Found")</f>
        <v>Nike Air Zoom Pegasus 36</v>
      </c>
      <c r="C47" s="5" t="str">
        <f>_xlfn.XLOOKUP(b.nike.views[[#This Row],[product_ID]], a.nike.original.man[Product_ID], a.nike.original.man[Rating_Group], "Not Found")</f>
        <v>4 - 5</v>
      </c>
      <c r="D47">
        <f>_xlfn.XLOOKUP(b.nike.views[[#This Row],[product_ID]], a.nike.original.man[Product_ID], a.nike.original.man[Rating], "Not Found")</f>
        <v>5</v>
      </c>
      <c r="E47" s="10">
        <f>ROUND(_xlfn.XLOOKUP(b.nike.views[[#This Row],[product_ID]], a.nike.original.man[Product_ID], a.nike.original.man[Sale Price], "Not Found"), 0)</f>
        <v>110</v>
      </c>
      <c r="F47" s="5" t="str" cm="1">
        <f t="array" ref="F47">_xlfn.IFS(b.nike.views[[#This Row],[Sales_Price]]&lt;=9, "under $10",b.nike.views[[#This Row],[Sales_Price]]&lt;=20, "$20 and under",b.nike.views[[#This Row],[Sales_Price]]&lt;=50, "$50 and under", b.nike.views[[#This Row],[Sales_Price]]&lt;=99, "under $100", b.nike.views[[#This Row],[Sales_Price]]&gt;=100, "$100 +")</f>
        <v>$100 +</v>
      </c>
      <c r="G47">
        <f>COUNTIF(a.nike.original.man[Product_ID], A47)</f>
        <v>1</v>
      </c>
      <c r="H47" t="str" cm="1">
        <f t="array" ref="H47">_xlfn.IFS(b.nike.views[[#This Row],[Review_Count]]&lt;=7, "Below Average",b.nike.views[[#This Row],[Review_Count]]&gt;=8, "Average +")</f>
        <v>Below Average</v>
      </c>
      <c r="I47">
        <f>SUMIF(a.nike.original.man[Product_ID],b.nike.views[[#This Row],[product_ID]], a.nike.original.man[Reviews])</f>
        <v>2</v>
      </c>
      <c r="J47" s="41">
        <f>_xlfn.XLOOKUP(b.nike.views[[#This Row],[product_ID]],a.nike.original.man[Product_ID], a.nike.original.man[Discount %], "Not Found")</f>
        <v>0</v>
      </c>
      <c r="K47" s="41"/>
      <c r="L47" t="s">
        <v>1470</v>
      </c>
    </row>
    <row r="48" spans="1:12" x14ac:dyDescent="0.2">
      <c r="A48" t="s">
        <v>1115</v>
      </c>
      <c r="B48" t="str">
        <f>_xlfn.XLOOKUP(b.nike.views[[#This Row],[product_ID]], a.nike.original.man[Product_ID], a.nike.original.man[Product Name], "Not Found")</f>
        <v>Nike Potential 3</v>
      </c>
      <c r="C48" s="5" t="str">
        <f>_xlfn.XLOOKUP(b.nike.views[[#This Row],[product_ID]], a.nike.original.man[Product_ID], a.nike.original.man[Rating_Group], "Not Found")</f>
        <v>4 - 5</v>
      </c>
      <c r="D48">
        <f>_xlfn.XLOOKUP(b.nike.views[[#This Row],[product_ID]], a.nike.original.man[Product_ID], a.nike.original.man[Rating], "Not Found")</f>
        <v>5</v>
      </c>
      <c r="E48" s="10">
        <f>ROUND(_xlfn.XLOOKUP(b.nike.views[[#This Row],[product_ID]], a.nike.original.man[Product_ID], a.nike.original.man[Sale Price], "Not Found"), 0)</f>
        <v>45</v>
      </c>
      <c r="F48" s="5" t="str" cm="1">
        <f t="array" ref="F48">_xlfn.IFS(b.nike.views[[#This Row],[Sales_Price]]&lt;=9, "under $10",b.nike.views[[#This Row],[Sales_Price]]&lt;=20, "$20 and under",b.nike.views[[#This Row],[Sales_Price]]&lt;=50, "$50 and under", b.nike.views[[#This Row],[Sales_Price]]&lt;=99, "under $100", b.nike.views[[#This Row],[Sales_Price]]&gt;=100, "$100 +")</f>
        <v>$50 and under</v>
      </c>
      <c r="G48">
        <f>COUNTIF(a.nike.original.man[Product_ID], A48)</f>
        <v>2</v>
      </c>
      <c r="H48" t="str" cm="1">
        <f t="array" ref="H48">_xlfn.IFS(b.nike.views[[#This Row],[Review_Count]]&lt;=7, "Below Average",b.nike.views[[#This Row],[Review_Count]]&gt;=8, "Average +")</f>
        <v>Below Average</v>
      </c>
      <c r="I48">
        <f>SUMIF(a.nike.original.man[Product_ID],b.nike.views[[#This Row],[product_ID]], a.nike.original.man[Reviews])</f>
        <v>2</v>
      </c>
      <c r="J48" s="41">
        <f>_xlfn.XLOOKUP(b.nike.views[[#This Row],[product_ID]],a.nike.original.man[Product_ID], a.nike.original.man[Discount %], "Not Found")</f>
        <v>0</v>
      </c>
      <c r="K48" s="41"/>
      <c r="L48" t="s">
        <v>1470</v>
      </c>
    </row>
    <row r="49" spans="1:12" x14ac:dyDescent="0.2">
      <c r="A49" t="s">
        <v>1141</v>
      </c>
      <c r="B49" t="str">
        <f>_xlfn.XLOOKUP(b.nike.views[[#This Row],[product_ID]], a.nike.original.man[Product_ID], a.nike.original.man[Product Name], "Not Found")</f>
        <v>Nike Phantom Venom Academy TF</v>
      </c>
      <c r="C49" s="5" t="str">
        <f>_xlfn.XLOOKUP(b.nike.views[[#This Row],[product_ID]], a.nike.original.man[Product_ID], a.nike.original.man[Rating_Group], "Not Found")</f>
        <v>4 - 5</v>
      </c>
      <c r="D49">
        <f>_xlfn.XLOOKUP(b.nike.views[[#This Row],[product_ID]], a.nike.original.man[Product_ID], a.nike.original.man[Rating], "Not Found")</f>
        <v>5</v>
      </c>
      <c r="E49" s="10">
        <f>ROUND(_xlfn.XLOOKUP(b.nike.views[[#This Row],[product_ID]], a.nike.original.man[Product_ID], a.nike.original.man[Sale Price], "Not Found"), 0)</f>
        <v>75</v>
      </c>
      <c r="F49" s="5" t="str" cm="1">
        <f t="array" ref="F49">_xlfn.IFS(b.nike.views[[#This Row],[Sales_Price]]&lt;=9, "under $10",b.nike.views[[#This Row],[Sales_Price]]&lt;=20, "$20 and under",b.nike.views[[#This Row],[Sales_Price]]&lt;=50, "$50 and under", b.nike.views[[#This Row],[Sales_Price]]&lt;=99, "under $100", b.nike.views[[#This Row],[Sales_Price]]&gt;=100, "$100 +")</f>
        <v>under $100</v>
      </c>
      <c r="G49">
        <f>COUNTIF(a.nike.original.man[Product_ID], A49)</f>
        <v>2</v>
      </c>
      <c r="H49" t="str" cm="1">
        <f t="array" ref="H49">_xlfn.IFS(b.nike.views[[#This Row],[Review_Count]]&lt;=7, "Below Average",b.nike.views[[#This Row],[Review_Count]]&gt;=8, "Average +")</f>
        <v>Below Average</v>
      </c>
      <c r="I49">
        <f>SUMIF(a.nike.original.man[Product_ID],b.nike.views[[#This Row],[product_ID]], a.nike.original.man[Reviews])</f>
        <v>2</v>
      </c>
      <c r="J49" s="41">
        <f>_xlfn.XLOOKUP(b.nike.views[[#This Row],[product_ID]],a.nike.original.man[Product_ID], a.nike.original.man[Discount %], "Not Found")</f>
        <v>0</v>
      </c>
      <c r="K49" s="41"/>
      <c r="L49" t="s">
        <v>1470</v>
      </c>
    </row>
    <row r="50" spans="1:12" x14ac:dyDescent="0.2">
      <c r="A50" t="s">
        <v>1238</v>
      </c>
      <c r="B50" t="str">
        <f>_xlfn.XLOOKUP(b.nike.views[[#This Row],[product_ID]], a.nike.original.man[Product_ID], a.nike.original.man[Product Name], "Not Found")</f>
        <v>Nike Air Zoom Terra Kiger 6</v>
      </c>
      <c r="C50" s="5" t="str">
        <f>_xlfn.XLOOKUP(b.nike.views[[#This Row],[product_ID]], a.nike.original.man[Product_ID], a.nike.original.man[Rating_Group], "Not Found")</f>
        <v>4 - 5</v>
      </c>
      <c r="D50">
        <f>_xlfn.XLOOKUP(b.nike.views[[#This Row],[product_ID]], a.nike.original.man[Product_ID], a.nike.original.man[Rating], "Not Found")</f>
        <v>5</v>
      </c>
      <c r="E50" s="10">
        <f>ROUND(_xlfn.XLOOKUP(b.nike.views[[#This Row],[product_ID]], a.nike.original.man[Product_ID], a.nike.original.man[Sale Price], "Not Found"), 0)</f>
        <v>110</v>
      </c>
      <c r="F50" s="5" t="str" cm="1">
        <f t="array" ref="F50">_xlfn.IFS(b.nike.views[[#This Row],[Sales_Price]]&lt;=9, "under $10",b.nike.views[[#This Row],[Sales_Price]]&lt;=20, "$20 and under",b.nike.views[[#This Row],[Sales_Price]]&lt;=50, "$50 and under", b.nike.views[[#This Row],[Sales_Price]]&lt;=99, "under $100", b.nike.views[[#This Row],[Sales_Price]]&gt;=100, "$100 +")</f>
        <v>$100 +</v>
      </c>
      <c r="G50">
        <f>COUNTIF(a.nike.original.man[Product_ID], A50)</f>
        <v>1</v>
      </c>
      <c r="H50" t="str" cm="1">
        <f t="array" ref="H50">_xlfn.IFS(b.nike.views[[#This Row],[Review_Count]]&lt;=7, "Below Average",b.nike.views[[#This Row],[Review_Count]]&gt;=8, "Average +")</f>
        <v>Below Average</v>
      </c>
      <c r="I50">
        <f>SUMIF(a.nike.original.man[Product_ID],b.nike.views[[#This Row],[product_ID]], a.nike.original.man[Reviews])</f>
        <v>2</v>
      </c>
      <c r="J50" s="41">
        <f>_xlfn.XLOOKUP(b.nike.views[[#This Row],[product_ID]],a.nike.original.man[Product_ID], a.nike.original.man[Discount %], "Not Found")</f>
        <v>0</v>
      </c>
      <c r="K50" s="41"/>
      <c r="L50" t="s">
        <v>1470</v>
      </c>
    </row>
    <row r="51" spans="1:12" x14ac:dyDescent="0.2">
      <c r="A51" t="s">
        <v>1268</v>
      </c>
      <c r="B51" t="str">
        <f>_xlfn.XLOOKUP(b.nike.views[[#This Row],[product_ID]], a.nike.original.man[Product_ID], a.nike.original.man[Product Name], "Not Found")</f>
        <v>Nike Air Max 90 Premium</v>
      </c>
      <c r="C51" s="5" t="str">
        <f>_xlfn.XLOOKUP(b.nike.views[[#This Row],[product_ID]], a.nike.original.man[Product_ID], a.nike.original.man[Rating_Group], "Not Found")</f>
        <v>4 - 5</v>
      </c>
      <c r="D51">
        <f>_xlfn.XLOOKUP(b.nike.views[[#This Row],[product_ID]], a.nike.original.man[Product_ID], a.nike.original.man[Rating], "Not Found")</f>
        <v>5</v>
      </c>
      <c r="E51" s="10">
        <f>ROUND(_xlfn.XLOOKUP(b.nike.views[[#This Row],[product_ID]], a.nike.original.man[Product_ID], a.nike.original.man[Sale Price], "Not Found"), 0)</f>
        <v>120</v>
      </c>
      <c r="F51" s="5" t="str" cm="1">
        <f t="array" ref="F51">_xlfn.IFS(b.nike.views[[#This Row],[Sales_Price]]&lt;=9, "under $10",b.nike.views[[#This Row],[Sales_Price]]&lt;=20, "$20 and under",b.nike.views[[#This Row],[Sales_Price]]&lt;=50, "$50 and under", b.nike.views[[#This Row],[Sales_Price]]&lt;=99, "under $100", b.nike.views[[#This Row],[Sales_Price]]&gt;=100, "$100 +")</f>
        <v>$100 +</v>
      </c>
      <c r="G51">
        <f>COUNTIF(a.nike.original.man[Product_ID], A51)</f>
        <v>1</v>
      </c>
      <c r="H51" t="str" cm="1">
        <f t="array" ref="H51">_xlfn.IFS(b.nike.views[[#This Row],[Review_Count]]&lt;=7, "Below Average",b.nike.views[[#This Row],[Review_Count]]&gt;=8, "Average +")</f>
        <v>Below Average</v>
      </c>
      <c r="I51">
        <f>SUMIF(a.nike.original.man[Product_ID],b.nike.views[[#This Row],[product_ID]], a.nike.original.man[Reviews])</f>
        <v>2</v>
      </c>
      <c r="J51" s="41">
        <f>_xlfn.XLOOKUP(b.nike.views[[#This Row],[product_ID]],a.nike.original.man[Product_ID], a.nike.original.man[Discount %], "Not Found")</f>
        <v>0</v>
      </c>
      <c r="K51" s="41"/>
      <c r="L51" t="s">
        <v>1470</v>
      </c>
    </row>
    <row r="52" spans="1:12" x14ac:dyDescent="0.2">
      <c r="A52" t="s">
        <v>1277</v>
      </c>
      <c r="B52" t="str">
        <f>_xlfn.XLOOKUP(b.nike.views[[#This Row],[product_ID]], a.nike.original.man[Product_ID], a.nike.original.man[Product Name], "Not Found")</f>
        <v>Nike Air Max Triax 96</v>
      </c>
      <c r="C52" s="5" t="str">
        <f>_xlfn.XLOOKUP(b.nike.views[[#This Row],[product_ID]], a.nike.original.man[Product_ID], a.nike.original.man[Rating_Group], "Not Found")</f>
        <v>4 - 5</v>
      </c>
      <c r="D52">
        <f>_xlfn.XLOOKUP(b.nike.views[[#This Row],[product_ID]], a.nike.original.man[Product_ID], a.nike.original.man[Rating], "Not Found")</f>
        <v>5</v>
      </c>
      <c r="E52" s="10">
        <f>ROUND(_xlfn.XLOOKUP(b.nike.views[[#This Row],[product_ID]], a.nike.original.man[Product_ID], a.nike.original.man[Sale Price], "Not Found"), 0)</f>
        <v>110</v>
      </c>
      <c r="F52" s="5" t="str" cm="1">
        <f t="array" ref="F52">_xlfn.IFS(b.nike.views[[#This Row],[Sales_Price]]&lt;=9, "under $10",b.nike.views[[#This Row],[Sales_Price]]&lt;=20, "$20 and under",b.nike.views[[#This Row],[Sales_Price]]&lt;=50, "$50 and under", b.nike.views[[#This Row],[Sales_Price]]&lt;=99, "under $100", b.nike.views[[#This Row],[Sales_Price]]&gt;=100, "$100 +")</f>
        <v>$100 +</v>
      </c>
      <c r="G52">
        <f>COUNTIF(a.nike.original.man[Product_ID], A52)</f>
        <v>1</v>
      </c>
      <c r="H52" t="str" cm="1">
        <f t="array" ref="H52">_xlfn.IFS(b.nike.views[[#This Row],[Review_Count]]&lt;=7, "Below Average",b.nike.views[[#This Row],[Review_Count]]&gt;=8, "Average +")</f>
        <v>Below Average</v>
      </c>
      <c r="I52">
        <f>SUMIF(a.nike.original.man[Product_ID],b.nike.views[[#This Row],[product_ID]], a.nike.original.man[Reviews])</f>
        <v>2</v>
      </c>
      <c r="J52" s="41">
        <f>_xlfn.XLOOKUP(b.nike.views[[#This Row],[product_ID]],a.nike.original.man[Product_ID], a.nike.original.man[Discount %], "Not Found")</f>
        <v>0</v>
      </c>
      <c r="K52" s="41"/>
      <c r="L52" t="s">
        <v>1470</v>
      </c>
    </row>
    <row r="53" spans="1:12" x14ac:dyDescent="0.2">
      <c r="A53" t="s">
        <v>1288</v>
      </c>
      <c r="B53" t="str">
        <f>_xlfn.XLOOKUP(b.nike.views[[#This Row],[product_ID]], a.nike.original.man[Product_ID], a.nike.original.man[Product Name], "Not Found")</f>
        <v>Air Jordan 1 Jester XX Low Laced</v>
      </c>
      <c r="C53" s="5" t="str">
        <f>_xlfn.XLOOKUP(b.nike.views[[#This Row],[product_ID]], a.nike.original.man[Product_ID], a.nike.original.man[Rating_Group], "Not Found")</f>
        <v>4 - 5</v>
      </c>
      <c r="D53">
        <f>_xlfn.XLOOKUP(b.nike.views[[#This Row],[product_ID]], a.nike.original.man[Product_ID], a.nike.original.man[Rating], "Not Found")</f>
        <v>5</v>
      </c>
      <c r="E53" s="10">
        <f>ROUND(_xlfn.XLOOKUP(b.nike.views[[#This Row],[product_ID]], a.nike.original.man[Product_ID], a.nike.original.man[Sale Price], "Not Found"), 0)</f>
        <v>80</v>
      </c>
      <c r="F53" s="5" t="str" cm="1">
        <f t="array" ref="F53">_xlfn.IFS(b.nike.views[[#This Row],[Sales_Price]]&lt;=9, "under $10",b.nike.views[[#This Row],[Sales_Price]]&lt;=20, "$20 and under",b.nike.views[[#This Row],[Sales_Price]]&lt;=50, "$50 and under", b.nike.views[[#This Row],[Sales_Price]]&lt;=99, "under $100", b.nike.views[[#This Row],[Sales_Price]]&gt;=100, "$100 +")</f>
        <v>under $100</v>
      </c>
      <c r="G53">
        <f>COUNTIF(a.nike.original.man[Product_ID], A53)</f>
        <v>1</v>
      </c>
      <c r="H53" t="str" cm="1">
        <f t="array" ref="H53">_xlfn.IFS(b.nike.views[[#This Row],[Review_Count]]&lt;=7, "Below Average",b.nike.views[[#This Row],[Review_Count]]&gt;=8, "Average +")</f>
        <v>Below Average</v>
      </c>
      <c r="I53">
        <f>SUMIF(a.nike.original.man[Product_ID],b.nike.views[[#This Row],[product_ID]], a.nike.original.man[Reviews])</f>
        <v>2</v>
      </c>
      <c r="J53" s="41">
        <f>_xlfn.XLOOKUP(b.nike.views[[#This Row],[product_ID]],a.nike.original.man[Product_ID], a.nike.original.man[Discount %], "Not Found")</f>
        <v>0</v>
      </c>
      <c r="K53" s="41"/>
      <c r="L53" t="s">
        <v>1470</v>
      </c>
    </row>
    <row r="54" spans="1:12" x14ac:dyDescent="0.2">
      <c r="A54" t="s">
        <v>1306</v>
      </c>
      <c r="B54" t="str">
        <f>_xlfn.XLOOKUP(b.nike.views[[#This Row],[product_ID]], a.nike.original.man[Product_ID], a.nike.original.man[Product Name], "Not Found")</f>
        <v>Nike Epic Phantom React</v>
      </c>
      <c r="C54" s="5" t="str">
        <f>_xlfn.XLOOKUP(b.nike.views[[#This Row],[product_ID]], a.nike.original.man[Product_ID], a.nike.original.man[Rating_Group], "Not Found")</f>
        <v>4 - 5</v>
      </c>
      <c r="D54">
        <f>_xlfn.XLOOKUP(b.nike.views[[#This Row],[product_ID]], a.nike.original.man[Product_ID], a.nike.original.man[Rating], "Not Found")</f>
        <v>5</v>
      </c>
      <c r="E54" s="10">
        <f>ROUND(_xlfn.XLOOKUP(b.nike.views[[#This Row],[product_ID]], a.nike.original.man[Product_ID], a.nike.original.man[Sale Price], "Not Found"), 0)</f>
        <v>84</v>
      </c>
      <c r="F54" s="5" t="str" cm="1">
        <f t="array" ref="F54">_xlfn.IFS(b.nike.views[[#This Row],[Sales_Price]]&lt;=9, "under $10",b.nike.views[[#This Row],[Sales_Price]]&lt;=20, "$20 and under",b.nike.views[[#This Row],[Sales_Price]]&lt;=50, "$50 and under", b.nike.views[[#This Row],[Sales_Price]]&lt;=99, "under $100", b.nike.views[[#This Row],[Sales_Price]]&gt;=100, "$100 +")</f>
        <v>under $100</v>
      </c>
      <c r="G54">
        <f>COUNTIF(a.nike.original.man[Product_ID], A54)</f>
        <v>1</v>
      </c>
      <c r="H54" t="str" cm="1">
        <f t="array" ref="H54">_xlfn.IFS(b.nike.views[[#This Row],[Review_Count]]&lt;=7, "Below Average",b.nike.views[[#This Row],[Review_Count]]&gt;=8, "Average +")</f>
        <v>Below Average</v>
      </c>
      <c r="I54">
        <f>SUMIF(a.nike.original.man[Product_ID],b.nike.views[[#This Row],[product_ID]], a.nike.original.man[Reviews])</f>
        <v>2</v>
      </c>
      <c r="J54" s="41">
        <f>_xlfn.XLOOKUP(b.nike.views[[#This Row],[product_ID]],a.nike.original.man[Product_ID], a.nike.original.man[Discount %], "Not Found")</f>
        <v>0.4</v>
      </c>
      <c r="K54" s="41"/>
      <c r="L54" t="s">
        <v>1470</v>
      </c>
    </row>
    <row r="55" spans="1:12" x14ac:dyDescent="0.2">
      <c r="A55" t="s">
        <v>1375</v>
      </c>
      <c r="B55" t="str">
        <f>_xlfn.XLOOKUP(b.nike.views[[#This Row],[product_ID]], a.nike.original.man[Product_ID], a.nike.original.man[Product Name], "Not Found")</f>
        <v>Nike Blazer Low LE</v>
      </c>
      <c r="C55" s="5" t="str">
        <f>_xlfn.XLOOKUP(b.nike.views[[#This Row],[product_ID]], a.nike.original.man[Product_ID], a.nike.original.man[Rating_Group], "Not Found")</f>
        <v>4 - 5</v>
      </c>
      <c r="D55">
        <f>_xlfn.XLOOKUP(b.nike.views[[#This Row],[product_ID]], a.nike.original.man[Product_ID], a.nike.original.man[Rating], "Not Found")</f>
        <v>5</v>
      </c>
      <c r="E55" s="10">
        <f>ROUND(_xlfn.XLOOKUP(b.nike.views[[#This Row],[product_ID]], a.nike.original.man[Product_ID], a.nike.original.man[Sale Price], "Not Found"), 0)</f>
        <v>56</v>
      </c>
      <c r="F55" s="5" t="str" cm="1">
        <f t="array" ref="F55">_xlfn.IFS(b.nike.views[[#This Row],[Sales_Price]]&lt;=9, "under $10",b.nike.views[[#This Row],[Sales_Price]]&lt;=20, "$20 and under",b.nike.views[[#This Row],[Sales_Price]]&lt;=50, "$50 and under", b.nike.views[[#This Row],[Sales_Price]]&lt;=99, "under $100", b.nike.views[[#This Row],[Sales_Price]]&gt;=100, "$100 +")</f>
        <v>under $100</v>
      </c>
      <c r="G55">
        <f>COUNTIF(a.nike.original.man[Product_ID], A55)</f>
        <v>1</v>
      </c>
      <c r="H55" t="str" cm="1">
        <f t="array" ref="H55">_xlfn.IFS(b.nike.views[[#This Row],[Review_Count]]&lt;=7, "Below Average",b.nike.views[[#This Row],[Review_Count]]&gt;=8, "Average +")</f>
        <v>Below Average</v>
      </c>
      <c r="I55">
        <f>SUMIF(a.nike.original.man[Product_ID],b.nike.views[[#This Row],[product_ID]], a.nike.original.man[Reviews])</f>
        <v>2</v>
      </c>
      <c r="J55" s="41">
        <f>_xlfn.XLOOKUP(b.nike.views[[#This Row],[product_ID]],a.nike.original.man[Product_ID], a.nike.original.man[Discount %], "Not Found")</f>
        <v>0.2</v>
      </c>
      <c r="K55" s="41"/>
      <c r="L55" t="s">
        <v>1470</v>
      </c>
    </row>
    <row r="56" spans="1:12" x14ac:dyDescent="0.2">
      <c r="A56" t="s">
        <v>610</v>
      </c>
      <c r="B56" t="str">
        <f>_xlfn.XLOOKUP(b.nike.views[[#This Row],[product_ID]], a.nike.original.man[Product_ID], a.nike.original.man[Product Name], "Not Found")</f>
        <v>Nike Air Max 90</v>
      </c>
      <c r="C56" s="5" t="str">
        <f>_xlfn.XLOOKUP(b.nike.views[[#This Row],[product_ID]], a.nike.original.man[Product_ID], a.nike.original.man[Rating_Group], "Not Found")</f>
        <v>4 - 5</v>
      </c>
      <c r="D56">
        <f>_xlfn.XLOOKUP(b.nike.views[[#This Row],[product_ID]], a.nike.original.man[Product_ID], a.nike.original.man[Rating], "Not Found")</f>
        <v>5</v>
      </c>
      <c r="E56" s="10">
        <f>ROUND(_xlfn.XLOOKUP(b.nike.views[[#This Row],[product_ID]], a.nike.original.man[Product_ID], a.nike.original.man[Sale Price], "Not Found"), 0)</f>
        <v>100</v>
      </c>
      <c r="F56" s="5" t="str" cm="1">
        <f t="array" ref="F56">_xlfn.IFS(b.nike.views[[#This Row],[Sales_Price]]&lt;=9, "under $10",b.nike.views[[#This Row],[Sales_Price]]&lt;=20, "$20 and under",b.nike.views[[#This Row],[Sales_Price]]&lt;=50, "$50 and under", b.nike.views[[#This Row],[Sales_Price]]&lt;=99, "under $100", b.nike.views[[#This Row],[Sales_Price]]&gt;=100, "$100 +")</f>
        <v>$100 +</v>
      </c>
      <c r="G56">
        <f>COUNTIF(a.nike.original.man[Product_ID], A56)</f>
        <v>1</v>
      </c>
      <c r="H56" t="str" cm="1">
        <f t="array" ref="H56">_xlfn.IFS(b.nike.views[[#This Row],[Review_Count]]&lt;=7, "Below Average",b.nike.views[[#This Row],[Review_Count]]&gt;=8, "Average +")</f>
        <v>Below Average</v>
      </c>
      <c r="I56">
        <f>SUMIF(a.nike.original.man[Product_ID],b.nike.views[[#This Row],[product_ID]], a.nike.original.man[Reviews])</f>
        <v>1</v>
      </c>
      <c r="J56" s="41">
        <f>_xlfn.XLOOKUP(b.nike.views[[#This Row],[product_ID]],a.nike.original.man[Product_ID], a.nike.original.man[Discount %], "Not Found")</f>
        <v>0</v>
      </c>
      <c r="K56" s="41"/>
      <c r="L56" t="s">
        <v>1470</v>
      </c>
    </row>
    <row r="57" spans="1:12" x14ac:dyDescent="0.2">
      <c r="A57" t="s">
        <v>171</v>
      </c>
      <c r="B57" t="str">
        <f>_xlfn.XLOOKUP(b.nike.views[[#This Row],[product_ID]], a.nike.original.man[Product_ID], a.nike.original.man[Product Name], "Not Found")</f>
        <v>Nike Air Max 97</v>
      </c>
      <c r="C57" s="5" t="str">
        <f>_xlfn.XLOOKUP(b.nike.views[[#This Row],[product_ID]], a.nike.original.man[Product_ID], a.nike.original.man[Rating_Group], "Not Found")</f>
        <v>4 - 5</v>
      </c>
      <c r="D57">
        <f>_xlfn.XLOOKUP(b.nike.views[[#This Row],[product_ID]], a.nike.original.man[Product_ID], a.nike.original.man[Rating], "Not Found")</f>
        <v>5</v>
      </c>
      <c r="E57" s="10">
        <f>ROUND(_xlfn.XLOOKUP(b.nike.views[[#This Row],[product_ID]], a.nike.original.man[Product_ID], a.nike.original.man[Sale Price], "Not Found"), 0)</f>
        <v>150</v>
      </c>
      <c r="F57" s="5" t="str" cm="1">
        <f t="array" ref="F57">_xlfn.IFS(b.nike.views[[#This Row],[Sales_Price]]&lt;=9, "under $10",b.nike.views[[#This Row],[Sales_Price]]&lt;=20, "$20 and under",b.nike.views[[#This Row],[Sales_Price]]&lt;=50, "$50 and under", b.nike.views[[#This Row],[Sales_Price]]&lt;=99, "under $100", b.nike.views[[#This Row],[Sales_Price]]&gt;=100, "$100 +")</f>
        <v>$100 +</v>
      </c>
      <c r="G57">
        <f>COUNTIF(a.nike.original.man[Product_ID], A57)</f>
        <v>1</v>
      </c>
      <c r="H57" t="str" cm="1">
        <f t="array" ref="H57">_xlfn.IFS(b.nike.views[[#This Row],[Review_Count]]&lt;=7, "Below Average",b.nike.views[[#This Row],[Review_Count]]&gt;=8, "Average +")</f>
        <v>Below Average</v>
      </c>
      <c r="I57">
        <f>SUMIF(a.nike.original.man[Product_ID],b.nike.views[[#This Row],[product_ID]], a.nike.original.man[Reviews])</f>
        <v>1</v>
      </c>
      <c r="J57" s="41">
        <f>_xlfn.XLOOKUP(b.nike.views[[#This Row],[product_ID]],a.nike.original.man[Product_ID], a.nike.original.man[Discount %], "Not Found")</f>
        <v>0</v>
      </c>
      <c r="K57" s="41"/>
      <c r="L57" t="s">
        <v>1470</v>
      </c>
    </row>
    <row r="58" spans="1:12" x14ac:dyDescent="0.2">
      <c r="A58" t="s">
        <v>375</v>
      </c>
      <c r="B58" t="str">
        <f>_xlfn.XLOOKUP(b.nike.views[[#This Row],[product_ID]], a.nike.original.man[Product_ID], a.nike.original.man[Product Name], "Not Found")</f>
        <v>Nike Air Max 97</v>
      </c>
      <c r="C58" s="5" t="str">
        <f>_xlfn.XLOOKUP(b.nike.views[[#This Row],[product_ID]], a.nike.original.man[Product_ID], a.nike.original.man[Rating_Group], "Not Found")</f>
        <v>4 - 5</v>
      </c>
      <c r="D58">
        <f>_xlfn.XLOOKUP(b.nike.views[[#This Row],[product_ID]], a.nike.original.man[Product_ID], a.nike.original.man[Rating], "Not Found")</f>
        <v>5</v>
      </c>
      <c r="E58" s="10">
        <f>ROUND(_xlfn.XLOOKUP(b.nike.views[[#This Row],[product_ID]], a.nike.original.man[Product_ID], a.nike.original.man[Sale Price], "Not Found"), 0)</f>
        <v>160</v>
      </c>
      <c r="F58" s="5" t="str" cm="1">
        <f t="array" ref="F58">_xlfn.IFS(b.nike.views[[#This Row],[Sales_Price]]&lt;=9, "under $10",b.nike.views[[#This Row],[Sales_Price]]&lt;=20, "$20 and under",b.nike.views[[#This Row],[Sales_Price]]&lt;=50, "$50 and under", b.nike.views[[#This Row],[Sales_Price]]&lt;=99, "under $100", b.nike.views[[#This Row],[Sales_Price]]&gt;=100, "$100 +")</f>
        <v>$100 +</v>
      </c>
      <c r="G58">
        <f>COUNTIF(a.nike.original.man[Product_ID], A58)</f>
        <v>1</v>
      </c>
      <c r="H58" t="str" cm="1">
        <f t="array" ref="H58">_xlfn.IFS(b.nike.views[[#This Row],[Review_Count]]&lt;=7, "Below Average",b.nike.views[[#This Row],[Review_Count]]&gt;=8, "Average +")</f>
        <v>Below Average</v>
      </c>
      <c r="I58">
        <f>SUMIF(a.nike.original.man[Product_ID],b.nike.views[[#This Row],[product_ID]], a.nike.original.man[Reviews])</f>
        <v>1</v>
      </c>
      <c r="J58" s="41">
        <f>_xlfn.XLOOKUP(b.nike.views[[#This Row],[product_ID]],a.nike.original.man[Product_ID], a.nike.original.man[Discount %], "Not Found")</f>
        <v>0</v>
      </c>
      <c r="K58" s="41"/>
      <c r="L58" t="s">
        <v>1470</v>
      </c>
    </row>
    <row r="59" spans="1:12" x14ac:dyDescent="0.2">
      <c r="A59" t="s">
        <v>211</v>
      </c>
      <c r="B59" t="str">
        <f>_xlfn.XLOOKUP(b.nike.views[[#This Row],[product_ID]], a.nike.original.man[Product_ID], a.nike.original.man[Product Name], "Not Found")</f>
        <v>Nike Air Max 270 React ENG</v>
      </c>
      <c r="C59" s="5" t="str">
        <f>_xlfn.XLOOKUP(b.nike.views[[#This Row],[product_ID]], a.nike.original.man[Product_ID], a.nike.original.man[Rating_Group], "Not Found")</f>
        <v>4 - 5</v>
      </c>
      <c r="D59">
        <f>_xlfn.XLOOKUP(b.nike.views[[#This Row],[product_ID]], a.nike.original.man[Product_ID], a.nike.original.man[Rating], "Not Found")</f>
        <v>5</v>
      </c>
      <c r="E59" s="10">
        <f>ROUND(_xlfn.XLOOKUP(b.nike.views[[#This Row],[product_ID]], a.nike.original.man[Product_ID], a.nike.original.man[Sale Price], "Not Found"), 0)</f>
        <v>150</v>
      </c>
      <c r="F59" s="5" t="str" cm="1">
        <f t="array" ref="F59">_xlfn.IFS(b.nike.views[[#This Row],[Sales_Price]]&lt;=9, "under $10",b.nike.views[[#This Row],[Sales_Price]]&lt;=20, "$20 and under",b.nike.views[[#This Row],[Sales_Price]]&lt;=50, "$50 and under", b.nike.views[[#This Row],[Sales_Price]]&lt;=99, "under $100", b.nike.views[[#This Row],[Sales_Price]]&gt;=100, "$100 +")</f>
        <v>$100 +</v>
      </c>
      <c r="G59">
        <f>COUNTIF(a.nike.original.man[Product_ID], A59)</f>
        <v>1</v>
      </c>
      <c r="H59" t="str" cm="1">
        <f t="array" ref="H59">_xlfn.IFS(b.nike.views[[#This Row],[Review_Count]]&lt;=7, "Below Average",b.nike.views[[#This Row],[Review_Count]]&gt;=8, "Average +")</f>
        <v>Below Average</v>
      </c>
      <c r="I59">
        <f>SUMIF(a.nike.original.man[Product_ID],b.nike.views[[#This Row],[product_ID]], a.nike.original.man[Reviews])</f>
        <v>1</v>
      </c>
      <c r="J59" s="41">
        <f>_xlfn.XLOOKUP(b.nike.views[[#This Row],[product_ID]],a.nike.original.man[Product_ID], a.nike.original.man[Discount %], "Not Found")</f>
        <v>0</v>
      </c>
      <c r="K59" s="41"/>
      <c r="L59" t="s">
        <v>1470</v>
      </c>
    </row>
    <row r="60" spans="1:12" x14ac:dyDescent="0.2">
      <c r="A60" t="s">
        <v>678</v>
      </c>
      <c r="B60" t="str">
        <f>_xlfn.XLOOKUP(b.nike.views[[#This Row],[product_ID]], a.nike.original.man[Product_ID], a.nike.original.man[Product Name], "Not Found")</f>
        <v>Nike React Element 55 SE</v>
      </c>
      <c r="C60" s="5" t="str">
        <f>_xlfn.XLOOKUP(b.nike.views[[#This Row],[product_ID]], a.nike.original.man[Product_ID], a.nike.original.man[Rating_Group], "Not Found")</f>
        <v>4 - 5</v>
      </c>
      <c r="D60">
        <f>_xlfn.XLOOKUP(b.nike.views[[#This Row],[product_ID]], a.nike.original.man[Product_ID], a.nike.original.man[Rating], "Not Found")</f>
        <v>5</v>
      </c>
      <c r="E60" s="10">
        <f>ROUND(_xlfn.XLOOKUP(b.nike.views[[#This Row],[product_ID]], a.nike.original.man[Product_ID], a.nike.original.man[Sale Price], "Not Found"), 0)</f>
        <v>110</v>
      </c>
      <c r="F60" s="5" t="str" cm="1">
        <f t="array" ref="F60">_xlfn.IFS(b.nike.views[[#This Row],[Sales_Price]]&lt;=9, "under $10",b.nike.views[[#This Row],[Sales_Price]]&lt;=20, "$20 and under",b.nike.views[[#This Row],[Sales_Price]]&lt;=50, "$50 and under", b.nike.views[[#This Row],[Sales_Price]]&lt;=99, "under $100", b.nike.views[[#This Row],[Sales_Price]]&gt;=100, "$100 +")</f>
        <v>$100 +</v>
      </c>
      <c r="G60">
        <f>COUNTIF(a.nike.original.man[Product_ID], A60)</f>
        <v>1</v>
      </c>
      <c r="H60" t="str" cm="1">
        <f t="array" ref="H60">_xlfn.IFS(b.nike.views[[#This Row],[Review_Count]]&lt;=7, "Below Average",b.nike.views[[#This Row],[Review_Count]]&gt;=8, "Average +")</f>
        <v>Below Average</v>
      </c>
      <c r="I60">
        <f>SUMIF(a.nike.original.man[Product_ID],b.nike.views[[#This Row],[product_ID]], a.nike.original.man[Reviews])</f>
        <v>1</v>
      </c>
      <c r="J60" s="41">
        <f>_xlfn.XLOOKUP(b.nike.views[[#This Row],[product_ID]],a.nike.original.man[Product_ID], a.nike.original.man[Discount %], "Not Found")</f>
        <v>0</v>
      </c>
      <c r="K60" s="41"/>
      <c r="L60" t="s">
        <v>1470</v>
      </c>
    </row>
    <row r="61" spans="1:12" x14ac:dyDescent="0.2">
      <c r="A61" t="s">
        <v>29</v>
      </c>
      <c r="B61" t="str">
        <f>_xlfn.XLOOKUP(b.nike.views[[#This Row],[product_ID]], a.nike.original.man[Product_ID], a.nike.original.man[Product Name], "Not Found")</f>
        <v>Nike Free Metcon 3</v>
      </c>
      <c r="C61" s="5" t="str">
        <f>_xlfn.XLOOKUP(b.nike.views[[#This Row],[product_ID]], a.nike.original.man[Product_ID], a.nike.original.man[Rating_Group], "Not Found")</f>
        <v>4 - 5</v>
      </c>
      <c r="D61">
        <f>_xlfn.XLOOKUP(b.nike.views[[#This Row],[product_ID]], a.nike.original.man[Product_ID], a.nike.original.man[Rating], "Not Found")</f>
        <v>5</v>
      </c>
      <c r="E61" s="10">
        <f>ROUND(_xlfn.XLOOKUP(b.nike.views[[#This Row],[product_ID]], a.nike.original.man[Product_ID], a.nike.original.man[Sale Price], "Not Found"), 0)</f>
        <v>100</v>
      </c>
      <c r="F61" s="5" t="str" cm="1">
        <f t="array" ref="F61">_xlfn.IFS(b.nike.views[[#This Row],[Sales_Price]]&lt;=9, "under $10",b.nike.views[[#This Row],[Sales_Price]]&lt;=20, "$20 and under",b.nike.views[[#This Row],[Sales_Price]]&lt;=50, "$50 and under", b.nike.views[[#This Row],[Sales_Price]]&lt;=99, "under $100", b.nike.views[[#This Row],[Sales_Price]]&gt;=100, "$100 +")</f>
        <v>$100 +</v>
      </c>
      <c r="G61">
        <f>COUNTIF(a.nike.original.man[Product_ID], A61)</f>
        <v>1</v>
      </c>
      <c r="H61" t="str" cm="1">
        <f t="array" ref="H61">_xlfn.IFS(b.nike.views[[#This Row],[Review_Count]]&lt;=7, "Below Average",b.nike.views[[#This Row],[Review_Count]]&gt;=8, "Average +")</f>
        <v>Below Average</v>
      </c>
      <c r="I61">
        <f>SUMIF(a.nike.original.man[Product_ID],b.nike.views[[#This Row],[product_ID]], a.nike.original.man[Reviews])</f>
        <v>1</v>
      </c>
      <c r="J61" s="41">
        <f>_xlfn.XLOOKUP(b.nike.views[[#This Row],[product_ID]],a.nike.original.man[Product_ID], a.nike.original.man[Discount %], "Not Found")</f>
        <v>0</v>
      </c>
      <c r="K61" s="41"/>
      <c r="L61" t="s">
        <v>1470</v>
      </c>
    </row>
    <row r="62" spans="1:12" x14ac:dyDescent="0.2">
      <c r="A62" t="s">
        <v>899</v>
      </c>
      <c r="B62" t="str">
        <f>_xlfn.XLOOKUP(b.nike.views[[#This Row],[product_ID]], a.nike.original.man[Product_ID], a.nike.original.man[Product Name], "Not Found")</f>
        <v>Nike Zoom KD12</v>
      </c>
      <c r="C62" s="5" t="str">
        <f>_xlfn.XLOOKUP(b.nike.views[[#This Row],[product_ID]], a.nike.original.man[Product_ID], a.nike.original.man[Rating_Group], "Not Found")</f>
        <v>4 - 5</v>
      </c>
      <c r="D62">
        <f>_xlfn.XLOOKUP(b.nike.views[[#This Row],[product_ID]], a.nike.original.man[Product_ID], a.nike.original.man[Rating], "Not Found")</f>
        <v>5</v>
      </c>
      <c r="E62" s="10">
        <f>ROUND(_xlfn.XLOOKUP(b.nike.views[[#This Row],[product_ID]], a.nike.original.man[Product_ID], a.nike.original.man[Sale Price], "Not Found"), 0)</f>
        <v>130</v>
      </c>
      <c r="F62" s="5" t="str" cm="1">
        <f t="array" ref="F62">_xlfn.IFS(b.nike.views[[#This Row],[Sales_Price]]&lt;=9, "under $10",b.nike.views[[#This Row],[Sales_Price]]&lt;=20, "$20 and under",b.nike.views[[#This Row],[Sales_Price]]&lt;=50, "$50 and under", b.nike.views[[#This Row],[Sales_Price]]&lt;=99, "under $100", b.nike.views[[#This Row],[Sales_Price]]&gt;=100, "$100 +")</f>
        <v>$100 +</v>
      </c>
      <c r="G62">
        <f>COUNTIF(a.nike.original.man[Product_ID], A62)</f>
        <v>1</v>
      </c>
      <c r="H62" t="str" cm="1">
        <f t="array" ref="H62">_xlfn.IFS(b.nike.views[[#This Row],[Review_Count]]&lt;=7, "Below Average",b.nike.views[[#This Row],[Review_Count]]&gt;=8, "Average +")</f>
        <v>Below Average</v>
      </c>
      <c r="I62">
        <f>SUMIF(a.nike.original.man[Product_ID],b.nike.views[[#This Row],[product_ID]], a.nike.original.man[Reviews])</f>
        <v>1</v>
      </c>
      <c r="J62" s="41">
        <f>_xlfn.XLOOKUP(b.nike.views[[#This Row],[product_ID]],a.nike.original.man[Product_ID], a.nike.original.man[Discount %], "Not Found")</f>
        <v>0</v>
      </c>
      <c r="K62" s="41"/>
      <c r="L62" t="s">
        <v>1470</v>
      </c>
    </row>
    <row r="63" spans="1:12" x14ac:dyDescent="0.2">
      <c r="A63" t="s">
        <v>235</v>
      </c>
      <c r="B63" t="str">
        <f>_xlfn.XLOOKUP(b.nike.views[[#This Row],[product_ID]], a.nike.original.man[Product_ID], a.nike.original.man[Product Name], "Not Found")</f>
        <v>Nike Free Metcon 3</v>
      </c>
      <c r="C63" s="5" t="str">
        <f>_xlfn.XLOOKUP(b.nike.views[[#This Row],[product_ID]], a.nike.original.man[Product_ID], a.nike.original.man[Rating_Group], "Not Found")</f>
        <v>4 - 5</v>
      </c>
      <c r="D63">
        <f>_xlfn.XLOOKUP(b.nike.views[[#This Row],[product_ID]], a.nike.original.man[Product_ID], a.nike.original.man[Rating], "Not Found")</f>
        <v>5</v>
      </c>
      <c r="E63" s="10">
        <f>ROUND(_xlfn.XLOOKUP(b.nike.views[[#This Row],[product_ID]], a.nike.original.man[Product_ID], a.nike.original.man[Sale Price], "Not Found"), 0)</f>
        <v>100</v>
      </c>
      <c r="F63" s="5" t="str" cm="1">
        <f t="array" ref="F63">_xlfn.IFS(b.nike.views[[#This Row],[Sales_Price]]&lt;=9, "under $10",b.nike.views[[#This Row],[Sales_Price]]&lt;=20, "$20 and under",b.nike.views[[#This Row],[Sales_Price]]&lt;=50, "$50 and under", b.nike.views[[#This Row],[Sales_Price]]&lt;=99, "under $100", b.nike.views[[#This Row],[Sales_Price]]&gt;=100, "$100 +")</f>
        <v>$100 +</v>
      </c>
      <c r="G63">
        <f>COUNTIF(a.nike.original.man[Product_ID], A63)</f>
        <v>1</v>
      </c>
      <c r="H63" t="str" cm="1">
        <f t="array" ref="H63">_xlfn.IFS(b.nike.views[[#This Row],[Review_Count]]&lt;=7, "Below Average",b.nike.views[[#This Row],[Review_Count]]&gt;=8, "Average +")</f>
        <v>Below Average</v>
      </c>
      <c r="I63">
        <f>SUMIF(a.nike.original.man[Product_ID],b.nike.views[[#This Row],[product_ID]], a.nike.original.man[Reviews])</f>
        <v>1</v>
      </c>
      <c r="J63" s="41">
        <f>_xlfn.XLOOKUP(b.nike.views[[#This Row],[product_ID]],a.nike.original.man[Product_ID], a.nike.original.man[Discount %], "Not Found")</f>
        <v>0</v>
      </c>
      <c r="K63" s="41"/>
      <c r="L63" t="s">
        <v>1470</v>
      </c>
    </row>
    <row r="64" spans="1:12" x14ac:dyDescent="0.2">
      <c r="A64" t="s">
        <v>570</v>
      </c>
      <c r="B64" t="str">
        <f>_xlfn.XLOOKUP(b.nike.views[[#This Row],[product_ID]], a.nike.original.man[Product_ID], a.nike.original.man[Product Name], "Not Found")</f>
        <v>Nike Zoom Rival Fly</v>
      </c>
      <c r="C64" s="5" t="str">
        <f>_xlfn.XLOOKUP(b.nike.views[[#This Row],[product_ID]], a.nike.original.man[Product_ID], a.nike.original.man[Rating_Group], "Not Found")</f>
        <v>4 - 5</v>
      </c>
      <c r="D64">
        <f>_xlfn.XLOOKUP(b.nike.views[[#This Row],[product_ID]], a.nike.original.man[Product_ID], a.nike.original.man[Rating], "Not Found")</f>
        <v>5</v>
      </c>
      <c r="E64" s="10">
        <f>ROUND(_xlfn.XLOOKUP(b.nike.views[[#This Row],[product_ID]], a.nike.original.man[Product_ID], a.nike.original.man[Sale Price], "Not Found"), 0)</f>
        <v>64</v>
      </c>
      <c r="F64" s="5" t="str" cm="1">
        <f t="array" ref="F64">_xlfn.IFS(b.nike.views[[#This Row],[Sales_Price]]&lt;=9, "under $10",b.nike.views[[#This Row],[Sales_Price]]&lt;=20, "$20 and under",b.nike.views[[#This Row],[Sales_Price]]&lt;=50, "$50 and under", b.nike.views[[#This Row],[Sales_Price]]&lt;=99, "under $100", b.nike.views[[#This Row],[Sales_Price]]&gt;=100, "$100 +")</f>
        <v>under $100</v>
      </c>
      <c r="G64">
        <f>COUNTIF(a.nike.original.man[Product_ID], A64)</f>
        <v>1</v>
      </c>
      <c r="H64" t="str" cm="1">
        <f t="array" ref="H64">_xlfn.IFS(b.nike.views[[#This Row],[Review_Count]]&lt;=7, "Below Average",b.nike.views[[#This Row],[Review_Count]]&gt;=8, "Average +")</f>
        <v>Below Average</v>
      </c>
      <c r="I64">
        <f>SUMIF(a.nike.original.man[Product_ID],b.nike.views[[#This Row],[product_ID]], a.nike.original.man[Reviews])</f>
        <v>1</v>
      </c>
      <c r="J64" s="41">
        <f>_xlfn.XLOOKUP(b.nike.views[[#This Row],[product_ID]],a.nike.original.man[Product_ID], a.nike.original.man[Discount %], "Not Found")</f>
        <v>0.2</v>
      </c>
      <c r="K64" s="41"/>
      <c r="L64" t="s">
        <v>1470</v>
      </c>
    </row>
    <row r="65" spans="1:12" x14ac:dyDescent="0.2">
      <c r="A65" t="s">
        <v>594</v>
      </c>
      <c r="B65" t="str">
        <f>_xlfn.XLOOKUP(b.nike.views[[#This Row],[product_ID]], a.nike.original.man[Product_ID], a.nike.original.man[Product Name], "Not Found")</f>
        <v>Nike Air Max Plus III</v>
      </c>
      <c r="C65" s="5" t="str">
        <f>_xlfn.XLOOKUP(b.nike.views[[#This Row],[product_ID]], a.nike.original.man[Product_ID], a.nike.original.man[Rating_Group], "Not Found")</f>
        <v>4 - 5</v>
      </c>
      <c r="D65">
        <f>_xlfn.XLOOKUP(b.nike.views[[#This Row],[product_ID]], a.nike.original.man[Product_ID], a.nike.original.man[Rating], "Not Found")</f>
        <v>5</v>
      </c>
      <c r="E65" s="10">
        <f>ROUND(_xlfn.XLOOKUP(b.nike.views[[#This Row],[product_ID]], a.nike.original.man[Product_ID], a.nike.original.man[Sale Price], "Not Found"), 0)</f>
        <v>160</v>
      </c>
      <c r="F65" s="5" t="str" cm="1">
        <f t="array" ref="F65">_xlfn.IFS(b.nike.views[[#This Row],[Sales_Price]]&lt;=9, "under $10",b.nike.views[[#This Row],[Sales_Price]]&lt;=20, "$20 and under",b.nike.views[[#This Row],[Sales_Price]]&lt;=50, "$50 and under", b.nike.views[[#This Row],[Sales_Price]]&lt;=99, "under $100", b.nike.views[[#This Row],[Sales_Price]]&gt;=100, "$100 +")</f>
        <v>$100 +</v>
      </c>
      <c r="G65">
        <f>COUNTIF(a.nike.original.man[Product_ID], A65)</f>
        <v>1</v>
      </c>
      <c r="H65" t="str" cm="1">
        <f t="array" ref="H65">_xlfn.IFS(b.nike.views[[#This Row],[Review_Count]]&lt;=7, "Below Average",b.nike.views[[#This Row],[Review_Count]]&gt;=8, "Average +")</f>
        <v>Below Average</v>
      </c>
      <c r="I65">
        <f>SUMIF(a.nike.original.man[Product_ID],b.nike.views[[#This Row],[product_ID]], a.nike.original.man[Reviews])</f>
        <v>1</v>
      </c>
      <c r="J65" s="41">
        <f>_xlfn.XLOOKUP(b.nike.views[[#This Row],[product_ID]],a.nike.original.man[Product_ID], a.nike.original.man[Discount %], "Not Found")</f>
        <v>0</v>
      </c>
      <c r="K65" s="41"/>
      <c r="L65" t="s">
        <v>1470</v>
      </c>
    </row>
    <row r="66" spans="1:12" x14ac:dyDescent="0.2">
      <c r="A66" t="s">
        <v>293</v>
      </c>
      <c r="B66" t="str">
        <f>_xlfn.XLOOKUP(b.nike.views[[#This Row],[product_ID]], a.nike.original.man[Product_ID], a.nike.original.man[Product Name], "Not Found")</f>
        <v>Nike Air Max Impact</v>
      </c>
      <c r="C66" s="5" t="str">
        <f>_xlfn.XLOOKUP(b.nike.views[[#This Row],[product_ID]], a.nike.original.man[Product_ID], a.nike.original.man[Rating_Group], "Not Found")</f>
        <v>4 - 5</v>
      </c>
      <c r="D66">
        <f>_xlfn.XLOOKUP(b.nike.views[[#This Row],[product_ID]], a.nike.original.man[Product_ID], a.nike.original.man[Rating], "Not Found")</f>
        <v>5</v>
      </c>
      <c r="E66" s="10">
        <f>ROUND(_xlfn.XLOOKUP(b.nike.views[[#This Row],[product_ID]], a.nike.original.man[Product_ID], a.nike.original.man[Sale Price], "Not Found"), 0)</f>
        <v>80</v>
      </c>
      <c r="F66" s="5" t="str" cm="1">
        <f t="array" ref="F66">_xlfn.IFS(b.nike.views[[#This Row],[Sales_Price]]&lt;=9, "under $10",b.nike.views[[#This Row],[Sales_Price]]&lt;=20, "$20 and under",b.nike.views[[#This Row],[Sales_Price]]&lt;=50, "$50 and under", b.nike.views[[#This Row],[Sales_Price]]&lt;=99, "under $100", b.nike.views[[#This Row],[Sales_Price]]&gt;=100, "$100 +")</f>
        <v>under $100</v>
      </c>
      <c r="G66">
        <f>COUNTIF(a.nike.original.man[Product_ID], A66)</f>
        <v>1</v>
      </c>
      <c r="H66" t="str" cm="1">
        <f t="array" ref="H66">_xlfn.IFS(b.nike.views[[#This Row],[Review_Count]]&lt;=7, "Below Average",b.nike.views[[#This Row],[Review_Count]]&gt;=8, "Average +")</f>
        <v>Below Average</v>
      </c>
      <c r="I66">
        <f>SUMIF(a.nike.original.man[Product_ID],b.nike.views[[#This Row],[product_ID]], a.nike.original.man[Reviews])</f>
        <v>1</v>
      </c>
      <c r="J66" s="41">
        <f>_xlfn.XLOOKUP(b.nike.views[[#This Row],[product_ID]],a.nike.original.man[Product_ID], a.nike.original.man[Discount %], "Not Found")</f>
        <v>0</v>
      </c>
      <c r="K66" s="41"/>
      <c r="L66" t="s">
        <v>1470</v>
      </c>
    </row>
    <row r="67" spans="1:12" x14ac:dyDescent="0.2">
      <c r="A67" t="s">
        <v>951</v>
      </c>
      <c r="B67" t="str">
        <f>_xlfn.XLOOKUP(b.nike.views[[#This Row],[product_ID]], a.nike.original.man[Product_ID], a.nike.original.man[Product Name], "Not Found")</f>
        <v>Nike React Element 55 Premium</v>
      </c>
      <c r="C67" s="5" t="str">
        <f>_xlfn.XLOOKUP(b.nike.views[[#This Row],[product_ID]], a.nike.original.man[Product_ID], a.nike.original.man[Rating_Group], "Not Found")</f>
        <v>4 - 5</v>
      </c>
      <c r="D67">
        <f>_xlfn.XLOOKUP(b.nike.views[[#This Row],[product_ID]], a.nike.original.man[Product_ID], a.nike.original.man[Rating], "Not Found")</f>
        <v>5</v>
      </c>
      <c r="E67" s="10">
        <f>ROUND(_xlfn.XLOOKUP(b.nike.views[[#This Row],[product_ID]], a.nike.original.man[Product_ID], a.nike.original.man[Sale Price], "Not Found"), 0)</f>
        <v>72</v>
      </c>
      <c r="F67" s="5" t="str" cm="1">
        <f t="array" ref="F67">_xlfn.IFS(b.nike.views[[#This Row],[Sales_Price]]&lt;=9, "under $10",b.nike.views[[#This Row],[Sales_Price]]&lt;=20, "$20 and under",b.nike.views[[#This Row],[Sales_Price]]&lt;=50, "$50 and under", b.nike.views[[#This Row],[Sales_Price]]&lt;=99, "under $100", b.nike.views[[#This Row],[Sales_Price]]&gt;=100, "$100 +")</f>
        <v>under $100</v>
      </c>
      <c r="G67">
        <f>COUNTIF(a.nike.original.man[Product_ID], A67)</f>
        <v>1</v>
      </c>
      <c r="H67" t="str" cm="1">
        <f t="array" ref="H67">_xlfn.IFS(b.nike.views[[#This Row],[Review_Count]]&lt;=7, "Below Average",b.nike.views[[#This Row],[Review_Count]]&gt;=8, "Average +")</f>
        <v>Below Average</v>
      </c>
      <c r="I67">
        <f>SUMIF(a.nike.original.man[Product_ID],b.nike.views[[#This Row],[product_ID]], a.nike.original.man[Reviews])</f>
        <v>1</v>
      </c>
      <c r="J67" s="41">
        <f>_xlfn.XLOOKUP(b.nike.views[[#This Row],[product_ID]],a.nike.original.man[Product_ID], a.nike.original.man[Discount %], "Not Found")</f>
        <v>0.4</v>
      </c>
      <c r="K67" s="41"/>
      <c r="L67" t="s">
        <v>1470</v>
      </c>
    </row>
    <row r="68" spans="1:12" x14ac:dyDescent="0.2">
      <c r="A68" t="s">
        <v>770</v>
      </c>
      <c r="B68" t="str">
        <f>_xlfn.XLOOKUP(b.nike.views[[#This Row],[product_ID]], a.nike.original.man[Product_ID], a.nike.original.man[Product Name], "Not Found")</f>
        <v>Nike Zoom Vomero 5 SE SP</v>
      </c>
      <c r="C68" s="5" t="str">
        <f>_xlfn.XLOOKUP(b.nike.views[[#This Row],[product_ID]], a.nike.original.man[Product_ID], a.nike.original.man[Rating_Group], "Not Found")</f>
        <v>4 - 5</v>
      </c>
      <c r="D68">
        <f>_xlfn.XLOOKUP(b.nike.views[[#This Row],[product_ID]], a.nike.original.man[Product_ID], a.nike.original.man[Rating], "Not Found")</f>
        <v>5</v>
      </c>
      <c r="E68" s="10">
        <f>ROUND(_xlfn.XLOOKUP(b.nike.views[[#This Row],[product_ID]], a.nike.original.man[Product_ID], a.nike.original.man[Sale Price], "Not Found"), 0)</f>
        <v>112</v>
      </c>
      <c r="F68" s="5" t="str" cm="1">
        <f t="array" ref="F68">_xlfn.IFS(b.nike.views[[#This Row],[Sales_Price]]&lt;=9, "under $10",b.nike.views[[#This Row],[Sales_Price]]&lt;=20, "$20 and under",b.nike.views[[#This Row],[Sales_Price]]&lt;=50, "$50 and under", b.nike.views[[#This Row],[Sales_Price]]&lt;=99, "under $100", b.nike.views[[#This Row],[Sales_Price]]&gt;=100, "$100 +")</f>
        <v>$100 +</v>
      </c>
      <c r="G68">
        <f>COUNTIF(a.nike.original.man[Product_ID], A68)</f>
        <v>1</v>
      </c>
      <c r="H68" t="str" cm="1">
        <f t="array" ref="H68">_xlfn.IFS(b.nike.views[[#This Row],[Review_Count]]&lt;=7, "Below Average",b.nike.views[[#This Row],[Review_Count]]&gt;=8, "Average +")</f>
        <v>Below Average</v>
      </c>
      <c r="I68">
        <f>SUMIF(a.nike.original.man[Product_ID],b.nike.views[[#This Row],[product_ID]], a.nike.original.man[Reviews])</f>
        <v>1</v>
      </c>
      <c r="J68" s="41">
        <f>_xlfn.XLOOKUP(b.nike.views[[#This Row],[product_ID]],a.nike.original.man[Product_ID], a.nike.original.man[Discount %], "Not Found")</f>
        <v>0.2</v>
      </c>
      <c r="K68" s="41"/>
      <c r="L68" t="s">
        <v>1470</v>
      </c>
    </row>
    <row r="69" spans="1:12" x14ac:dyDescent="0.2">
      <c r="A69" t="s">
        <v>290</v>
      </c>
      <c r="B69" t="str">
        <f>_xlfn.XLOOKUP(b.nike.views[[#This Row],[product_ID]], a.nike.original.man[Product_ID], a.nike.original.man[Product Name], "Not Found")</f>
        <v>Kyrie 5 x Bandulu</v>
      </c>
      <c r="C69" s="5" t="str">
        <f>_xlfn.XLOOKUP(b.nike.views[[#This Row],[product_ID]], a.nike.original.man[Product_ID], a.nike.original.man[Rating_Group], "Not Found")</f>
        <v>4 - 5</v>
      </c>
      <c r="D69">
        <f>_xlfn.XLOOKUP(b.nike.views[[#This Row],[product_ID]], a.nike.original.man[Product_ID], a.nike.original.man[Rating], "Not Found")</f>
        <v>5</v>
      </c>
      <c r="E69" s="10">
        <f>ROUND(_xlfn.XLOOKUP(b.nike.views[[#This Row],[product_ID]], a.nike.original.man[Product_ID], a.nike.original.man[Sale Price], "Not Found"), 0)</f>
        <v>88</v>
      </c>
      <c r="F69" s="5" t="str" cm="1">
        <f t="array" ref="F69">_xlfn.IFS(b.nike.views[[#This Row],[Sales_Price]]&lt;=9, "under $10",b.nike.views[[#This Row],[Sales_Price]]&lt;=20, "$20 and under",b.nike.views[[#This Row],[Sales_Price]]&lt;=50, "$50 and under", b.nike.views[[#This Row],[Sales_Price]]&lt;=99, "under $100", b.nike.views[[#This Row],[Sales_Price]]&gt;=100, "$100 +")</f>
        <v>under $100</v>
      </c>
      <c r="G69">
        <f>COUNTIF(a.nike.original.man[Product_ID], A69)</f>
        <v>1</v>
      </c>
      <c r="H69" t="str" cm="1">
        <f t="array" ref="H69">_xlfn.IFS(b.nike.views[[#This Row],[Review_Count]]&lt;=7, "Below Average",b.nike.views[[#This Row],[Review_Count]]&gt;=8, "Average +")</f>
        <v>Below Average</v>
      </c>
      <c r="I69">
        <f>SUMIF(a.nike.original.man[Product_ID],b.nike.views[[#This Row],[product_ID]], a.nike.original.man[Reviews])</f>
        <v>1</v>
      </c>
      <c r="J69" s="41">
        <f>_xlfn.XLOOKUP(b.nike.views[[#This Row],[product_ID]],a.nike.original.man[Product_ID], a.nike.original.man[Discount %], "Not Found")</f>
        <v>0.2</v>
      </c>
      <c r="K69" s="41"/>
      <c r="L69" t="s">
        <v>1470</v>
      </c>
    </row>
    <row r="70" spans="1:12" x14ac:dyDescent="0.2">
      <c r="A70" t="s">
        <v>296</v>
      </c>
      <c r="B70" t="str">
        <f>_xlfn.XLOOKUP(b.nike.views[[#This Row],[product_ID]], a.nike.original.man[Product_ID], a.nike.original.man[Product Name], "Not Found")</f>
        <v>Nike Air Max 90 QS</v>
      </c>
      <c r="C70" s="5" t="str">
        <f>_xlfn.XLOOKUP(b.nike.views[[#This Row],[product_ID]], a.nike.original.man[Product_ID], a.nike.original.man[Rating_Group], "Not Found")</f>
        <v>4 - 5</v>
      </c>
      <c r="D70">
        <f>_xlfn.XLOOKUP(b.nike.views[[#This Row],[product_ID]], a.nike.original.man[Product_ID], a.nike.original.man[Rating], "Not Found")</f>
        <v>5</v>
      </c>
      <c r="E70" s="10">
        <f>ROUND(_xlfn.XLOOKUP(b.nike.views[[#This Row],[product_ID]], a.nike.original.man[Product_ID], a.nike.original.man[Sale Price], "Not Found"), 0)</f>
        <v>120</v>
      </c>
      <c r="F70" s="5" t="str" cm="1">
        <f t="array" ref="F70">_xlfn.IFS(b.nike.views[[#This Row],[Sales_Price]]&lt;=9, "under $10",b.nike.views[[#This Row],[Sales_Price]]&lt;=20, "$20 and under",b.nike.views[[#This Row],[Sales_Price]]&lt;=50, "$50 and under", b.nike.views[[#This Row],[Sales_Price]]&lt;=99, "under $100", b.nike.views[[#This Row],[Sales_Price]]&gt;=100, "$100 +")</f>
        <v>$100 +</v>
      </c>
      <c r="G70">
        <f>COUNTIF(a.nike.original.man[Product_ID], A70)</f>
        <v>1</v>
      </c>
      <c r="H70" t="str" cm="1">
        <f t="array" ref="H70">_xlfn.IFS(b.nike.views[[#This Row],[Review_Count]]&lt;=7, "Below Average",b.nike.views[[#This Row],[Review_Count]]&gt;=8, "Average +")</f>
        <v>Below Average</v>
      </c>
      <c r="I70">
        <f>SUMIF(a.nike.original.man[Product_ID],b.nike.views[[#This Row],[product_ID]], a.nike.original.man[Reviews])</f>
        <v>1</v>
      </c>
      <c r="J70" s="41">
        <f>_xlfn.XLOOKUP(b.nike.views[[#This Row],[product_ID]],a.nike.original.man[Product_ID], a.nike.original.man[Discount %], "Not Found")</f>
        <v>0</v>
      </c>
      <c r="K70" s="41"/>
      <c r="L70" t="s">
        <v>1470</v>
      </c>
    </row>
    <row r="71" spans="1:12" x14ac:dyDescent="0.2">
      <c r="A71" t="s">
        <v>338</v>
      </c>
      <c r="B71" t="str">
        <f>_xlfn.XLOOKUP(b.nike.views[[#This Row],[product_ID]], a.nike.original.man[Product_ID], a.nike.original.man[Product Name], "Not Found")</f>
        <v>Nike x Carhartt WIP Air Max 95</v>
      </c>
      <c r="C71" s="5" t="str">
        <f>_xlfn.XLOOKUP(b.nike.views[[#This Row],[product_ID]], a.nike.original.man[Product_ID], a.nike.original.man[Rating_Group], "Not Found")</f>
        <v>4 - 5</v>
      </c>
      <c r="D71">
        <f>_xlfn.XLOOKUP(b.nike.views[[#This Row],[product_ID]], a.nike.original.man[Product_ID], a.nike.original.man[Rating], "Not Found")</f>
        <v>5</v>
      </c>
      <c r="E71" s="10">
        <f>ROUND(_xlfn.XLOOKUP(b.nike.views[[#This Row],[product_ID]], a.nike.original.man[Product_ID], a.nike.original.man[Sale Price], "Not Found"), 0)</f>
        <v>170</v>
      </c>
      <c r="F71" s="5" t="str" cm="1">
        <f t="array" ref="F71">_xlfn.IFS(b.nike.views[[#This Row],[Sales_Price]]&lt;=9, "under $10",b.nike.views[[#This Row],[Sales_Price]]&lt;=20, "$20 and under",b.nike.views[[#This Row],[Sales_Price]]&lt;=50, "$50 and under", b.nike.views[[#This Row],[Sales_Price]]&lt;=99, "under $100", b.nike.views[[#This Row],[Sales_Price]]&gt;=100, "$100 +")</f>
        <v>$100 +</v>
      </c>
      <c r="G71">
        <f>COUNTIF(a.nike.original.man[Product_ID], A71)</f>
        <v>1</v>
      </c>
      <c r="H71" t="str" cm="1">
        <f t="array" ref="H71">_xlfn.IFS(b.nike.views[[#This Row],[Review_Count]]&lt;=7, "Below Average",b.nike.views[[#This Row],[Review_Count]]&gt;=8, "Average +")</f>
        <v>Below Average</v>
      </c>
      <c r="I71">
        <f>SUMIF(a.nike.original.man[Product_ID],b.nike.views[[#This Row],[product_ID]], a.nike.original.man[Reviews])</f>
        <v>1</v>
      </c>
      <c r="J71" s="41">
        <f>_xlfn.XLOOKUP(b.nike.views[[#This Row],[product_ID]],a.nike.original.man[Product_ID], a.nike.original.man[Discount %], "Not Found")</f>
        <v>0</v>
      </c>
      <c r="K71" s="41"/>
      <c r="L71" t="s">
        <v>1470</v>
      </c>
    </row>
    <row r="72" spans="1:12" x14ac:dyDescent="0.2">
      <c r="A72" t="s">
        <v>472</v>
      </c>
      <c r="B72" t="str">
        <f>_xlfn.XLOOKUP(b.nike.views[[#This Row],[product_ID]], a.nike.original.man[Product_ID], a.nike.original.man[Product Name], "Not Found")</f>
        <v>Nike React Kenny 55</v>
      </c>
      <c r="C72" s="5" t="str">
        <f>_xlfn.XLOOKUP(b.nike.views[[#This Row],[product_ID]], a.nike.original.man[Product_ID], a.nike.original.man[Rating_Group], "Not Found")</f>
        <v>4 - 5</v>
      </c>
      <c r="D72">
        <f>_xlfn.XLOOKUP(b.nike.views[[#This Row],[product_ID]], a.nike.original.man[Product_ID], a.nike.original.man[Rating], "Not Found")</f>
        <v>5</v>
      </c>
      <c r="E72" s="10">
        <f>ROUND(_xlfn.XLOOKUP(b.nike.views[[#This Row],[product_ID]], a.nike.original.man[Product_ID], a.nike.original.man[Sale Price], "Not Found"), 0)</f>
        <v>130</v>
      </c>
      <c r="F72" s="5" t="str" cm="1">
        <f t="array" ref="F72">_xlfn.IFS(b.nike.views[[#This Row],[Sales_Price]]&lt;=9, "under $10",b.nike.views[[#This Row],[Sales_Price]]&lt;=20, "$20 and under",b.nike.views[[#This Row],[Sales_Price]]&lt;=50, "$50 and under", b.nike.views[[#This Row],[Sales_Price]]&lt;=99, "under $100", b.nike.views[[#This Row],[Sales_Price]]&gt;=100, "$100 +")</f>
        <v>$100 +</v>
      </c>
      <c r="G72">
        <f>COUNTIF(a.nike.original.man[Product_ID], A72)</f>
        <v>1</v>
      </c>
      <c r="H72" t="str" cm="1">
        <f t="array" ref="H72">_xlfn.IFS(b.nike.views[[#This Row],[Review_Count]]&lt;=7, "Below Average",b.nike.views[[#This Row],[Review_Count]]&gt;=8, "Average +")</f>
        <v>Below Average</v>
      </c>
      <c r="I72">
        <f>SUMIF(a.nike.original.man[Product_ID],b.nike.views[[#This Row],[product_ID]], a.nike.original.man[Reviews])</f>
        <v>1</v>
      </c>
      <c r="J72" s="41">
        <f>_xlfn.XLOOKUP(b.nike.views[[#This Row],[product_ID]],a.nike.original.man[Product_ID], a.nike.original.man[Discount %], "Not Found")</f>
        <v>0</v>
      </c>
      <c r="K72" s="41"/>
      <c r="L72" t="s">
        <v>1470</v>
      </c>
    </row>
    <row r="73" spans="1:12" x14ac:dyDescent="0.2">
      <c r="A73" t="s">
        <v>746</v>
      </c>
      <c r="B73" t="str">
        <f>_xlfn.XLOOKUP(b.nike.views[[#This Row],[product_ID]], a.nike.original.man[Product_ID], a.nike.original.man[Product Name], "Not Found")</f>
        <v>Nike Air Max 270 SE</v>
      </c>
      <c r="C73" s="5" t="str">
        <f>_xlfn.XLOOKUP(b.nike.views[[#This Row],[product_ID]], a.nike.original.man[Product_ID], a.nike.original.man[Rating_Group], "Not Found")</f>
        <v>4 - 5</v>
      </c>
      <c r="D73">
        <f>_xlfn.XLOOKUP(b.nike.views[[#This Row],[product_ID]], a.nike.original.man[Product_ID], a.nike.original.man[Rating], "Not Found")</f>
        <v>5</v>
      </c>
      <c r="E73" s="10">
        <f>ROUND(_xlfn.XLOOKUP(b.nike.views[[#This Row],[product_ID]], a.nike.original.man[Product_ID], a.nike.original.man[Sale Price], "Not Found"), 0)</f>
        <v>140</v>
      </c>
      <c r="F73" s="5" t="str" cm="1">
        <f t="array" ref="F73">_xlfn.IFS(b.nike.views[[#This Row],[Sales_Price]]&lt;=9, "under $10",b.nike.views[[#This Row],[Sales_Price]]&lt;=20, "$20 and under",b.nike.views[[#This Row],[Sales_Price]]&lt;=50, "$50 and under", b.nike.views[[#This Row],[Sales_Price]]&lt;=99, "under $100", b.nike.views[[#This Row],[Sales_Price]]&gt;=100, "$100 +")</f>
        <v>$100 +</v>
      </c>
      <c r="G73">
        <f>COUNTIF(a.nike.original.man[Product_ID], A73)</f>
        <v>1</v>
      </c>
      <c r="H73" t="str" cm="1">
        <f t="array" ref="H73">_xlfn.IFS(b.nike.views[[#This Row],[Review_Count]]&lt;=7, "Below Average",b.nike.views[[#This Row],[Review_Count]]&gt;=8, "Average +")</f>
        <v>Below Average</v>
      </c>
      <c r="I73">
        <f>SUMIF(a.nike.original.man[Product_ID],b.nike.views[[#This Row],[product_ID]], a.nike.original.man[Reviews])</f>
        <v>1</v>
      </c>
      <c r="J73" s="41">
        <f>_xlfn.XLOOKUP(b.nike.views[[#This Row],[product_ID]],a.nike.original.man[Product_ID], a.nike.original.man[Discount %], "Not Found")</f>
        <v>0</v>
      </c>
      <c r="K73" s="41"/>
      <c r="L73" t="s">
        <v>1470</v>
      </c>
    </row>
    <row r="74" spans="1:12" x14ac:dyDescent="0.2">
      <c r="A74" t="s">
        <v>788</v>
      </c>
      <c r="B74" t="str">
        <f>_xlfn.XLOOKUP(b.nike.views[[#This Row],[product_ID]], a.nike.original.man[Product_ID], a.nike.original.man[Product Name], "Not Found")</f>
        <v>Zoom Freak 1 'Employee of the Month'</v>
      </c>
      <c r="C74" s="5" t="str">
        <f>_xlfn.XLOOKUP(b.nike.views[[#This Row],[product_ID]], a.nike.original.man[Product_ID], a.nike.original.man[Rating_Group], "Not Found")</f>
        <v>4 - 5</v>
      </c>
      <c r="D74">
        <f>_xlfn.XLOOKUP(b.nike.views[[#This Row],[product_ID]], a.nike.original.man[Product_ID], a.nike.original.man[Rating], "Not Found")</f>
        <v>5</v>
      </c>
      <c r="E74" s="10">
        <f>ROUND(_xlfn.XLOOKUP(b.nike.views[[#This Row],[product_ID]], a.nike.original.man[Product_ID], a.nike.original.man[Sale Price], "Not Found"), 0)</f>
        <v>100</v>
      </c>
      <c r="F74" s="5" t="str" cm="1">
        <f t="array" ref="F74">_xlfn.IFS(b.nike.views[[#This Row],[Sales_Price]]&lt;=9, "under $10",b.nike.views[[#This Row],[Sales_Price]]&lt;=20, "$20 and under",b.nike.views[[#This Row],[Sales_Price]]&lt;=50, "$50 and under", b.nike.views[[#This Row],[Sales_Price]]&lt;=99, "under $100", b.nike.views[[#This Row],[Sales_Price]]&gt;=100, "$100 +")</f>
        <v>$100 +</v>
      </c>
      <c r="G74">
        <f>COUNTIF(a.nike.original.man[Product_ID], A74)</f>
        <v>1</v>
      </c>
      <c r="H74" t="str" cm="1">
        <f t="array" ref="H74">_xlfn.IFS(b.nike.views[[#This Row],[Review_Count]]&lt;=7, "Below Average",b.nike.views[[#This Row],[Review_Count]]&gt;=8, "Average +")</f>
        <v>Below Average</v>
      </c>
      <c r="I74">
        <f>SUMIF(a.nike.original.man[Product_ID],b.nike.views[[#This Row],[product_ID]], a.nike.original.man[Reviews])</f>
        <v>1</v>
      </c>
      <c r="J74" s="41">
        <f>_xlfn.XLOOKUP(b.nike.views[[#This Row],[product_ID]],a.nike.original.man[Product_ID], a.nike.original.man[Discount %], "Not Found")</f>
        <v>0</v>
      </c>
      <c r="K74" s="41"/>
      <c r="L74" t="s">
        <v>1470</v>
      </c>
    </row>
    <row r="75" spans="1:12" x14ac:dyDescent="0.2">
      <c r="A75" t="s">
        <v>894</v>
      </c>
      <c r="B75" t="str">
        <f>_xlfn.XLOOKUP(b.nike.views[[#This Row],[product_ID]], a.nike.original.man[Product_ID], a.nike.original.man[Product Name], "Not Found")</f>
        <v>Kyrie 6 EP 'Chinese New Year'</v>
      </c>
      <c r="C75" s="5" t="str">
        <f>_xlfn.XLOOKUP(b.nike.views[[#This Row],[product_ID]], a.nike.original.man[Product_ID], a.nike.original.man[Rating_Group], "Not Found")</f>
        <v>4 - 5</v>
      </c>
      <c r="D75">
        <f>_xlfn.XLOOKUP(b.nike.views[[#This Row],[product_ID]], a.nike.original.man[Product_ID], a.nike.original.man[Rating], "Not Found")</f>
        <v>5</v>
      </c>
      <c r="E75" s="10">
        <f>ROUND(_xlfn.XLOOKUP(b.nike.views[[#This Row],[product_ID]], a.nike.original.man[Product_ID], a.nike.original.man[Sale Price], "Not Found"), 0)</f>
        <v>110</v>
      </c>
      <c r="F75" s="5" t="str" cm="1">
        <f t="array" ref="F75">_xlfn.IFS(b.nike.views[[#This Row],[Sales_Price]]&lt;=9, "under $10",b.nike.views[[#This Row],[Sales_Price]]&lt;=20, "$20 and under",b.nike.views[[#This Row],[Sales_Price]]&lt;=50, "$50 and under", b.nike.views[[#This Row],[Sales_Price]]&lt;=99, "under $100", b.nike.views[[#This Row],[Sales_Price]]&gt;=100, "$100 +")</f>
        <v>$100 +</v>
      </c>
      <c r="G75">
        <f>COUNTIF(a.nike.original.man[Product_ID], A75)</f>
        <v>1</v>
      </c>
      <c r="H75" t="str" cm="1">
        <f t="array" ref="H75">_xlfn.IFS(b.nike.views[[#This Row],[Review_Count]]&lt;=7, "Below Average",b.nike.views[[#This Row],[Review_Count]]&gt;=8, "Average +")</f>
        <v>Below Average</v>
      </c>
      <c r="I75">
        <f>SUMIF(a.nike.original.man[Product_ID],b.nike.views[[#This Row],[product_ID]], a.nike.original.man[Reviews])</f>
        <v>1</v>
      </c>
      <c r="J75" s="41">
        <f>_xlfn.XLOOKUP(b.nike.views[[#This Row],[product_ID]],a.nike.original.man[Product_ID], a.nike.original.man[Discount %], "Not Found")</f>
        <v>0</v>
      </c>
      <c r="K75" s="41"/>
      <c r="L75" t="s">
        <v>1470</v>
      </c>
    </row>
    <row r="76" spans="1:12" x14ac:dyDescent="0.2">
      <c r="A76" t="s">
        <v>95</v>
      </c>
      <c r="B76" t="str">
        <f>_xlfn.XLOOKUP(b.nike.views[[#This Row],[product_ID]], a.nike.original.man[Product_ID], a.nike.original.man[Product Name], "Not Found")</f>
        <v>LeBron 7 QS</v>
      </c>
      <c r="C76" s="5" t="str">
        <f>_xlfn.XLOOKUP(b.nike.views[[#This Row],[product_ID]], a.nike.original.man[Product_ID], a.nike.original.man[Rating_Group], "Not Found")</f>
        <v>4 - 5</v>
      </c>
      <c r="D76">
        <f>_xlfn.XLOOKUP(b.nike.views[[#This Row],[product_ID]], a.nike.original.man[Product_ID], a.nike.original.man[Rating], "Not Found")</f>
        <v>5</v>
      </c>
      <c r="E76" s="10">
        <f>ROUND(_xlfn.XLOOKUP(b.nike.views[[#This Row],[product_ID]], a.nike.original.man[Product_ID], a.nike.original.man[Sale Price], "Not Found"), 0)</f>
        <v>170</v>
      </c>
      <c r="F76" s="5" t="str" cm="1">
        <f t="array" ref="F76">_xlfn.IFS(b.nike.views[[#This Row],[Sales_Price]]&lt;=9, "under $10",b.nike.views[[#This Row],[Sales_Price]]&lt;=20, "$20 and under",b.nike.views[[#This Row],[Sales_Price]]&lt;=50, "$50 and under", b.nike.views[[#This Row],[Sales_Price]]&lt;=99, "under $100", b.nike.views[[#This Row],[Sales_Price]]&gt;=100, "$100 +")</f>
        <v>$100 +</v>
      </c>
      <c r="G76">
        <f>COUNTIF(a.nike.original.man[Product_ID], A76)</f>
        <v>1</v>
      </c>
      <c r="H76" t="str" cm="1">
        <f t="array" ref="H76">_xlfn.IFS(b.nike.views[[#This Row],[Review_Count]]&lt;=7, "Below Average",b.nike.views[[#This Row],[Review_Count]]&gt;=8, "Average +")</f>
        <v>Below Average</v>
      </c>
      <c r="I76">
        <f>SUMIF(a.nike.original.man[Product_ID],b.nike.views[[#This Row],[product_ID]], a.nike.original.man[Reviews])</f>
        <v>1</v>
      </c>
      <c r="J76" s="41">
        <f>_xlfn.XLOOKUP(b.nike.views[[#This Row],[product_ID]],a.nike.original.man[Product_ID], a.nike.original.man[Discount %], "Not Found")</f>
        <v>0</v>
      </c>
      <c r="K76" s="41"/>
      <c r="L76" t="s">
        <v>1470</v>
      </c>
    </row>
    <row r="77" spans="1:12" x14ac:dyDescent="0.2">
      <c r="A77" t="s">
        <v>186</v>
      </c>
      <c r="B77" t="str">
        <f>_xlfn.XLOOKUP(b.nike.views[[#This Row],[product_ID]], a.nike.original.man[Product_ID], a.nike.original.man[Product Name], "Not Found")</f>
        <v>Nike Renew Fusion</v>
      </c>
      <c r="C77" s="5" t="str">
        <f>_xlfn.XLOOKUP(b.nike.views[[#This Row],[product_ID]], a.nike.original.man[Product_ID], a.nike.original.man[Rating_Group], "Not Found")</f>
        <v>4 - 5</v>
      </c>
      <c r="D77">
        <f>_xlfn.XLOOKUP(b.nike.views[[#This Row],[product_ID]], a.nike.original.man[Product_ID], a.nike.original.man[Rating], "Not Found")</f>
        <v>5</v>
      </c>
      <c r="E77" s="10">
        <f>ROUND(_xlfn.XLOOKUP(b.nike.views[[#This Row],[product_ID]], a.nike.original.man[Product_ID], a.nike.original.man[Sale Price], "Not Found"), 0)</f>
        <v>70</v>
      </c>
      <c r="F77" s="5" t="str" cm="1">
        <f t="array" ref="F77">_xlfn.IFS(b.nike.views[[#This Row],[Sales_Price]]&lt;=9, "under $10",b.nike.views[[#This Row],[Sales_Price]]&lt;=20, "$20 and under",b.nike.views[[#This Row],[Sales_Price]]&lt;=50, "$50 and under", b.nike.views[[#This Row],[Sales_Price]]&lt;=99, "under $100", b.nike.views[[#This Row],[Sales_Price]]&gt;=100, "$100 +")</f>
        <v>under $100</v>
      </c>
      <c r="G77">
        <f>COUNTIF(a.nike.original.man[Product_ID], A77)</f>
        <v>1</v>
      </c>
      <c r="H77" t="str" cm="1">
        <f t="array" ref="H77">_xlfn.IFS(b.nike.views[[#This Row],[Review_Count]]&lt;=7, "Below Average",b.nike.views[[#This Row],[Review_Count]]&gt;=8, "Average +")</f>
        <v>Below Average</v>
      </c>
      <c r="I77">
        <f>SUMIF(a.nike.original.man[Product_ID],b.nike.views[[#This Row],[product_ID]], a.nike.original.man[Reviews])</f>
        <v>1</v>
      </c>
      <c r="J77" s="41">
        <f>_xlfn.XLOOKUP(b.nike.views[[#This Row],[product_ID]],a.nike.original.man[Product_ID], a.nike.original.man[Discount %], "Not Found")</f>
        <v>0</v>
      </c>
      <c r="K77" s="41"/>
      <c r="L77" t="s">
        <v>1470</v>
      </c>
    </row>
    <row r="78" spans="1:12" x14ac:dyDescent="0.2">
      <c r="A78" t="s">
        <v>592</v>
      </c>
      <c r="B78" t="str">
        <f>_xlfn.XLOOKUP(b.nike.views[[#This Row],[product_ID]], a.nike.original.man[Product_ID], a.nike.original.man[Product Name], "Not Found")</f>
        <v>Jordan Aerospace 720</v>
      </c>
      <c r="C78" s="5" t="str">
        <f>_xlfn.XLOOKUP(b.nike.views[[#This Row],[product_ID]], a.nike.original.man[Product_ID], a.nike.original.man[Rating_Group], "Not Found")</f>
        <v>4 - 5</v>
      </c>
      <c r="D78">
        <f>_xlfn.XLOOKUP(b.nike.views[[#This Row],[product_ID]], a.nike.original.man[Product_ID], a.nike.original.man[Rating], "Not Found")</f>
        <v>5</v>
      </c>
      <c r="E78" s="10">
        <f>ROUND(_xlfn.XLOOKUP(b.nike.views[[#This Row],[product_ID]], a.nike.original.man[Product_ID], a.nike.original.man[Sale Price], "Not Found"), 0)</f>
        <v>170</v>
      </c>
      <c r="F78" s="5" t="str" cm="1">
        <f t="array" ref="F78">_xlfn.IFS(b.nike.views[[#This Row],[Sales_Price]]&lt;=9, "under $10",b.nike.views[[#This Row],[Sales_Price]]&lt;=20, "$20 and under",b.nike.views[[#This Row],[Sales_Price]]&lt;=50, "$50 and under", b.nike.views[[#This Row],[Sales_Price]]&lt;=99, "under $100", b.nike.views[[#This Row],[Sales_Price]]&gt;=100, "$100 +")</f>
        <v>$100 +</v>
      </c>
      <c r="G78">
        <f>COUNTIF(a.nike.original.man[Product_ID], A78)</f>
        <v>1</v>
      </c>
      <c r="H78" t="str" cm="1">
        <f t="array" ref="H78">_xlfn.IFS(b.nike.views[[#This Row],[Review_Count]]&lt;=7, "Below Average",b.nike.views[[#This Row],[Review_Count]]&gt;=8, "Average +")</f>
        <v>Below Average</v>
      </c>
      <c r="I78">
        <f>SUMIF(a.nike.original.man[Product_ID],b.nike.views[[#This Row],[product_ID]], a.nike.original.man[Reviews])</f>
        <v>1</v>
      </c>
      <c r="J78" s="41">
        <f>_xlfn.XLOOKUP(b.nike.views[[#This Row],[product_ID]],a.nike.original.man[Product_ID], a.nike.original.man[Discount %], "Not Found")</f>
        <v>0</v>
      </c>
      <c r="K78" s="41"/>
      <c r="L78" t="s">
        <v>1470</v>
      </c>
    </row>
    <row r="79" spans="1:12" x14ac:dyDescent="0.2">
      <c r="A79" t="s">
        <v>624</v>
      </c>
      <c r="B79" t="str">
        <f>_xlfn.XLOOKUP(b.nike.views[[#This Row],[product_ID]], a.nike.original.man[Product_ID], a.nike.original.man[Product Name], "Not Found")</f>
        <v>Nike Air Max 97 Utility</v>
      </c>
      <c r="C79" s="5" t="str">
        <f>_xlfn.XLOOKUP(b.nike.views[[#This Row],[product_ID]], a.nike.original.man[Product_ID], a.nike.original.man[Rating_Group], "Not Found")</f>
        <v>4 - 5</v>
      </c>
      <c r="D79">
        <f>_xlfn.XLOOKUP(b.nike.views[[#This Row],[product_ID]], a.nike.original.man[Product_ID], a.nike.original.man[Rating], "Not Found")</f>
        <v>5</v>
      </c>
      <c r="E79" s="10">
        <f>ROUND(_xlfn.XLOOKUP(b.nike.views[[#This Row],[product_ID]], a.nike.original.man[Product_ID], a.nike.original.man[Sale Price], "Not Found"), 0)</f>
        <v>112</v>
      </c>
      <c r="F79" s="5" t="str" cm="1">
        <f t="array" ref="F79">_xlfn.IFS(b.nike.views[[#This Row],[Sales_Price]]&lt;=9, "under $10",b.nike.views[[#This Row],[Sales_Price]]&lt;=20, "$20 and under",b.nike.views[[#This Row],[Sales_Price]]&lt;=50, "$50 and under", b.nike.views[[#This Row],[Sales_Price]]&lt;=99, "under $100", b.nike.views[[#This Row],[Sales_Price]]&gt;=100, "$100 +")</f>
        <v>$100 +</v>
      </c>
      <c r="G79">
        <f>COUNTIF(a.nike.original.man[Product_ID], A79)</f>
        <v>1</v>
      </c>
      <c r="H79" t="str" cm="1">
        <f t="array" ref="H79">_xlfn.IFS(b.nike.views[[#This Row],[Review_Count]]&lt;=7, "Below Average",b.nike.views[[#This Row],[Review_Count]]&gt;=8, "Average +")</f>
        <v>Below Average</v>
      </c>
      <c r="I79">
        <f>SUMIF(a.nike.original.man[Product_ID],b.nike.views[[#This Row],[product_ID]], a.nike.original.man[Reviews])</f>
        <v>1</v>
      </c>
      <c r="J79" s="41">
        <f>_xlfn.XLOOKUP(b.nike.views[[#This Row],[product_ID]],a.nike.original.man[Product_ID], a.nike.original.man[Discount %], "Not Found")</f>
        <v>0.3</v>
      </c>
      <c r="K79" s="41"/>
      <c r="L79" t="s">
        <v>1470</v>
      </c>
    </row>
    <row r="80" spans="1:12" x14ac:dyDescent="0.2">
      <c r="A80" t="s">
        <v>785</v>
      </c>
      <c r="B80" t="str">
        <f>_xlfn.XLOOKUP(b.nike.views[[#This Row],[product_ID]], a.nike.original.man[Product_ID], a.nike.original.man[Product Name], "Not Found")</f>
        <v>Nike React Presto Premium</v>
      </c>
      <c r="C80" s="5" t="str">
        <f>_xlfn.XLOOKUP(b.nike.views[[#This Row],[product_ID]], a.nike.original.man[Product_ID], a.nike.original.man[Rating_Group], "Not Found")</f>
        <v>4 - 5</v>
      </c>
      <c r="D80">
        <f>_xlfn.XLOOKUP(b.nike.views[[#This Row],[product_ID]], a.nike.original.man[Product_ID], a.nike.original.man[Rating], "Not Found")</f>
        <v>5</v>
      </c>
      <c r="E80" s="10">
        <f>ROUND(_xlfn.XLOOKUP(b.nike.views[[#This Row],[product_ID]], a.nike.original.man[Product_ID], a.nike.original.man[Sale Price], "Not Found"), 0)</f>
        <v>110</v>
      </c>
      <c r="F80" s="5" t="str" cm="1">
        <f t="array" ref="F80">_xlfn.IFS(b.nike.views[[#This Row],[Sales_Price]]&lt;=9, "under $10",b.nike.views[[#This Row],[Sales_Price]]&lt;=20, "$20 and under",b.nike.views[[#This Row],[Sales_Price]]&lt;=50, "$50 and under", b.nike.views[[#This Row],[Sales_Price]]&lt;=99, "under $100", b.nike.views[[#This Row],[Sales_Price]]&gt;=100, "$100 +")</f>
        <v>$100 +</v>
      </c>
      <c r="G80">
        <f>COUNTIF(a.nike.original.man[Product_ID], A80)</f>
        <v>1</v>
      </c>
      <c r="H80" t="str" cm="1">
        <f t="array" ref="H80">_xlfn.IFS(b.nike.views[[#This Row],[Review_Count]]&lt;=7, "Below Average",b.nike.views[[#This Row],[Review_Count]]&gt;=8, "Average +")</f>
        <v>Below Average</v>
      </c>
      <c r="I80">
        <f>SUMIF(a.nike.original.man[Product_ID],b.nike.views[[#This Row],[product_ID]], a.nike.original.man[Reviews])</f>
        <v>1</v>
      </c>
      <c r="J80" s="41">
        <f>_xlfn.XLOOKUP(b.nike.views[[#This Row],[product_ID]],a.nike.original.man[Product_ID], a.nike.original.man[Discount %], "Not Found")</f>
        <v>0</v>
      </c>
      <c r="K80" s="41"/>
      <c r="L80" t="s">
        <v>1470</v>
      </c>
    </row>
    <row r="81" spans="1:12" x14ac:dyDescent="0.2">
      <c r="A81" t="s">
        <v>794</v>
      </c>
      <c r="B81" t="str">
        <f>_xlfn.XLOOKUP(b.nike.views[[#This Row],[product_ID]], a.nike.original.man[Product_ID], a.nike.original.man[Product Name], "Not Found")</f>
        <v>Nike SB Check</v>
      </c>
      <c r="C81" s="5" t="str">
        <f>_xlfn.XLOOKUP(b.nike.views[[#This Row],[product_ID]], a.nike.original.man[Product_ID], a.nike.original.man[Rating_Group], "Not Found")</f>
        <v>4 - 5</v>
      </c>
      <c r="D81">
        <f>_xlfn.XLOOKUP(b.nike.views[[#This Row],[product_ID]], a.nike.original.man[Product_ID], a.nike.original.man[Rating], "Not Found")</f>
        <v>5</v>
      </c>
      <c r="E81" s="10">
        <f>ROUND(_xlfn.XLOOKUP(b.nike.views[[#This Row],[product_ID]], a.nike.original.man[Product_ID], a.nike.original.man[Sale Price], "Not Found"), 0)</f>
        <v>55</v>
      </c>
      <c r="F81" s="5" t="str" cm="1">
        <f t="array" ref="F81">_xlfn.IFS(b.nike.views[[#This Row],[Sales_Price]]&lt;=9, "under $10",b.nike.views[[#This Row],[Sales_Price]]&lt;=20, "$20 and under",b.nike.views[[#This Row],[Sales_Price]]&lt;=50, "$50 and under", b.nike.views[[#This Row],[Sales_Price]]&lt;=99, "under $100", b.nike.views[[#This Row],[Sales_Price]]&gt;=100, "$100 +")</f>
        <v>under $100</v>
      </c>
      <c r="G81">
        <f>COUNTIF(a.nike.original.man[Product_ID], A81)</f>
        <v>1</v>
      </c>
      <c r="H81" t="str" cm="1">
        <f t="array" ref="H81">_xlfn.IFS(b.nike.views[[#This Row],[Review_Count]]&lt;=7, "Below Average",b.nike.views[[#This Row],[Review_Count]]&gt;=8, "Average +")</f>
        <v>Below Average</v>
      </c>
      <c r="I81">
        <f>SUMIF(a.nike.original.man[Product_ID],b.nike.views[[#This Row],[product_ID]], a.nike.original.man[Reviews])</f>
        <v>1</v>
      </c>
      <c r="J81" s="41">
        <f>_xlfn.XLOOKUP(b.nike.views[[#This Row],[product_ID]],a.nike.original.man[Product_ID], a.nike.original.man[Discount %], "Not Found")</f>
        <v>0</v>
      </c>
      <c r="K81" s="41"/>
      <c r="L81" t="s">
        <v>1470</v>
      </c>
    </row>
    <row r="82" spans="1:12" x14ac:dyDescent="0.2">
      <c r="A82" t="s">
        <v>801</v>
      </c>
      <c r="B82" t="str">
        <f>_xlfn.XLOOKUP(b.nike.views[[#This Row],[product_ID]], a.nike.original.man[Product_ID], a.nike.original.man[Product Name], "Not Found")</f>
        <v>Nike Drop-Type Mid</v>
      </c>
      <c r="C82" s="5" t="str">
        <f>_xlfn.XLOOKUP(b.nike.views[[#This Row],[product_ID]], a.nike.original.man[Product_ID], a.nike.original.man[Rating_Group], "Not Found")</f>
        <v>4 - 5</v>
      </c>
      <c r="D82">
        <f>_xlfn.XLOOKUP(b.nike.views[[#This Row],[product_ID]], a.nike.original.man[Product_ID], a.nike.original.man[Rating], "Not Found")</f>
        <v>5</v>
      </c>
      <c r="E82" s="10">
        <f>ROUND(_xlfn.XLOOKUP(b.nike.views[[#This Row],[product_ID]], a.nike.original.man[Product_ID], a.nike.original.man[Sale Price], "Not Found"), 0)</f>
        <v>49</v>
      </c>
      <c r="F82" s="5" t="str" cm="1">
        <f t="array" ref="F82">_xlfn.IFS(b.nike.views[[#This Row],[Sales_Price]]&lt;=9, "under $10",b.nike.views[[#This Row],[Sales_Price]]&lt;=20, "$20 and under",b.nike.views[[#This Row],[Sales_Price]]&lt;=50, "$50 and under", b.nike.views[[#This Row],[Sales_Price]]&lt;=99, "under $100", b.nike.views[[#This Row],[Sales_Price]]&gt;=100, "$100 +")</f>
        <v>$50 and under</v>
      </c>
      <c r="G82">
        <f>COUNTIF(a.nike.original.man[Product_ID], A82)</f>
        <v>1</v>
      </c>
      <c r="H82" t="str" cm="1">
        <f t="array" ref="H82">_xlfn.IFS(b.nike.views[[#This Row],[Review_Count]]&lt;=7, "Below Average",b.nike.views[[#This Row],[Review_Count]]&gt;=8, "Average +")</f>
        <v>Below Average</v>
      </c>
      <c r="I82">
        <f>SUMIF(a.nike.original.man[Product_ID],b.nike.views[[#This Row],[product_ID]], a.nike.original.man[Reviews])</f>
        <v>1</v>
      </c>
      <c r="J82" s="41">
        <f>_xlfn.XLOOKUP(b.nike.views[[#This Row],[product_ID]],a.nike.original.man[Product_ID], a.nike.original.man[Discount %], "Not Found")</f>
        <v>0.3</v>
      </c>
      <c r="K82" s="41"/>
      <c r="L82" t="s">
        <v>1470</v>
      </c>
    </row>
    <row r="83" spans="1:12" x14ac:dyDescent="0.2">
      <c r="A83" t="s">
        <v>909</v>
      </c>
      <c r="B83" t="str">
        <f>_xlfn.XLOOKUP(b.nike.views[[#This Row],[product_ID]], a.nike.original.man[Product_ID], a.nike.original.man[Product Name], "Not Found")</f>
        <v>Nike Air Streak Lite</v>
      </c>
      <c r="C83" s="5" t="str">
        <f>_xlfn.XLOOKUP(b.nike.views[[#This Row],[product_ID]], a.nike.original.man[Product_ID], a.nike.original.man[Rating_Group], "Not Found")</f>
        <v>4 - 5</v>
      </c>
      <c r="D83">
        <f>_xlfn.XLOOKUP(b.nike.views[[#This Row],[product_ID]], a.nike.original.man[Product_ID], a.nike.original.man[Rating], "Not Found")</f>
        <v>5</v>
      </c>
      <c r="E83" s="10">
        <f>ROUND(_xlfn.XLOOKUP(b.nike.views[[#This Row],[product_ID]], a.nike.original.man[Product_ID], a.nike.original.man[Sale Price], "Not Found"), 0)</f>
        <v>90</v>
      </c>
      <c r="F83" s="5" t="str" cm="1">
        <f t="array" ref="F83">_xlfn.IFS(b.nike.views[[#This Row],[Sales_Price]]&lt;=9, "under $10",b.nike.views[[#This Row],[Sales_Price]]&lt;=20, "$20 and under",b.nike.views[[#This Row],[Sales_Price]]&lt;=50, "$50 and under", b.nike.views[[#This Row],[Sales_Price]]&lt;=99, "under $100", b.nike.views[[#This Row],[Sales_Price]]&gt;=100, "$100 +")</f>
        <v>under $100</v>
      </c>
      <c r="G83">
        <f>COUNTIF(a.nike.original.man[Product_ID], A83)</f>
        <v>1</v>
      </c>
      <c r="H83" t="str" cm="1">
        <f t="array" ref="H83">_xlfn.IFS(b.nike.views[[#This Row],[Review_Count]]&lt;=7, "Below Average",b.nike.views[[#This Row],[Review_Count]]&gt;=8, "Average +")</f>
        <v>Below Average</v>
      </c>
      <c r="I83">
        <f>SUMIF(a.nike.original.man[Product_ID],b.nike.views[[#This Row],[product_ID]], a.nike.original.man[Reviews])</f>
        <v>1</v>
      </c>
      <c r="J83" s="41">
        <f>_xlfn.XLOOKUP(b.nike.views[[#This Row],[product_ID]],a.nike.original.man[Product_ID], a.nike.original.man[Discount %], "Not Found")</f>
        <v>0</v>
      </c>
      <c r="K83" s="41"/>
      <c r="L83" t="s">
        <v>1470</v>
      </c>
    </row>
    <row r="84" spans="1:12" x14ac:dyDescent="0.2">
      <c r="A84" t="s">
        <v>984</v>
      </c>
      <c r="B84" t="str">
        <f>_xlfn.XLOOKUP(b.nike.views[[#This Row],[product_ID]], a.nike.original.man[Product_ID], a.nike.original.man[Product Name], "Not Found")</f>
        <v>Nike x Hawkins High Cortez</v>
      </c>
      <c r="C84" s="5" t="str">
        <f>_xlfn.XLOOKUP(b.nike.views[[#This Row],[product_ID]], a.nike.original.man[Product_ID], a.nike.original.man[Rating_Group], "Not Found")</f>
        <v>4 - 5</v>
      </c>
      <c r="D84">
        <f>_xlfn.XLOOKUP(b.nike.views[[#This Row],[product_ID]], a.nike.original.man[Product_ID], a.nike.original.man[Rating], "Not Found")</f>
        <v>5</v>
      </c>
      <c r="E84" s="10">
        <f>ROUND(_xlfn.XLOOKUP(b.nike.views[[#This Row],[product_ID]], a.nike.original.man[Product_ID], a.nike.original.man[Sale Price], "Not Found"), 0)</f>
        <v>100</v>
      </c>
      <c r="F84" s="5" t="str" cm="1">
        <f t="array" ref="F84">_xlfn.IFS(b.nike.views[[#This Row],[Sales_Price]]&lt;=9, "under $10",b.nike.views[[#This Row],[Sales_Price]]&lt;=20, "$20 and under",b.nike.views[[#This Row],[Sales_Price]]&lt;=50, "$50 and under", b.nike.views[[#This Row],[Sales_Price]]&lt;=99, "under $100", b.nike.views[[#This Row],[Sales_Price]]&gt;=100, "$100 +")</f>
        <v>$100 +</v>
      </c>
      <c r="G84">
        <f>COUNTIF(a.nike.original.man[Product_ID], A84)</f>
        <v>1</v>
      </c>
      <c r="H84" t="str" cm="1">
        <f t="array" ref="H84">_xlfn.IFS(b.nike.views[[#This Row],[Review_Count]]&lt;=7, "Below Average",b.nike.views[[#This Row],[Review_Count]]&gt;=8, "Average +")</f>
        <v>Below Average</v>
      </c>
      <c r="I84">
        <f>SUMIF(a.nike.original.man[Product_ID],b.nike.views[[#This Row],[product_ID]], a.nike.original.man[Reviews])</f>
        <v>1</v>
      </c>
      <c r="J84" s="41">
        <f>_xlfn.XLOOKUP(b.nike.views[[#This Row],[product_ID]],a.nike.original.man[Product_ID], a.nike.original.man[Discount %], "Not Found")</f>
        <v>0</v>
      </c>
      <c r="K84" s="41"/>
      <c r="L84" t="s">
        <v>1470</v>
      </c>
    </row>
    <row r="85" spans="1:12" x14ac:dyDescent="0.2">
      <c r="A85" t="s">
        <v>1004</v>
      </c>
      <c r="B85" t="str">
        <f>_xlfn.XLOOKUP(b.nike.views[[#This Row],[product_ID]], a.nike.original.man[Product_ID], a.nike.original.man[Product Name], "Not Found")</f>
        <v>Air Jordan 13 Retro Chinese New Year</v>
      </c>
      <c r="C85" s="5" t="str">
        <f>_xlfn.XLOOKUP(b.nike.views[[#This Row],[product_ID]], a.nike.original.man[Product_ID], a.nike.original.man[Rating_Group], "Not Found")</f>
        <v>4 - 5</v>
      </c>
      <c r="D85">
        <f>_xlfn.XLOOKUP(b.nike.views[[#This Row],[product_ID]], a.nike.original.man[Product_ID], a.nike.original.man[Rating], "Not Found")</f>
        <v>5</v>
      </c>
      <c r="E85" s="10">
        <f>ROUND(_xlfn.XLOOKUP(b.nike.views[[#This Row],[product_ID]], a.nike.original.man[Product_ID], a.nike.original.man[Sale Price], "Not Found"), 0)</f>
        <v>200</v>
      </c>
      <c r="F85" s="5" t="str" cm="1">
        <f t="array" ref="F85">_xlfn.IFS(b.nike.views[[#This Row],[Sales_Price]]&lt;=9, "under $10",b.nike.views[[#This Row],[Sales_Price]]&lt;=20, "$20 and under",b.nike.views[[#This Row],[Sales_Price]]&lt;=50, "$50 and under", b.nike.views[[#This Row],[Sales_Price]]&lt;=99, "under $100", b.nike.views[[#This Row],[Sales_Price]]&gt;=100, "$100 +")</f>
        <v>$100 +</v>
      </c>
      <c r="G85">
        <f>COUNTIF(a.nike.original.man[Product_ID], A85)</f>
        <v>1</v>
      </c>
      <c r="H85" t="str" cm="1">
        <f t="array" ref="H85">_xlfn.IFS(b.nike.views[[#This Row],[Review_Count]]&lt;=7, "Below Average",b.nike.views[[#This Row],[Review_Count]]&gt;=8, "Average +")</f>
        <v>Below Average</v>
      </c>
      <c r="I85">
        <f>SUMIF(a.nike.original.man[Product_ID],b.nike.views[[#This Row],[product_ID]], a.nike.original.man[Reviews])</f>
        <v>1</v>
      </c>
      <c r="J85" s="41">
        <f>_xlfn.XLOOKUP(b.nike.views[[#This Row],[product_ID]],a.nike.original.man[Product_ID], a.nike.original.man[Discount %], "Not Found")</f>
        <v>0</v>
      </c>
      <c r="K85" s="41"/>
      <c r="L85" t="s">
        <v>1470</v>
      </c>
    </row>
    <row r="86" spans="1:12" x14ac:dyDescent="0.2">
      <c r="A86" t="s">
        <v>1042</v>
      </c>
      <c r="B86" t="str">
        <f>_xlfn.XLOOKUP(b.nike.views[[#This Row],[product_ID]], a.nike.original.man[Product_ID], a.nike.original.man[Product Name], "Not Found")</f>
        <v>Nike x Undercover React Presto</v>
      </c>
      <c r="C86" s="5" t="str">
        <f>_xlfn.XLOOKUP(b.nike.views[[#This Row],[product_ID]], a.nike.original.man[Product_ID], a.nike.original.man[Rating_Group], "Not Found")</f>
        <v>4 - 5</v>
      </c>
      <c r="D86">
        <f>_xlfn.XLOOKUP(b.nike.views[[#This Row],[product_ID]], a.nike.original.man[Product_ID], a.nike.original.man[Rating], "Not Found")</f>
        <v>5</v>
      </c>
      <c r="E86" s="10">
        <f>ROUND(_xlfn.XLOOKUP(b.nike.views[[#This Row],[product_ID]], a.nike.original.man[Product_ID], a.nike.original.man[Sale Price], "Not Found"), 0)</f>
        <v>160</v>
      </c>
      <c r="F86" s="5" t="str" cm="1">
        <f t="array" ref="F86">_xlfn.IFS(b.nike.views[[#This Row],[Sales_Price]]&lt;=9, "under $10",b.nike.views[[#This Row],[Sales_Price]]&lt;=20, "$20 and under",b.nike.views[[#This Row],[Sales_Price]]&lt;=50, "$50 and under", b.nike.views[[#This Row],[Sales_Price]]&lt;=99, "under $100", b.nike.views[[#This Row],[Sales_Price]]&gt;=100, "$100 +")</f>
        <v>$100 +</v>
      </c>
      <c r="G86">
        <f>COUNTIF(a.nike.original.man[Product_ID], A86)</f>
        <v>1</v>
      </c>
      <c r="H86" t="str" cm="1">
        <f t="array" ref="H86">_xlfn.IFS(b.nike.views[[#This Row],[Review_Count]]&lt;=7, "Below Average",b.nike.views[[#This Row],[Review_Count]]&gt;=8, "Average +")</f>
        <v>Below Average</v>
      </c>
      <c r="I86">
        <f>SUMIF(a.nike.original.man[Product_ID],b.nike.views[[#This Row],[product_ID]], a.nike.original.man[Reviews])</f>
        <v>1</v>
      </c>
      <c r="J86" s="41">
        <f>_xlfn.XLOOKUP(b.nike.views[[#This Row],[product_ID]],a.nike.original.man[Product_ID], a.nike.original.man[Discount %], "Not Found")</f>
        <v>0</v>
      </c>
      <c r="K86" s="41"/>
      <c r="L86" t="s">
        <v>1470</v>
      </c>
    </row>
    <row r="87" spans="1:12" x14ac:dyDescent="0.2">
      <c r="A87" t="s">
        <v>1054</v>
      </c>
      <c r="B87" t="str">
        <f>_xlfn.XLOOKUP(b.nike.views[[#This Row],[product_ID]], a.nike.original.man[Product_ID], a.nike.original.man[Product Name], "Not Found")</f>
        <v>Nike Vandalised LX</v>
      </c>
      <c r="C87" s="5" t="str">
        <f>_xlfn.XLOOKUP(b.nike.views[[#This Row],[product_ID]], a.nike.original.man[Product_ID], a.nike.original.man[Rating_Group], "Not Found")</f>
        <v>4 - 5</v>
      </c>
      <c r="D87">
        <f>_xlfn.XLOOKUP(b.nike.views[[#This Row],[product_ID]], a.nike.original.man[Product_ID], a.nike.original.man[Rating], "Not Found")</f>
        <v>5</v>
      </c>
      <c r="E87" s="10">
        <f>ROUND(_xlfn.XLOOKUP(b.nike.views[[#This Row],[product_ID]], a.nike.original.man[Product_ID], a.nike.original.man[Sale Price], "Not Found"), 0)</f>
        <v>88</v>
      </c>
      <c r="F87" s="5" t="str" cm="1">
        <f t="array" ref="F87">_xlfn.IFS(b.nike.views[[#This Row],[Sales_Price]]&lt;=9, "under $10",b.nike.views[[#This Row],[Sales_Price]]&lt;=20, "$20 and under",b.nike.views[[#This Row],[Sales_Price]]&lt;=50, "$50 and under", b.nike.views[[#This Row],[Sales_Price]]&lt;=99, "under $100", b.nike.views[[#This Row],[Sales_Price]]&gt;=100, "$100 +")</f>
        <v>under $100</v>
      </c>
      <c r="G87">
        <f>COUNTIF(a.nike.original.man[Product_ID], A87)</f>
        <v>1</v>
      </c>
      <c r="H87" t="str" cm="1">
        <f t="array" ref="H87">_xlfn.IFS(b.nike.views[[#This Row],[Review_Count]]&lt;=7, "Below Average",b.nike.views[[#This Row],[Review_Count]]&gt;=8, "Average +")</f>
        <v>Below Average</v>
      </c>
      <c r="I87">
        <f>SUMIF(a.nike.original.man[Product_ID],b.nike.views[[#This Row],[product_ID]], a.nike.original.man[Reviews])</f>
        <v>1</v>
      </c>
      <c r="J87" s="41">
        <f>_xlfn.XLOOKUP(b.nike.views[[#This Row],[product_ID]],a.nike.original.man[Product_ID], a.nike.original.man[Discount %], "Not Found")</f>
        <v>0.2</v>
      </c>
      <c r="K87" s="41"/>
      <c r="L87" t="s">
        <v>1470</v>
      </c>
    </row>
    <row r="88" spans="1:12" x14ac:dyDescent="0.2">
      <c r="A88" t="s">
        <v>1087</v>
      </c>
      <c r="B88" t="str">
        <f>_xlfn.XLOOKUP(b.nike.views[[#This Row],[product_ID]], a.nike.original.man[Product_ID], a.nike.original.man[Product Name], "Not Found")</f>
        <v>Nike React Element 55 SE</v>
      </c>
      <c r="C88" s="5" t="str">
        <f>_xlfn.XLOOKUP(b.nike.views[[#This Row],[product_ID]], a.nike.original.man[Product_ID], a.nike.original.man[Rating_Group], "Not Found")</f>
        <v>4 - 5</v>
      </c>
      <c r="D88">
        <f>_xlfn.XLOOKUP(b.nike.views[[#This Row],[product_ID]], a.nike.original.man[Product_ID], a.nike.original.man[Rating], "Not Found")</f>
        <v>5</v>
      </c>
      <c r="E88" s="10">
        <f>ROUND(_xlfn.XLOOKUP(b.nike.views[[#This Row],[product_ID]], a.nike.original.man[Product_ID], a.nike.original.man[Sale Price], "Not Found"), 0)</f>
        <v>120</v>
      </c>
      <c r="F88" s="5" t="str" cm="1">
        <f t="array" ref="F88">_xlfn.IFS(b.nike.views[[#This Row],[Sales_Price]]&lt;=9, "under $10",b.nike.views[[#This Row],[Sales_Price]]&lt;=20, "$20 and under",b.nike.views[[#This Row],[Sales_Price]]&lt;=50, "$50 and under", b.nike.views[[#This Row],[Sales_Price]]&lt;=99, "under $100", b.nike.views[[#This Row],[Sales_Price]]&gt;=100, "$100 +")</f>
        <v>$100 +</v>
      </c>
      <c r="G88">
        <f>COUNTIF(a.nike.original.man[Product_ID], A88)</f>
        <v>1</v>
      </c>
      <c r="H88" t="str" cm="1">
        <f t="array" ref="H88">_xlfn.IFS(b.nike.views[[#This Row],[Review_Count]]&lt;=7, "Below Average",b.nike.views[[#This Row],[Review_Count]]&gt;=8, "Average +")</f>
        <v>Below Average</v>
      </c>
      <c r="I88">
        <f>SUMIF(a.nike.original.man[Product_ID],b.nike.views[[#This Row],[product_ID]], a.nike.original.man[Reviews])</f>
        <v>1</v>
      </c>
      <c r="J88" s="41">
        <f>_xlfn.XLOOKUP(b.nike.views[[#This Row],[product_ID]],a.nike.original.man[Product_ID], a.nike.original.man[Discount %], "Not Found")</f>
        <v>0</v>
      </c>
      <c r="K88" s="41"/>
      <c r="L88" t="s">
        <v>1470</v>
      </c>
    </row>
    <row r="89" spans="1:12" x14ac:dyDescent="0.2">
      <c r="A89" t="s">
        <v>1112</v>
      </c>
      <c r="B89" t="str">
        <f>_xlfn.XLOOKUP(b.nike.views[[#This Row],[product_ID]], a.nike.original.man[Product_ID], a.nike.original.man[Product Name], "Not Found")</f>
        <v>Nike Air Max Tailwind IV</v>
      </c>
      <c r="C89" s="5" t="str">
        <f>_xlfn.XLOOKUP(b.nike.views[[#This Row],[product_ID]], a.nike.original.man[Product_ID], a.nike.original.man[Rating_Group], "Not Found")</f>
        <v>4 - 5</v>
      </c>
      <c r="D89">
        <f>_xlfn.XLOOKUP(b.nike.views[[#This Row],[product_ID]], a.nike.original.man[Product_ID], a.nike.original.man[Rating], "Not Found")</f>
        <v>5</v>
      </c>
      <c r="E89" s="10">
        <f>ROUND(_xlfn.XLOOKUP(b.nike.views[[#This Row],[product_ID]], a.nike.original.man[Product_ID], a.nike.original.man[Sale Price], "Not Found"), 0)</f>
        <v>84</v>
      </c>
      <c r="F89" s="5" t="str" cm="1">
        <f t="array" ref="F89">_xlfn.IFS(b.nike.views[[#This Row],[Sales_Price]]&lt;=9, "under $10",b.nike.views[[#This Row],[Sales_Price]]&lt;=20, "$20 and under",b.nike.views[[#This Row],[Sales_Price]]&lt;=50, "$50 and under", b.nike.views[[#This Row],[Sales_Price]]&lt;=99, "under $100", b.nike.views[[#This Row],[Sales_Price]]&gt;=100, "$100 +")</f>
        <v>under $100</v>
      </c>
      <c r="G89">
        <f>COUNTIF(a.nike.original.man[Product_ID], A89)</f>
        <v>1</v>
      </c>
      <c r="H89" t="str" cm="1">
        <f t="array" ref="H89">_xlfn.IFS(b.nike.views[[#This Row],[Review_Count]]&lt;=7, "Below Average",b.nike.views[[#This Row],[Review_Count]]&gt;=8, "Average +")</f>
        <v>Below Average</v>
      </c>
      <c r="I89">
        <f>SUMIF(a.nike.original.man[Product_ID],b.nike.views[[#This Row],[product_ID]], a.nike.original.man[Reviews])</f>
        <v>1</v>
      </c>
      <c r="J89" s="41">
        <f>_xlfn.XLOOKUP(b.nike.views[[#This Row],[product_ID]],a.nike.original.man[Product_ID], a.nike.original.man[Discount %], "Not Found")</f>
        <v>0.4</v>
      </c>
      <c r="K89" s="41"/>
      <c r="L89" t="s">
        <v>1470</v>
      </c>
    </row>
    <row r="90" spans="1:12" x14ac:dyDescent="0.2">
      <c r="A90" t="s">
        <v>1135</v>
      </c>
      <c r="B90" t="str">
        <f>_xlfn.XLOOKUP(b.nike.views[[#This Row],[product_ID]], a.nike.original.man[Product_ID], a.nike.original.man[Product Name], "Not Found")</f>
        <v>Nike Air Force 1 '07 Premium</v>
      </c>
      <c r="C90" s="5" t="str">
        <f>_xlfn.XLOOKUP(b.nike.views[[#This Row],[product_ID]], a.nike.original.man[Product_ID], a.nike.original.man[Rating_Group], "Not Found")</f>
        <v>4 - 5</v>
      </c>
      <c r="D90">
        <f>_xlfn.XLOOKUP(b.nike.views[[#This Row],[product_ID]], a.nike.original.man[Product_ID], a.nike.original.man[Rating], "Not Found")</f>
        <v>5</v>
      </c>
      <c r="E90" s="10">
        <f>ROUND(_xlfn.XLOOKUP(b.nike.views[[#This Row],[product_ID]], a.nike.original.man[Product_ID], a.nike.original.man[Sale Price], "Not Found"), 0)</f>
        <v>77</v>
      </c>
      <c r="F90" s="5" t="str" cm="1">
        <f t="array" ref="F90">_xlfn.IFS(b.nike.views[[#This Row],[Sales_Price]]&lt;=9, "under $10",b.nike.views[[#This Row],[Sales_Price]]&lt;=20, "$20 and under",b.nike.views[[#This Row],[Sales_Price]]&lt;=50, "$50 and under", b.nike.views[[#This Row],[Sales_Price]]&lt;=99, "under $100", b.nike.views[[#This Row],[Sales_Price]]&gt;=100, "$100 +")</f>
        <v>under $100</v>
      </c>
      <c r="G90">
        <f>COUNTIF(a.nike.original.man[Product_ID], A90)</f>
        <v>1</v>
      </c>
      <c r="H90" t="str" cm="1">
        <f t="array" ref="H90">_xlfn.IFS(b.nike.views[[#This Row],[Review_Count]]&lt;=7, "Below Average",b.nike.views[[#This Row],[Review_Count]]&gt;=8, "Average +")</f>
        <v>Below Average</v>
      </c>
      <c r="I90">
        <f>SUMIF(a.nike.original.man[Product_ID],b.nike.views[[#This Row],[product_ID]], a.nike.original.man[Reviews])</f>
        <v>1</v>
      </c>
      <c r="J90" s="41">
        <f>_xlfn.XLOOKUP(b.nike.views[[#This Row],[product_ID]],a.nike.original.man[Product_ID], a.nike.original.man[Discount %], "Not Found")</f>
        <v>0.3</v>
      </c>
      <c r="K90" s="41"/>
      <c r="L90" t="s">
        <v>1470</v>
      </c>
    </row>
    <row r="91" spans="1:12" x14ac:dyDescent="0.2">
      <c r="A91" t="s">
        <v>1154</v>
      </c>
      <c r="B91" t="str">
        <f>_xlfn.XLOOKUP(b.nike.views[[#This Row],[product_ID]], a.nike.original.man[Product_ID], a.nike.original.man[Product Name], "Not Found")</f>
        <v>Nike Shox TL Nova SP</v>
      </c>
      <c r="C91" s="5" t="str">
        <f>_xlfn.XLOOKUP(b.nike.views[[#This Row],[product_ID]], a.nike.original.man[Product_ID], a.nike.original.man[Rating_Group], "Not Found")</f>
        <v>4 - 5</v>
      </c>
      <c r="D91">
        <f>_xlfn.XLOOKUP(b.nike.views[[#This Row],[product_ID]], a.nike.original.man[Product_ID], a.nike.original.man[Rating], "Not Found")</f>
        <v>5</v>
      </c>
      <c r="E91" s="10">
        <f>ROUND(_xlfn.XLOOKUP(b.nike.views[[#This Row],[product_ID]], a.nike.original.man[Product_ID], a.nike.original.man[Sale Price], "Not Found"), 0)</f>
        <v>150</v>
      </c>
      <c r="F91" s="5" t="str" cm="1">
        <f t="array" ref="F91">_xlfn.IFS(b.nike.views[[#This Row],[Sales_Price]]&lt;=9, "under $10",b.nike.views[[#This Row],[Sales_Price]]&lt;=20, "$20 and under",b.nike.views[[#This Row],[Sales_Price]]&lt;=50, "$50 and under", b.nike.views[[#This Row],[Sales_Price]]&lt;=99, "under $100", b.nike.views[[#This Row],[Sales_Price]]&gt;=100, "$100 +")</f>
        <v>$100 +</v>
      </c>
      <c r="G91">
        <f>COUNTIF(a.nike.original.man[Product_ID], A91)</f>
        <v>1</v>
      </c>
      <c r="H91" t="str" cm="1">
        <f t="array" ref="H91">_xlfn.IFS(b.nike.views[[#This Row],[Review_Count]]&lt;=7, "Below Average",b.nike.views[[#This Row],[Review_Count]]&gt;=8, "Average +")</f>
        <v>Below Average</v>
      </c>
      <c r="I91">
        <f>SUMIF(a.nike.original.man[Product_ID],b.nike.views[[#This Row],[product_ID]], a.nike.original.man[Reviews])</f>
        <v>1</v>
      </c>
      <c r="J91" s="41">
        <f>_xlfn.XLOOKUP(b.nike.views[[#This Row],[product_ID]],a.nike.original.man[Product_ID], a.nike.original.man[Discount %], "Not Found")</f>
        <v>0</v>
      </c>
      <c r="K91" s="41"/>
      <c r="L91" t="s">
        <v>1470</v>
      </c>
    </row>
    <row r="92" spans="1:12" x14ac:dyDescent="0.2">
      <c r="A92" t="s">
        <v>1156</v>
      </c>
      <c r="B92" t="str">
        <f>_xlfn.XLOOKUP(b.nike.views[[#This Row],[product_ID]], a.nike.original.man[Product_ID], a.nike.original.man[Product Name], "Not Found")</f>
        <v>Nike Air Max 90</v>
      </c>
      <c r="C92" s="5" t="str">
        <f>_xlfn.XLOOKUP(b.nike.views[[#This Row],[product_ID]], a.nike.original.man[Product_ID], a.nike.original.man[Rating_Group], "Not Found")</f>
        <v>4 - 5</v>
      </c>
      <c r="D92">
        <f>_xlfn.XLOOKUP(b.nike.views[[#This Row],[product_ID]], a.nike.original.man[Product_ID], a.nike.original.man[Rating], "Not Found")</f>
        <v>5</v>
      </c>
      <c r="E92" s="10">
        <f>ROUND(_xlfn.XLOOKUP(b.nike.views[[#This Row],[product_ID]], a.nike.original.man[Product_ID], a.nike.original.man[Sale Price], "Not Found"), 0)</f>
        <v>98</v>
      </c>
      <c r="F92" s="5" t="str" cm="1">
        <f t="array" ref="F92">_xlfn.IFS(b.nike.views[[#This Row],[Sales_Price]]&lt;=9, "under $10",b.nike.views[[#This Row],[Sales_Price]]&lt;=20, "$20 and under",b.nike.views[[#This Row],[Sales_Price]]&lt;=50, "$50 and under", b.nike.views[[#This Row],[Sales_Price]]&lt;=99, "under $100", b.nike.views[[#This Row],[Sales_Price]]&gt;=100, "$100 +")</f>
        <v>under $100</v>
      </c>
      <c r="G92">
        <f>COUNTIF(a.nike.original.man[Product_ID], A92)</f>
        <v>1</v>
      </c>
      <c r="H92" t="str" cm="1">
        <f t="array" ref="H92">_xlfn.IFS(b.nike.views[[#This Row],[Review_Count]]&lt;=7, "Below Average",b.nike.views[[#This Row],[Review_Count]]&gt;=8, "Average +")</f>
        <v>Below Average</v>
      </c>
      <c r="I92">
        <f>SUMIF(a.nike.original.man[Product_ID],b.nike.views[[#This Row],[product_ID]], a.nike.original.man[Reviews])</f>
        <v>1</v>
      </c>
      <c r="J92" s="41">
        <f>_xlfn.XLOOKUP(b.nike.views[[#This Row],[product_ID]],a.nike.original.man[Product_ID], a.nike.original.man[Discount %], "Not Found")</f>
        <v>0.3</v>
      </c>
      <c r="K92" s="41"/>
      <c r="L92" t="s">
        <v>1470</v>
      </c>
    </row>
    <row r="93" spans="1:12" x14ac:dyDescent="0.2">
      <c r="A93" t="s">
        <v>1165</v>
      </c>
      <c r="B93" t="str">
        <f>_xlfn.XLOOKUP(b.nike.views[[#This Row],[product_ID]], a.nike.original.man[Product_ID], a.nike.original.man[Product Name], "Not Found")</f>
        <v>Nike x Olivia Kim Air Force 1 '07</v>
      </c>
      <c r="C93" s="5" t="str">
        <f>_xlfn.XLOOKUP(b.nike.views[[#This Row],[product_ID]], a.nike.original.man[Product_ID], a.nike.original.man[Rating_Group], "Not Found")</f>
        <v>4 - 5</v>
      </c>
      <c r="D93">
        <f>_xlfn.XLOOKUP(b.nike.views[[#This Row],[product_ID]], a.nike.original.man[Product_ID], a.nike.original.man[Rating], "Not Found")</f>
        <v>5</v>
      </c>
      <c r="E93" s="10">
        <f>ROUND(_xlfn.XLOOKUP(b.nike.views[[#This Row],[product_ID]], a.nike.original.man[Product_ID], a.nike.original.man[Sale Price], "Not Found"), 0)</f>
        <v>100</v>
      </c>
      <c r="F93" s="5" t="str" cm="1">
        <f t="array" ref="F93">_xlfn.IFS(b.nike.views[[#This Row],[Sales_Price]]&lt;=9, "under $10",b.nike.views[[#This Row],[Sales_Price]]&lt;=20, "$20 and under",b.nike.views[[#This Row],[Sales_Price]]&lt;=50, "$50 and under", b.nike.views[[#This Row],[Sales_Price]]&lt;=99, "under $100", b.nike.views[[#This Row],[Sales_Price]]&gt;=100, "$100 +")</f>
        <v>$100 +</v>
      </c>
      <c r="G93">
        <f>COUNTIF(a.nike.original.man[Product_ID], A93)</f>
        <v>1</v>
      </c>
      <c r="H93" t="str" cm="1">
        <f t="array" ref="H93">_xlfn.IFS(b.nike.views[[#This Row],[Review_Count]]&lt;=7, "Below Average",b.nike.views[[#This Row],[Review_Count]]&gt;=8, "Average +")</f>
        <v>Below Average</v>
      </c>
      <c r="I93">
        <f>SUMIF(a.nike.original.man[Product_ID],b.nike.views[[#This Row],[product_ID]], a.nike.original.man[Reviews])</f>
        <v>1</v>
      </c>
      <c r="J93" s="41">
        <f>_xlfn.XLOOKUP(b.nike.views[[#This Row],[product_ID]],a.nike.original.man[Product_ID], a.nike.original.man[Discount %], "Not Found")</f>
        <v>0</v>
      </c>
      <c r="K93" s="41"/>
      <c r="L93" t="s">
        <v>1470</v>
      </c>
    </row>
    <row r="94" spans="1:12" x14ac:dyDescent="0.2">
      <c r="A94" t="s">
        <v>1195</v>
      </c>
      <c r="B94" t="str">
        <f>_xlfn.XLOOKUP(b.nike.views[[#This Row],[product_ID]], a.nike.original.man[Product_ID], a.nike.original.man[Product Name], "Not Found")</f>
        <v>Nike Air Max 2090</v>
      </c>
      <c r="C94" s="5" t="str">
        <f>_xlfn.XLOOKUP(b.nike.views[[#This Row],[product_ID]], a.nike.original.man[Product_ID], a.nike.original.man[Rating_Group], "Not Found")</f>
        <v>4 - 5</v>
      </c>
      <c r="D94">
        <f>_xlfn.XLOOKUP(b.nike.views[[#This Row],[product_ID]], a.nike.original.man[Product_ID], a.nike.original.man[Rating], "Not Found")</f>
        <v>5</v>
      </c>
      <c r="E94" s="10">
        <f>ROUND(_xlfn.XLOOKUP(b.nike.views[[#This Row],[product_ID]], a.nike.original.man[Product_ID], a.nike.original.man[Sale Price], "Not Found"), 0)</f>
        <v>140</v>
      </c>
      <c r="F94" s="5" t="str" cm="1">
        <f t="array" ref="F94">_xlfn.IFS(b.nike.views[[#This Row],[Sales_Price]]&lt;=9, "under $10",b.nike.views[[#This Row],[Sales_Price]]&lt;=20, "$20 and under",b.nike.views[[#This Row],[Sales_Price]]&lt;=50, "$50 and under", b.nike.views[[#This Row],[Sales_Price]]&lt;=99, "under $100", b.nike.views[[#This Row],[Sales_Price]]&gt;=100, "$100 +")</f>
        <v>$100 +</v>
      </c>
      <c r="G94">
        <f>COUNTIF(a.nike.original.man[Product_ID], A94)</f>
        <v>1</v>
      </c>
      <c r="H94" t="str" cm="1">
        <f t="array" ref="H94">_xlfn.IFS(b.nike.views[[#This Row],[Review_Count]]&lt;=7, "Below Average",b.nike.views[[#This Row],[Review_Count]]&gt;=8, "Average +")</f>
        <v>Below Average</v>
      </c>
      <c r="I94">
        <f>SUMIF(a.nike.original.man[Product_ID],b.nike.views[[#This Row],[product_ID]], a.nike.original.man[Reviews])</f>
        <v>1</v>
      </c>
      <c r="J94" s="41">
        <f>_xlfn.XLOOKUP(b.nike.views[[#This Row],[product_ID]],a.nike.original.man[Product_ID], a.nike.original.man[Discount %], "Not Found")</f>
        <v>0</v>
      </c>
      <c r="K94" s="41"/>
      <c r="L94" t="s">
        <v>1470</v>
      </c>
    </row>
    <row r="95" spans="1:12" x14ac:dyDescent="0.2">
      <c r="A95" t="s">
        <v>1252</v>
      </c>
      <c r="B95" t="str">
        <f>_xlfn.XLOOKUP(b.nike.views[[#This Row],[product_ID]], a.nike.original.man[Product_ID], a.nike.original.man[Product Name], "Not Found")</f>
        <v>Nike Air VaporMax 2019 Premium</v>
      </c>
      <c r="C95" s="5" t="str">
        <f>_xlfn.XLOOKUP(b.nike.views[[#This Row],[product_ID]], a.nike.original.man[Product_ID], a.nike.original.man[Rating_Group], "Not Found")</f>
        <v>4 - 5</v>
      </c>
      <c r="D95">
        <f>_xlfn.XLOOKUP(b.nike.views[[#This Row],[product_ID]], a.nike.original.man[Product_ID], a.nike.original.man[Rating], "Not Found")</f>
        <v>5</v>
      </c>
      <c r="E95" s="10">
        <f>ROUND(_xlfn.XLOOKUP(b.nike.views[[#This Row],[product_ID]], a.nike.original.man[Product_ID], a.nike.original.man[Sale Price], "Not Found"), 0)</f>
        <v>136</v>
      </c>
      <c r="F95" s="5" t="str" cm="1">
        <f t="array" ref="F95">_xlfn.IFS(b.nike.views[[#This Row],[Sales_Price]]&lt;=9, "under $10",b.nike.views[[#This Row],[Sales_Price]]&lt;=20, "$20 and under",b.nike.views[[#This Row],[Sales_Price]]&lt;=50, "$50 and under", b.nike.views[[#This Row],[Sales_Price]]&lt;=99, "under $100", b.nike.views[[#This Row],[Sales_Price]]&gt;=100, "$100 +")</f>
        <v>$100 +</v>
      </c>
      <c r="G95">
        <f>COUNTIF(a.nike.original.man[Product_ID], A95)</f>
        <v>1</v>
      </c>
      <c r="H95" t="str" cm="1">
        <f t="array" ref="H95">_xlfn.IFS(b.nike.views[[#This Row],[Review_Count]]&lt;=7, "Below Average",b.nike.views[[#This Row],[Review_Count]]&gt;=8, "Average +")</f>
        <v>Below Average</v>
      </c>
      <c r="I95">
        <f>SUMIF(a.nike.original.man[Product_ID],b.nike.views[[#This Row],[product_ID]], a.nike.original.man[Reviews])</f>
        <v>1</v>
      </c>
      <c r="J95" s="41">
        <f>_xlfn.XLOOKUP(b.nike.views[[#This Row],[product_ID]],a.nike.original.man[Product_ID], a.nike.original.man[Discount %], "Not Found")</f>
        <v>0.2</v>
      </c>
      <c r="K95" s="41"/>
      <c r="L95" t="s">
        <v>1470</v>
      </c>
    </row>
    <row r="96" spans="1:12" x14ac:dyDescent="0.2">
      <c r="A96" t="s">
        <v>1258</v>
      </c>
      <c r="B96" t="str">
        <f>_xlfn.XLOOKUP(b.nike.views[[#This Row],[product_ID]], a.nike.original.man[Product_ID], a.nike.original.man[Product Name], "Not Found")</f>
        <v>Air Jordan 1 Nova XX</v>
      </c>
      <c r="C96" s="5" t="str">
        <f>_xlfn.XLOOKUP(b.nike.views[[#This Row],[product_ID]], a.nike.original.man[Product_ID], a.nike.original.man[Rating_Group], "Not Found")</f>
        <v>4 - 5</v>
      </c>
      <c r="D96">
        <f>_xlfn.XLOOKUP(b.nike.views[[#This Row],[product_ID]], a.nike.original.man[Product_ID], a.nike.original.man[Rating], "Not Found")</f>
        <v>5</v>
      </c>
      <c r="E96" s="10">
        <f>ROUND(_xlfn.XLOOKUP(b.nike.views[[#This Row],[product_ID]], a.nike.original.man[Product_ID], a.nike.original.man[Sale Price], "Not Found"), 0)</f>
        <v>105</v>
      </c>
      <c r="F96" s="5" t="str" cm="1">
        <f t="array" ref="F96">_xlfn.IFS(b.nike.views[[#This Row],[Sales_Price]]&lt;=9, "under $10",b.nike.views[[#This Row],[Sales_Price]]&lt;=20, "$20 and under",b.nike.views[[#This Row],[Sales_Price]]&lt;=50, "$50 and under", b.nike.views[[#This Row],[Sales_Price]]&lt;=99, "under $100", b.nike.views[[#This Row],[Sales_Price]]&gt;=100, "$100 +")</f>
        <v>$100 +</v>
      </c>
      <c r="G96">
        <f>COUNTIF(a.nike.original.man[Product_ID], A96)</f>
        <v>1</v>
      </c>
      <c r="H96" t="str" cm="1">
        <f t="array" ref="H96">_xlfn.IFS(b.nike.views[[#This Row],[Review_Count]]&lt;=7, "Below Average",b.nike.views[[#This Row],[Review_Count]]&gt;=8, "Average +")</f>
        <v>Below Average</v>
      </c>
      <c r="I96">
        <f>SUMIF(a.nike.original.man[Product_ID],b.nike.views[[#This Row],[product_ID]], a.nike.original.man[Reviews])</f>
        <v>1</v>
      </c>
      <c r="J96" s="41">
        <f>_xlfn.XLOOKUP(b.nike.views[[#This Row],[product_ID]],a.nike.original.man[Product_ID], a.nike.original.man[Discount %], "Not Found")</f>
        <v>0</v>
      </c>
      <c r="K96" s="41"/>
      <c r="L96" t="s">
        <v>1470</v>
      </c>
    </row>
    <row r="97" spans="1:12" x14ac:dyDescent="0.2">
      <c r="A97" t="s">
        <v>1266</v>
      </c>
      <c r="B97" t="str">
        <f>_xlfn.XLOOKUP(b.nike.views[[#This Row],[product_ID]], a.nike.original.man[Product_ID], a.nike.original.man[Product Name], "Not Found")</f>
        <v>Nike Air Max Impact</v>
      </c>
      <c r="C97" s="5" t="str">
        <f>_xlfn.XLOOKUP(b.nike.views[[#This Row],[product_ID]], a.nike.original.man[Product_ID], a.nike.original.man[Rating_Group], "Not Found")</f>
        <v>4 - 5</v>
      </c>
      <c r="D97">
        <f>_xlfn.XLOOKUP(b.nike.views[[#This Row],[product_ID]], a.nike.original.man[Product_ID], a.nike.original.man[Rating], "Not Found")</f>
        <v>5</v>
      </c>
      <c r="E97" s="10">
        <f>ROUND(_xlfn.XLOOKUP(b.nike.views[[#This Row],[product_ID]], a.nike.original.man[Product_ID], a.nike.original.man[Sale Price], "Not Found"), 0)</f>
        <v>80</v>
      </c>
      <c r="F97" s="5" t="str" cm="1">
        <f t="array" ref="F97">_xlfn.IFS(b.nike.views[[#This Row],[Sales_Price]]&lt;=9, "under $10",b.nike.views[[#This Row],[Sales_Price]]&lt;=20, "$20 and under",b.nike.views[[#This Row],[Sales_Price]]&lt;=50, "$50 and under", b.nike.views[[#This Row],[Sales_Price]]&lt;=99, "under $100", b.nike.views[[#This Row],[Sales_Price]]&gt;=100, "$100 +")</f>
        <v>under $100</v>
      </c>
      <c r="G97">
        <f>COUNTIF(a.nike.original.man[Product_ID], A97)</f>
        <v>1</v>
      </c>
      <c r="H97" t="str" cm="1">
        <f t="array" ref="H97">_xlfn.IFS(b.nike.views[[#This Row],[Review_Count]]&lt;=7, "Below Average",b.nike.views[[#This Row],[Review_Count]]&gt;=8, "Average +")</f>
        <v>Below Average</v>
      </c>
      <c r="I97">
        <f>SUMIF(a.nike.original.man[Product_ID],b.nike.views[[#This Row],[product_ID]], a.nike.original.man[Reviews])</f>
        <v>1</v>
      </c>
      <c r="J97" s="41">
        <f>_xlfn.XLOOKUP(b.nike.views[[#This Row],[product_ID]],a.nike.original.man[Product_ID], a.nike.original.man[Discount %], "Not Found")</f>
        <v>0</v>
      </c>
      <c r="K97" s="41"/>
      <c r="L97" t="s">
        <v>1470</v>
      </c>
    </row>
    <row r="98" spans="1:12" x14ac:dyDescent="0.2">
      <c r="A98" t="s">
        <v>1272</v>
      </c>
      <c r="B98" t="str">
        <f>_xlfn.XLOOKUP(b.nike.views[[#This Row],[product_ID]], a.nike.original.man[Product_ID], a.nike.original.man[Product Name], "Not Found")</f>
        <v>Nike Air Max 270 Special Edition</v>
      </c>
      <c r="C98" s="5" t="str">
        <f>_xlfn.XLOOKUP(b.nike.views[[#This Row],[product_ID]], a.nike.original.man[Product_ID], a.nike.original.man[Rating_Group], "Not Found")</f>
        <v>4 - 5</v>
      </c>
      <c r="D98">
        <f>_xlfn.XLOOKUP(b.nike.views[[#This Row],[product_ID]], a.nike.original.man[Product_ID], a.nike.original.man[Rating], "Not Found")</f>
        <v>5</v>
      </c>
      <c r="E98" s="10">
        <f>ROUND(_xlfn.XLOOKUP(b.nike.views[[#This Row],[product_ID]], a.nike.original.man[Product_ID], a.nike.original.man[Sale Price], "Not Found"), 0)</f>
        <v>150</v>
      </c>
      <c r="F98" s="5" t="str" cm="1">
        <f t="array" ref="F98">_xlfn.IFS(b.nike.views[[#This Row],[Sales_Price]]&lt;=9, "under $10",b.nike.views[[#This Row],[Sales_Price]]&lt;=20, "$20 and under",b.nike.views[[#This Row],[Sales_Price]]&lt;=50, "$50 and under", b.nike.views[[#This Row],[Sales_Price]]&lt;=99, "under $100", b.nike.views[[#This Row],[Sales_Price]]&gt;=100, "$100 +")</f>
        <v>$100 +</v>
      </c>
      <c r="G98">
        <f>COUNTIF(a.nike.original.man[Product_ID], A98)</f>
        <v>1</v>
      </c>
      <c r="H98" t="str" cm="1">
        <f t="array" ref="H98">_xlfn.IFS(b.nike.views[[#This Row],[Review_Count]]&lt;=7, "Below Average",b.nike.views[[#This Row],[Review_Count]]&gt;=8, "Average +")</f>
        <v>Below Average</v>
      </c>
      <c r="I98">
        <f>SUMIF(a.nike.original.man[Product_ID],b.nike.views[[#This Row],[product_ID]], a.nike.original.man[Reviews])</f>
        <v>1</v>
      </c>
      <c r="J98" s="41">
        <f>_xlfn.XLOOKUP(b.nike.views[[#This Row],[product_ID]],a.nike.original.man[Product_ID], a.nike.original.man[Discount %], "Not Found")</f>
        <v>0</v>
      </c>
      <c r="K98" s="41"/>
      <c r="L98" t="s">
        <v>1470</v>
      </c>
    </row>
    <row r="99" spans="1:12" x14ac:dyDescent="0.2">
      <c r="A99" t="s">
        <v>1285</v>
      </c>
      <c r="B99" t="str">
        <f>_xlfn.XLOOKUP(b.nike.views[[#This Row],[product_ID]], a.nike.original.man[Product_ID], a.nike.original.man[Product Name], "Not Found")</f>
        <v>Nike Free RN 5.0 AW</v>
      </c>
      <c r="C99" s="5" t="str">
        <f>_xlfn.XLOOKUP(b.nike.views[[#This Row],[product_ID]], a.nike.original.man[Product_ID], a.nike.original.man[Rating_Group], "Not Found")</f>
        <v>4 - 5</v>
      </c>
      <c r="D99">
        <f>_xlfn.XLOOKUP(b.nike.views[[#This Row],[product_ID]], a.nike.original.man[Product_ID], a.nike.original.man[Rating], "Not Found")</f>
        <v>5</v>
      </c>
      <c r="E99" s="10">
        <f>ROUND(_xlfn.XLOOKUP(b.nike.views[[#This Row],[product_ID]], a.nike.original.man[Product_ID], a.nike.original.man[Sale Price], "Not Found"), 0)</f>
        <v>54</v>
      </c>
      <c r="F99" s="5" t="str" cm="1">
        <f t="array" ref="F99">_xlfn.IFS(b.nike.views[[#This Row],[Sales_Price]]&lt;=9, "under $10",b.nike.views[[#This Row],[Sales_Price]]&lt;=20, "$20 and under",b.nike.views[[#This Row],[Sales_Price]]&lt;=50, "$50 and under", b.nike.views[[#This Row],[Sales_Price]]&lt;=99, "under $100", b.nike.views[[#This Row],[Sales_Price]]&gt;=100, "$100 +")</f>
        <v>under $100</v>
      </c>
      <c r="G99">
        <f>COUNTIF(a.nike.original.man[Product_ID], A99)</f>
        <v>1</v>
      </c>
      <c r="H99" t="str" cm="1">
        <f t="array" ref="H99">_xlfn.IFS(b.nike.views[[#This Row],[Review_Count]]&lt;=7, "Below Average",b.nike.views[[#This Row],[Review_Count]]&gt;=8, "Average +")</f>
        <v>Below Average</v>
      </c>
      <c r="I99">
        <f>SUMIF(a.nike.original.man[Product_ID],b.nike.views[[#This Row],[product_ID]], a.nike.original.man[Reviews])</f>
        <v>1</v>
      </c>
      <c r="J99" s="41">
        <f>_xlfn.XLOOKUP(b.nike.views[[#This Row],[product_ID]],a.nike.original.man[Product_ID], a.nike.original.man[Discount %], "Not Found")</f>
        <v>0.4</v>
      </c>
      <c r="K99" s="41"/>
      <c r="L99" t="s">
        <v>1470</v>
      </c>
    </row>
    <row r="100" spans="1:12" x14ac:dyDescent="0.2">
      <c r="A100" t="s">
        <v>1322</v>
      </c>
      <c r="B100" t="str">
        <f>_xlfn.XLOOKUP(b.nike.views[[#This Row],[product_ID]], a.nike.original.man[Product_ID], a.nike.original.man[Product Name], "Not Found")</f>
        <v>NikeCourt Royale AC</v>
      </c>
      <c r="C100" s="5" t="str">
        <f>_xlfn.XLOOKUP(b.nike.views[[#This Row],[product_ID]], a.nike.original.man[Product_ID], a.nike.original.man[Rating_Group], "Not Found")</f>
        <v>4 - 5</v>
      </c>
      <c r="D100">
        <f>_xlfn.XLOOKUP(b.nike.views[[#This Row],[product_ID]], a.nike.original.man[Product_ID], a.nike.original.man[Rating], "Not Found")</f>
        <v>5</v>
      </c>
      <c r="E100" s="10">
        <f>ROUND(_xlfn.XLOOKUP(b.nike.views[[#This Row],[product_ID]], a.nike.original.man[Product_ID], a.nike.original.man[Sale Price], "Not Found"), 0)</f>
        <v>31</v>
      </c>
      <c r="F100" s="5" t="str" cm="1">
        <f t="array" ref="F100">_xlfn.IFS(b.nike.views[[#This Row],[Sales_Price]]&lt;=9, "under $10",b.nike.views[[#This Row],[Sales_Price]]&lt;=20, "$20 and under",b.nike.views[[#This Row],[Sales_Price]]&lt;=50, "$50 and under", b.nike.views[[#This Row],[Sales_Price]]&lt;=99, "under $100", b.nike.views[[#This Row],[Sales_Price]]&gt;=100, "$100 +")</f>
        <v>$50 and under</v>
      </c>
      <c r="G100">
        <f>COUNTIF(a.nike.original.man[Product_ID], A100)</f>
        <v>1</v>
      </c>
      <c r="H100" t="str" cm="1">
        <f t="array" ref="H100">_xlfn.IFS(b.nike.views[[#This Row],[Review_Count]]&lt;=7, "Below Average",b.nike.views[[#This Row],[Review_Count]]&gt;=8, "Average +")</f>
        <v>Below Average</v>
      </c>
      <c r="I100">
        <f>SUMIF(a.nike.original.man[Product_ID],b.nike.views[[#This Row],[product_ID]], a.nike.original.man[Reviews])</f>
        <v>1</v>
      </c>
      <c r="J100" s="41">
        <f>_xlfn.XLOOKUP(b.nike.views[[#This Row],[product_ID]],a.nike.original.man[Product_ID], a.nike.original.man[Discount %], "Not Found")</f>
        <v>0.3</v>
      </c>
      <c r="K100" s="41"/>
      <c r="L100" t="s">
        <v>1470</v>
      </c>
    </row>
    <row r="101" spans="1:12" x14ac:dyDescent="0.2">
      <c r="A101" t="s">
        <v>1325</v>
      </c>
      <c r="B101" t="str">
        <f>_xlfn.XLOOKUP(b.nike.views[[#This Row],[product_ID]], a.nike.original.man[Product_ID], a.nike.original.man[Product Name], "Not Found")</f>
        <v>Jordan Air Latitude 720</v>
      </c>
      <c r="C101" s="5" t="str">
        <f>_xlfn.XLOOKUP(b.nike.views[[#This Row],[product_ID]], a.nike.original.man[Product_ID], a.nike.original.man[Rating_Group], "Not Found")</f>
        <v>4 - 5</v>
      </c>
      <c r="D101">
        <f>_xlfn.XLOOKUP(b.nike.views[[#This Row],[product_ID]], a.nike.original.man[Product_ID], a.nike.original.man[Rating], "Not Found")</f>
        <v>5</v>
      </c>
      <c r="E101" s="10">
        <f>ROUND(_xlfn.XLOOKUP(b.nike.views[[#This Row],[product_ID]], a.nike.original.man[Product_ID], a.nike.original.man[Sale Price], "Not Found"), 0)</f>
        <v>128</v>
      </c>
      <c r="F101" s="5" t="str" cm="1">
        <f t="array" ref="F101">_xlfn.IFS(b.nike.views[[#This Row],[Sales_Price]]&lt;=9, "under $10",b.nike.views[[#This Row],[Sales_Price]]&lt;=20, "$20 and under",b.nike.views[[#This Row],[Sales_Price]]&lt;=50, "$50 and under", b.nike.views[[#This Row],[Sales_Price]]&lt;=99, "under $100", b.nike.views[[#This Row],[Sales_Price]]&gt;=100, "$100 +")</f>
        <v>$100 +</v>
      </c>
      <c r="G101">
        <f>COUNTIF(a.nike.original.man[Product_ID], A101)</f>
        <v>1</v>
      </c>
      <c r="H101" t="str" cm="1">
        <f t="array" ref="H101">_xlfn.IFS(b.nike.views[[#This Row],[Review_Count]]&lt;=7, "Below Average",b.nike.views[[#This Row],[Review_Count]]&gt;=8, "Average +")</f>
        <v>Below Average</v>
      </c>
      <c r="I101">
        <f>SUMIF(a.nike.original.man[Product_ID],b.nike.views[[#This Row],[product_ID]], a.nike.original.man[Reviews])</f>
        <v>1</v>
      </c>
      <c r="J101" s="41">
        <f>_xlfn.XLOOKUP(b.nike.views[[#This Row],[product_ID]],a.nike.original.man[Product_ID], a.nike.original.man[Discount %], "Not Found")</f>
        <v>0.2</v>
      </c>
      <c r="K101" s="41"/>
      <c r="L101" t="s">
        <v>1470</v>
      </c>
    </row>
    <row r="102" spans="1:12" x14ac:dyDescent="0.2">
      <c r="A102" t="s">
        <v>1330</v>
      </c>
      <c r="B102" t="str">
        <f>_xlfn.XLOOKUP(b.nike.views[[#This Row],[product_ID]], a.nike.original.man[Product_ID], a.nike.original.man[Product Name], "Not Found")</f>
        <v>Nike Zoom Fly 3 Premium</v>
      </c>
      <c r="C102" s="5" t="str">
        <f>_xlfn.XLOOKUP(b.nike.views[[#This Row],[product_ID]], a.nike.original.man[Product_ID], a.nike.original.man[Rating_Group], "Not Found")</f>
        <v>4 - 5</v>
      </c>
      <c r="D102">
        <f>_xlfn.XLOOKUP(b.nike.views[[#This Row],[product_ID]], a.nike.original.man[Product_ID], a.nike.original.man[Rating], "Not Found")</f>
        <v>5</v>
      </c>
      <c r="E102" s="10">
        <f>ROUND(_xlfn.XLOOKUP(b.nike.views[[#This Row],[product_ID]], a.nike.original.man[Product_ID], a.nike.original.man[Sale Price], "Not Found"), 0)</f>
        <v>105</v>
      </c>
      <c r="F102" s="5" t="str" cm="1">
        <f t="array" ref="F102">_xlfn.IFS(b.nike.views[[#This Row],[Sales_Price]]&lt;=9, "under $10",b.nike.views[[#This Row],[Sales_Price]]&lt;=20, "$20 and under",b.nike.views[[#This Row],[Sales_Price]]&lt;=50, "$50 and under", b.nike.views[[#This Row],[Sales_Price]]&lt;=99, "under $100", b.nike.views[[#This Row],[Sales_Price]]&gt;=100, "$100 +")</f>
        <v>$100 +</v>
      </c>
      <c r="G102">
        <f>COUNTIF(a.nike.original.man[Product_ID], A102)</f>
        <v>1</v>
      </c>
      <c r="H102" t="str" cm="1">
        <f t="array" ref="H102">_xlfn.IFS(b.nike.views[[#This Row],[Review_Count]]&lt;=7, "Below Average",b.nike.views[[#This Row],[Review_Count]]&gt;=8, "Average +")</f>
        <v>Below Average</v>
      </c>
      <c r="I102">
        <f>SUMIF(a.nike.original.man[Product_ID],b.nike.views[[#This Row],[product_ID]], a.nike.original.man[Reviews])</f>
        <v>1</v>
      </c>
      <c r="J102" s="41">
        <f>_xlfn.XLOOKUP(b.nike.views[[#This Row],[product_ID]],a.nike.original.man[Product_ID], a.nike.original.man[Discount %], "Not Found")</f>
        <v>0.3</v>
      </c>
      <c r="K102" s="41"/>
      <c r="L102" t="s">
        <v>1470</v>
      </c>
    </row>
    <row r="103" spans="1:12" x14ac:dyDescent="0.2">
      <c r="A103" t="s">
        <v>1341</v>
      </c>
      <c r="B103" t="str">
        <f>_xlfn.XLOOKUP(b.nike.views[[#This Row],[product_ID]], a.nike.original.man[Product_ID], a.nike.original.man[Product Name], "Not Found")</f>
        <v>Nike Air Max 97</v>
      </c>
      <c r="C103" s="5" t="str">
        <f>_xlfn.XLOOKUP(b.nike.views[[#This Row],[product_ID]], a.nike.original.man[Product_ID], a.nike.original.man[Rating_Group], "Not Found")</f>
        <v>4 - 5</v>
      </c>
      <c r="D103">
        <f>_xlfn.XLOOKUP(b.nike.views[[#This Row],[product_ID]], a.nike.original.man[Product_ID], a.nike.original.man[Rating], "Not Found")</f>
        <v>5</v>
      </c>
      <c r="E103" s="10">
        <f>ROUND(_xlfn.XLOOKUP(b.nike.views[[#This Row],[product_ID]], a.nike.original.man[Product_ID], a.nike.original.man[Sale Price], "Not Found"), 0)</f>
        <v>170</v>
      </c>
      <c r="F103" s="5" t="str" cm="1">
        <f t="array" ref="F103">_xlfn.IFS(b.nike.views[[#This Row],[Sales_Price]]&lt;=9, "under $10",b.nike.views[[#This Row],[Sales_Price]]&lt;=20, "$20 and under",b.nike.views[[#This Row],[Sales_Price]]&lt;=50, "$50 and under", b.nike.views[[#This Row],[Sales_Price]]&lt;=99, "under $100", b.nike.views[[#This Row],[Sales_Price]]&gt;=100, "$100 +")</f>
        <v>$100 +</v>
      </c>
      <c r="G103">
        <f>COUNTIF(a.nike.original.man[Product_ID], A103)</f>
        <v>1</v>
      </c>
      <c r="H103" t="str" cm="1">
        <f t="array" ref="H103">_xlfn.IFS(b.nike.views[[#This Row],[Review_Count]]&lt;=7, "Below Average",b.nike.views[[#This Row],[Review_Count]]&gt;=8, "Average +")</f>
        <v>Below Average</v>
      </c>
      <c r="I103">
        <f>SUMIF(a.nike.original.man[Product_ID],b.nike.views[[#This Row],[product_ID]], a.nike.original.man[Reviews])</f>
        <v>1</v>
      </c>
      <c r="J103" s="41">
        <f>_xlfn.XLOOKUP(b.nike.views[[#This Row],[product_ID]],a.nike.original.man[Product_ID], a.nike.original.man[Discount %], "Not Found")</f>
        <v>0</v>
      </c>
      <c r="K103" s="41"/>
      <c r="L103" t="s">
        <v>1470</v>
      </c>
    </row>
    <row r="104" spans="1:12" x14ac:dyDescent="0.2">
      <c r="A104" t="s">
        <v>1356</v>
      </c>
      <c r="B104" t="str">
        <f>_xlfn.XLOOKUP(b.nike.views[[#This Row],[product_ID]], a.nike.original.man[Product_ID], a.nike.original.man[Product Name], "Not Found")</f>
        <v>Nike ZoomX Vista Grind SP</v>
      </c>
      <c r="C104" s="5" t="str">
        <f>_xlfn.XLOOKUP(b.nike.views[[#This Row],[product_ID]], a.nike.original.man[Product_ID], a.nike.original.man[Rating_Group], "Not Found")</f>
        <v>4 - 5</v>
      </c>
      <c r="D104">
        <f>_xlfn.XLOOKUP(b.nike.views[[#This Row],[product_ID]], a.nike.original.man[Product_ID], a.nike.original.man[Rating], "Not Found")</f>
        <v>5</v>
      </c>
      <c r="E104" s="10">
        <f>ROUND(_xlfn.XLOOKUP(b.nike.views[[#This Row],[product_ID]], a.nike.original.man[Product_ID], a.nike.original.man[Sale Price], "Not Found"), 0)</f>
        <v>150</v>
      </c>
      <c r="F104" s="5" t="str" cm="1">
        <f t="array" ref="F104">_xlfn.IFS(b.nike.views[[#This Row],[Sales_Price]]&lt;=9, "under $10",b.nike.views[[#This Row],[Sales_Price]]&lt;=20, "$20 and under",b.nike.views[[#This Row],[Sales_Price]]&lt;=50, "$50 and under", b.nike.views[[#This Row],[Sales_Price]]&lt;=99, "under $100", b.nike.views[[#This Row],[Sales_Price]]&gt;=100, "$100 +")</f>
        <v>$100 +</v>
      </c>
      <c r="G104">
        <f>COUNTIF(a.nike.original.man[Product_ID], A104)</f>
        <v>1</v>
      </c>
      <c r="H104" t="str" cm="1">
        <f t="array" ref="H104">_xlfn.IFS(b.nike.views[[#This Row],[Review_Count]]&lt;=7, "Below Average",b.nike.views[[#This Row],[Review_Count]]&gt;=8, "Average +")</f>
        <v>Below Average</v>
      </c>
      <c r="I104">
        <f>SUMIF(a.nike.original.man[Product_ID],b.nike.views[[#This Row],[product_ID]], a.nike.original.man[Reviews])</f>
        <v>1</v>
      </c>
      <c r="J104" s="41">
        <f>_xlfn.XLOOKUP(b.nike.views[[#This Row],[product_ID]],a.nike.original.man[Product_ID], a.nike.original.man[Discount %], "Not Found")</f>
        <v>0</v>
      </c>
      <c r="K104" s="41"/>
      <c r="L104" t="s">
        <v>1470</v>
      </c>
    </row>
    <row r="105" spans="1:12" x14ac:dyDescent="0.2">
      <c r="A105" t="s">
        <v>1434</v>
      </c>
      <c r="B105" t="str">
        <f>_xlfn.XLOOKUP(b.nike.views[[#This Row],[product_ID]], a.nike.original.man[Product_ID], a.nike.original.man[Product Name], "Not Found")</f>
        <v>Nike Air Force 1 '07 SE</v>
      </c>
      <c r="C105" s="5" t="str">
        <f>_xlfn.XLOOKUP(b.nike.views[[#This Row],[product_ID]], a.nike.original.man[Product_ID], a.nike.original.man[Rating_Group], "Not Found")</f>
        <v>4 - 5</v>
      </c>
      <c r="D105">
        <f>_xlfn.XLOOKUP(b.nike.views[[#This Row],[product_ID]], a.nike.original.man[Product_ID], a.nike.original.man[Rating], "Not Found")</f>
        <v>5</v>
      </c>
      <c r="E105" s="10">
        <f>ROUND(_xlfn.XLOOKUP(b.nike.views[[#This Row],[product_ID]], a.nike.original.man[Product_ID], a.nike.original.man[Sale Price], "Not Found"), 0)</f>
        <v>80</v>
      </c>
      <c r="F105" s="5" t="str" cm="1">
        <f t="array" ref="F105">_xlfn.IFS(b.nike.views[[#This Row],[Sales_Price]]&lt;=9, "under $10",b.nike.views[[#This Row],[Sales_Price]]&lt;=20, "$20 and under",b.nike.views[[#This Row],[Sales_Price]]&lt;=50, "$50 and under", b.nike.views[[#This Row],[Sales_Price]]&lt;=99, "under $100", b.nike.views[[#This Row],[Sales_Price]]&gt;=100, "$100 +")</f>
        <v>under $100</v>
      </c>
      <c r="G105">
        <f>COUNTIF(a.nike.original.man[Product_ID], A105)</f>
        <v>1</v>
      </c>
      <c r="H105" t="str" cm="1">
        <f t="array" ref="H105">_xlfn.IFS(b.nike.views[[#This Row],[Review_Count]]&lt;=7, "Below Average",b.nike.views[[#This Row],[Review_Count]]&gt;=8, "Average +")</f>
        <v>Below Average</v>
      </c>
      <c r="I105">
        <f>SUMIF(a.nike.original.man[Product_ID],b.nike.views[[#This Row],[product_ID]], a.nike.original.man[Reviews])</f>
        <v>1</v>
      </c>
      <c r="J105" s="41">
        <f>_xlfn.XLOOKUP(b.nike.views[[#This Row],[product_ID]],a.nike.original.man[Product_ID], a.nike.original.man[Discount %], "Not Found")</f>
        <v>0</v>
      </c>
      <c r="K105" s="41"/>
      <c r="L105" t="s">
        <v>1470</v>
      </c>
    </row>
    <row r="106" spans="1:12" x14ac:dyDescent="0.2">
      <c r="A106" t="s">
        <v>1448</v>
      </c>
      <c r="B106" t="str">
        <f>_xlfn.XLOOKUP(b.nike.views[[#This Row],[product_ID]], a.nike.original.man[Product_ID], a.nike.original.man[Product Name], "Not Found")</f>
        <v>Nike Zoom Pegasus Turbo 2 Special Edition</v>
      </c>
      <c r="C106" s="5" t="str">
        <f>_xlfn.XLOOKUP(b.nike.views[[#This Row],[product_ID]], a.nike.original.man[Product_ID], a.nike.original.man[Rating_Group], "Not Found")</f>
        <v>4 - 5</v>
      </c>
      <c r="D106">
        <f>_xlfn.XLOOKUP(b.nike.views[[#This Row],[product_ID]], a.nike.original.man[Product_ID], a.nike.original.man[Rating], "Not Found")</f>
        <v>5</v>
      </c>
      <c r="E106" s="10">
        <f>ROUND(_xlfn.XLOOKUP(b.nike.views[[#This Row],[product_ID]], a.nike.original.man[Product_ID], a.nike.original.man[Sale Price], "Not Found"), 0)</f>
        <v>128</v>
      </c>
      <c r="F106" s="5" t="str" cm="1">
        <f t="array" ref="F106">_xlfn.IFS(b.nike.views[[#This Row],[Sales_Price]]&lt;=9, "under $10",b.nike.views[[#This Row],[Sales_Price]]&lt;=20, "$20 and under",b.nike.views[[#This Row],[Sales_Price]]&lt;=50, "$50 and under", b.nike.views[[#This Row],[Sales_Price]]&lt;=99, "under $100", b.nike.views[[#This Row],[Sales_Price]]&gt;=100, "$100 +")</f>
        <v>$100 +</v>
      </c>
      <c r="G106">
        <f>COUNTIF(a.nike.original.man[Product_ID], A106)</f>
        <v>1</v>
      </c>
      <c r="H106" t="str" cm="1">
        <f t="array" ref="H106">_xlfn.IFS(b.nike.views[[#This Row],[Review_Count]]&lt;=7, "Below Average",b.nike.views[[#This Row],[Review_Count]]&gt;=8, "Average +")</f>
        <v>Below Average</v>
      </c>
      <c r="I106">
        <f>SUMIF(a.nike.original.man[Product_ID],b.nike.views[[#This Row],[product_ID]], a.nike.original.man[Reviews])</f>
        <v>1</v>
      </c>
      <c r="J106" s="41">
        <f>_xlfn.XLOOKUP(b.nike.views[[#This Row],[product_ID]],a.nike.original.man[Product_ID], a.nike.original.man[Discount %], "Not Found")</f>
        <v>0.2</v>
      </c>
      <c r="K106" s="41"/>
      <c r="L106" t="s">
        <v>1470</v>
      </c>
    </row>
    <row r="107" spans="1:12" x14ac:dyDescent="0.2">
      <c r="A107" t="s">
        <v>1458</v>
      </c>
      <c r="B107" t="str">
        <f>_xlfn.XLOOKUP(b.nike.views[[#This Row],[product_ID]], a.nike.original.man[Product_ID], a.nike.original.man[Product Name], "Not Found")</f>
        <v>Air Jordan 8 Retro</v>
      </c>
      <c r="C107" s="5" t="str">
        <f>_xlfn.XLOOKUP(b.nike.views[[#This Row],[product_ID]], a.nike.original.man[Product_ID], a.nike.original.man[Rating_Group], "Not Found")</f>
        <v>4 - 5</v>
      </c>
      <c r="D107">
        <f>_xlfn.XLOOKUP(b.nike.views[[#This Row],[product_ID]], a.nike.original.man[Product_ID], a.nike.original.man[Rating], "Not Found")</f>
        <v>5</v>
      </c>
      <c r="E107" s="10">
        <f>ROUND(_xlfn.XLOOKUP(b.nike.views[[#This Row],[product_ID]], a.nike.original.man[Product_ID], a.nike.original.man[Sale Price], "Not Found"), 0)</f>
        <v>128</v>
      </c>
      <c r="F107" s="5" t="str" cm="1">
        <f t="array" ref="F107">_xlfn.IFS(b.nike.views[[#This Row],[Sales_Price]]&lt;=9, "under $10",b.nike.views[[#This Row],[Sales_Price]]&lt;=20, "$20 and under",b.nike.views[[#This Row],[Sales_Price]]&lt;=50, "$50 and under", b.nike.views[[#This Row],[Sales_Price]]&lt;=99, "under $100", b.nike.views[[#This Row],[Sales_Price]]&gt;=100, "$100 +")</f>
        <v>$100 +</v>
      </c>
      <c r="G107">
        <f>COUNTIF(a.nike.original.man[Product_ID], A107)</f>
        <v>1</v>
      </c>
      <c r="H107" t="str" cm="1">
        <f t="array" ref="H107">_xlfn.IFS(b.nike.views[[#This Row],[Review_Count]]&lt;=7, "Below Average",b.nike.views[[#This Row],[Review_Count]]&gt;=8, "Average +")</f>
        <v>Below Average</v>
      </c>
      <c r="I107">
        <f>SUMIF(a.nike.original.man[Product_ID],b.nike.views[[#This Row],[product_ID]], a.nike.original.man[Reviews])</f>
        <v>1</v>
      </c>
      <c r="J107" s="41">
        <f>_xlfn.XLOOKUP(b.nike.views[[#This Row],[product_ID]],a.nike.original.man[Product_ID], a.nike.original.man[Discount %], "Not Found")</f>
        <v>0.2</v>
      </c>
      <c r="K107" s="41"/>
      <c r="L107" t="s">
        <v>1470</v>
      </c>
    </row>
    <row r="108" spans="1:12" x14ac:dyDescent="0.2">
      <c r="A108" t="s">
        <v>1414</v>
      </c>
      <c r="B108" t="str">
        <f>_xlfn.XLOOKUP(b.nike.views[[#This Row],[product_ID]], a.nike.original.man[Product_ID], a.nike.original.man[Product Name], "Not Found")</f>
        <v>Nike Air Max 720</v>
      </c>
      <c r="C108" s="5" t="str">
        <f>_xlfn.XLOOKUP(b.nike.views[[#This Row],[product_ID]], a.nike.original.man[Product_ID], a.nike.original.man[Rating_Group], "Not Found")</f>
        <v>4 - 5</v>
      </c>
      <c r="D108">
        <f>_xlfn.XLOOKUP(b.nike.views[[#This Row],[product_ID]], a.nike.original.man[Product_ID], a.nike.original.man[Rating], "Not Found")</f>
        <v>4.9000000000000004</v>
      </c>
      <c r="E108" s="10">
        <f>ROUND(_xlfn.XLOOKUP(b.nike.views[[#This Row],[product_ID]], a.nike.original.man[Product_ID], a.nike.original.man[Sale Price], "Not Found"), 0)</f>
        <v>96</v>
      </c>
      <c r="F108" s="5" t="str" cm="1">
        <f t="array" ref="F108">_xlfn.IFS(b.nike.views[[#This Row],[Sales_Price]]&lt;=9, "under $10",b.nike.views[[#This Row],[Sales_Price]]&lt;=20, "$20 and under",b.nike.views[[#This Row],[Sales_Price]]&lt;=50, "$50 and under", b.nike.views[[#This Row],[Sales_Price]]&lt;=99, "under $100", b.nike.views[[#This Row],[Sales_Price]]&gt;=100, "$100 +")</f>
        <v>under $100</v>
      </c>
      <c r="G108">
        <f>COUNTIF(a.nike.original.man[Product_ID], A108)</f>
        <v>1</v>
      </c>
      <c r="H108" t="str" cm="1">
        <f t="array" ref="H108">_xlfn.IFS(b.nike.views[[#This Row],[Review_Count]]&lt;=7, "Below Average",b.nike.views[[#This Row],[Review_Count]]&gt;=8, "Average +")</f>
        <v>Average +</v>
      </c>
      <c r="I108">
        <f>SUMIF(a.nike.original.man[Product_ID],b.nike.views[[#This Row],[product_ID]], a.nike.original.man[Reviews])</f>
        <v>18</v>
      </c>
      <c r="J108" s="41">
        <f>_xlfn.XLOOKUP(b.nike.views[[#This Row],[product_ID]],a.nike.original.man[Product_ID], a.nike.original.man[Discount %], "Not Found")</f>
        <v>0.4</v>
      </c>
      <c r="K108" s="41"/>
      <c r="L108" t="s">
        <v>1470</v>
      </c>
    </row>
    <row r="109" spans="1:12" x14ac:dyDescent="0.2">
      <c r="A109" t="s">
        <v>1172</v>
      </c>
      <c r="B109" t="str">
        <f>_xlfn.XLOOKUP(b.nike.views[[#This Row],[product_ID]], a.nike.original.man[Product_ID], a.nike.original.man[Product Name], "Not Found")</f>
        <v>Nike Epic Phantom React Flyknit</v>
      </c>
      <c r="C109" s="5" t="str">
        <f>_xlfn.XLOOKUP(b.nike.views[[#This Row],[product_ID]], a.nike.original.man[Product_ID], a.nike.original.man[Rating_Group], "Not Found")</f>
        <v>4 - 5</v>
      </c>
      <c r="D109">
        <f>_xlfn.XLOOKUP(b.nike.views[[#This Row],[product_ID]], a.nike.original.man[Product_ID], a.nike.original.man[Rating], "Not Found")</f>
        <v>4.9000000000000004</v>
      </c>
      <c r="E109" s="10">
        <f>ROUND(_xlfn.XLOOKUP(b.nike.views[[#This Row],[product_ID]], a.nike.original.man[Product_ID], a.nike.original.man[Sale Price], "Not Found"), 0)</f>
        <v>78</v>
      </c>
      <c r="F109" s="5" t="str" cm="1">
        <f t="array" ref="F109">_xlfn.IFS(b.nike.views[[#This Row],[Sales_Price]]&lt;=9, "under $10",b.nike.views[[#This Row],[Sales_Price]]&lt;=20, "$20 and under",b.nike.views[[#This Row],[Sales_Price]]&lt;=50, "$50 and under", b.nike.views[[#This Row],[Sales_Price]]&lt;=99, "under $100", b.nike.views[[#This Row],[Sales_Price]]&gt;=100, "$100 +")</f>
        <v>under $100</v>
      </c>
      <c r="G109">
        <f>COUNTIF(a.nike.original.man[Product_ID], A109)</f>
        <v>1</v>
      </c>
      <c r="H109" t="str" cm="1">
        <f t="array" ref="H109">_xlfn.IFS(b.nike.views[[#This Row],[Review_Count]]&lt;=7, "Below Average",b.nike.views[[#This Row],[Review_Count]]&gt;=8, "Average +")</f>
        <v>Average +</v>
      </c>
      <c r="I109">
        <f>SUMIF(a.nike.original.man[Product_ID],b.nike.views[[#This Row],[product_ID]], a.nike.original.man[Reviews])</f>
        <v>17</v>
      </c>
      <c r="J109" s="41">
        <f>_xlfn.XLOOKUP(b.nike.views[[#This Row],[product_ID]],a.nike.original.man[Product_ID], a.nike.original.man[Discount %], "Not Found")</f>
        <v>0.4</v>
      </c>
      <c r="K109" s="41"/>
      <c r="L109" t="s">
        <v>1470</v>
      </c>
    </row>
    <row r="110" spans="1:12" x14ac:dyDescent="0.2">
      <c r="A110" t="s">
        <v>429</v>
      </c>
      <c r="B110" t="str">
        <f>_xlfn.XLOOKUP(b.nike.views[[#This Row],[product_ID]], a.nike.original.man[Product_ID], a.nike.original.man[Product Name], "Not Found")</f>
        <v>Nike Zoom 2K</v>
      </c>
      <c r="C110" s="5" t="str">
        <f>_xlfn.XLOOKUP(b.nike.views[[#This Row],[product_ID]], a.nike.original.man[Product_ID], a.nike.original.man[Rating_Group], "Not Found")</f>
        <v>4 - 5</v>
      </c>
      <c r="D110">
        <f>_xlfn.XLOOKUP(b.nike.views[[#This Row],[product_ID]], a.nike.original.man[Product_ID], a.nike.original.man[Rating], "Not Found")</f>
        <v>4.9000000000000004</v>
      </c>
      <c r="E110" s="10">
        <f>ROUND(_xlfn.XLOOKUP(b.nike.views[[#This Row],[product_ID]], a.nike.original.man[Product_ID], a.nike.original.man[Sale Price], "Not Found"), 0)</f>
        <v>70</v>
      </c>
      <c r="F110" s="5" t="str" cm="1">
        <f t="array" ref="F110">_xlfn.IFS(b.nike.views[[#This Row],[Sales_Price]]&lt;=9, "under $10",b.nike.views[[#This Row],[Sales_Price]]&lt;=20, "$20 and under",b.nike.views[[#This Row],[Sales_Price]]&lt;=50, "$50 and under", b.nike.views[[#This Row],[Sales_Price]]&lt;=99, "under $100", b.nike.views[[#This Row],[Sales_Price]]&gt;=100, "$100 +")</f>
        <v>under $100</v>
      </c>
      <c r="G110">
        <f>COUNTIF(a.nike.original.man[Product_ID], A110)</f>
        <v>1</v>
      </c>
      <c r="H110" t="str" cm="1">
        <f t="array" ref="H110">_xlfn.IFS(b.nike.views[[#This Row],[Review_Count]]&lt;=7, "Below Average",b.nike.views[[#This Row],[Review_Count]]&gt;=8, "Average +")</f>
        <v>Average +</v>
      </c>
      <c r="I110">
        <f>SUMIF(a.nike.original.man[Product_ID],b.nike.views[[#This Row],[product_ID]], a.nike.original.man[Reviews])</f>
        <v>8</v>
      </c>
      <c r="J110" s="41">
        <f>_xlfn.XLOOKUP(b.nike.views[[#This Row],[product_ID]],a.nike.original.man[Product_ID], a.nike.original.man[Discount %], "Not Found")</f>
        <v>0</v>
      </c>
      <c r="K110" s="41"/>
      <c r="L110" t="s">
        <v>1470</v>
      </c>
    </row>
    <row r="111" spans="1:12" x14ac:dyDescent="0.2">
      <c r="A111" t="s">
        <v>121</v>
      </c>
      <c r="B111" t="str">
        <f>_xlfn.XLOOKUP(b.nike.views[[#This Row],[product_ID]], a.nike.original.man[Product_ID], a.nike.original.man[Product Name], "Not Found")</f>
        <v>Nike Daybreak</v>
      </c>
      <c r="C111" s="5" t="str">
        <f>_xlfn.XLOOKUP(b.nike.views[[#This Row],[product_ID]], a.nike.original.man[Product_ID], a.nike.original.man[Rating_Group], "Not Found")</f>
        <v>4 - 5</v>
      </c>
      <c r="D111">
        <f>_xlfn.XLOOKUP(b.nike.views[[#This Row],[product_ID]], a.nike.original.man[Product_ID], a.nike.original.man[Rating], "Not Found")</f>
        <v>4.9000000000000004</v>
      </c>
      <c r="E111" s="10">
        <f>ROUND(_xlfn.XLOOKUP(b.nike.views[[#This Row],[product_ID]], a.nike.original.man[Product_ID], a.nike.original.man[Sale Price], "Not Found"), 0)</f>
        <v>80</v>
      </c>
      <c r="F111" s="5" t="str" cm="1">
        <f t="array" ref="F111">_xlfn.IFS(b.nike.views[[#This Row],[Sales_Price]]&lt;=9, "under $10",b.nike.views[[#This Row],[Sales_Price]]&lt;=20, "$20 and under",b.nike.views[[#This Row],[Sales_Price]]&lt;=50, "$50 and under", b.nike.views[[#This Row],[Sales_Price]]&lt;=99, "under $100", b.nike.views[[#This Row],[Sales_Price]]&gt;=100, "$100 +")</f>
        <v>under $100</v>
      </c>
      <c r="G111">
        <f>COUNTIF(a.nike.original.man[Product_ID], A111)</f>
        <v>1</v>
      </c>
      <c r="H111" t="str" cm="1">
        <f t="array" ref="H111">_xlfn.IFS(b.nike.views[[#This Row],[Review_Count]]&lt;=7, "Below Average",b.nike.views[[#This Row],[Review_Count]]&gt;=8, "Average +")</f>
        <v>Below Average</v>
      </c>
      <c r="I111">
        <f>SUMIF(a.nike.original.man[Product_ID],b.nike.views[[#This Row],[product_ID]], a.nike.original.man[Reviews])</f>
        <v>7</v>
      </c>
      <c r="J111" s="41">
        <f>_xlfn.XLOOKUP(b.nike.views[[#This Row],[product_ID]],a.nike.original.man[Product_ID], a.nike.original.man[Discount %], "Not Found")</f>
        <v>0</v>
      </c>
      <c r="K111" s="41"/>
      <c r="L111" t="s">
        <v>1470</v>
      </c>
    </row>
    <row r="112" spans="1:12" x14ac:dyDescent="0.2">
      <c r="A112" t="s">
        <v>98</v>
      </c>
      <c r="B112" t="str">
        <f>_xlfn.XLOOKUP(b.nike.views[[#This Row],[product_ID]], a.nike.original.man[Product_ID], a.nike.original.man[Product Name], "Not Found")</f>
        <v>Nike In-Season TR 9</v>
      </c>
      <c r="C112" s="5" t="str">
        <f>_xlfn.XLOOKUP(b.nike.views[[#This Row],[product_ID]], a.nike.original.man[Product_ID], a.nike.original.man[Rating_Group], "Not Found")</f>
        <v>4 - 5</v>
      </c>
      <c r="D112">
        <f>_xlfn.XLOOKUP(b.nike.views[[#This Row],[product_ID]], a.nike.original.man[Product_ID], a.nike.original.man[Rating], "Not Found")</f>
        <v>4.9000000000000004</v>
      </c>
      <c r="E112" s="10">
        <f>ROUND(_xlfn.XLOOKUP(b.nike.views[[#This Row],[product_ID]], a.nike.original.man[Product_ID], a.nike.original.man[Sale Price], "Not Found"), 0)</f>
        <v>60</v>
      </c>
      <c r="F112" s="5" t="str" cm="1">
        <f t="array" ref="F112">_xlfn.IFS(b.nike.views[[#This Row],[Sales_Price]]&lt;=9, "under $10",b.nike.views[[#This Row],[Sales_Price]]&lt;=20, "$20 and under",b.nike.views[[#This Row],[Sales_Price]]&lt;=50, "$50 and under", b.nike.views[[#This Row],[Sales_Price]]&lt;=99, "under $100", b.nike.views[[#This Row],[Sales_Price]]&gt;=100, "$100 +")</f>
        <v>under $100</v>
      </c>
      <c r="G112">
        <f>COUNTIF(a.nike.original.man[Product_ID], A112)</f>
        <v>1</v>
      </c>
      <c r="H112" t="str" cm="1">
        <f t="array" ref="H112">_xlfn.IFS(b.nike.views[[#This Row],[Review_Count]]&lt;=7, "Below Average",b.nike.views[[#This Row],[Review_Count]]&gt;=8, "Average +")</f>
        <v>Below Average</v>
      </c>
      <c r="I112">
        <f>SUMIF(a.nike.original.man[Product_ID],b.nike.views[[#This Row],[product_ID]], a.nike.original.man[Reviews])</f>
        <v>7</v>
      </c>
      <c r="J112" s="41">
        <f>_xlfn.XLOOKUP(b.nike.views[[#This Row],[product_ID]],a.nike.original.man[Product_ID], a.nike.original.man[Discount %], "Not Found")</f>
        <v>0</v>
      </c>
      <c r="K112" s="41"/>
      <c r="L112" t="s">
        <v>1470</v>
      </c>
    </row>
    <row r="113" spans="1:12" x14ac:dyDescent="0.2">
      <c r="A113" t="s">
        <v>415</v>
      </c>
      <c r="B113" t="str">
        <f>_xlfn.XLOOKUP(b.nike.views[[#This Row],[product_ID]], a.nike.original.man[Product_ID], a.nike.original.man[Product Name], "Not Found")</f>
        <v>Nike Air Force 1 Shadow</v>
      </c>
      <c r="C113" s="5" t="str">
        <f>_xlfn.XLOOKUP(b.nike.views[[#This Row],[product_ID]], a.nike.original.man[Product_ID], a.nike.original.man[Rating_Group], "Not Found")</f>
        <v>4 - 5</v>
      </c>
      <c r="D113">
        <f>_xlfn.XLOOKUP(b.nike.views[[#This Row],[product_ID]], a.nike.original.man[Product_ID], a.nike.original.man[Rating], "Not Found")</f>
        <v>4.8</v>
      </c>
      <c r="E113" s="10">
        <f>ROUND(_xlfn.XLOOKUP(b.nike.views[[#This Row],[product_ID]], a.nike.original.man[Product_ID], a.nike.original.man[Sale Price], "Not Found"), 0)</f>
        <v>90</v>
      </c>
      <c r="F113" s="5" t="str" cm="1">
        <f t="array" ref="F113">_xlfn.IFS(b.nike.views[[#This Row],[Sales_Price]]&lt;=9, "under $10",b.nike.views[[#This Row],[Sales_Price]]&lt;=20, "$20 and under",b.nike.views[[#This Row],[Sales_Price]]&lt;=50, "$50 and under", b.nike.views[[#This Row],[Sales_Price]]&lt;=99, "under $100", b.nike.views[[#This Row],[Sales_Price]]&gt;=100, "$100 +")</f>
        <v>under $100</v>
      </c>
      <c r="G113">
        <f>COUNTIF(a.nike.original.man[Product_ID], A113)</f>
        <v>2</v>
      </c>
      <c r="H113" t="str" cm="1">
        <f t="array" ref="H113">_xlfn.IFS(b.nike.views[[#This Row],[Review_Count]]&lt;=7, "Below Average",b.nike.views[[#This Row],[Review_Count]]&gt;=8, "Average +")</f>
        <v>Average +</v>
      </c>
      <c r="I113">
        <f>SUMIF(a.nike.original.man[Product_ID],b.nike.views[[#This Row],[product_ID]], a.nike.original.man[Reviews])</f>
        <v>40</v>
      </c>
      <c r="J113" s="41">
        <f>_xlfn.XLOOKUP(b.nike.views[[#This Row],[product_ID]],a.nike.original.man[Product_ID], a.nike.original.man[Discount %], "Not Found")</f>
        <v>0</v>
      </c>
      <c r="K113" s="41"/>
      <c r="L113" t="s">
        <v>1470</v>
      </c>
    </row>
    <row r="114" spans="1:12" x14ac:dyDescent="0.2">
      <c r="A114" t="s">
        <v>1382</v>
      </c>
      <c r="B114" t="str">
        <f>_xlfn.XLOOKUP(b.nike.views[[#This Row],[product_ID]], a.nike.original.man[Product_ID], a.nike.original.man[Product Name], "Not Found")</f>
        <v>Nike Air Max Dia SE</v>
      </c>
      <c r="C114" s="5" t="str">
        <f>_xlfn.XLOOKUP(b.nike.views[[#This Row],[product_ID]], a.nike.original.man[Product_ID], a.nike.original.man[Rating_Group], "Not Found")</f>
        <v>4 - 5</v>
      </c>
      <c r="D114">
        <f>_xlfn.XLOOKUP(b.nike.views[[#This Row],[product_ID]], a.nike.original.man[Product_ID], a.nike.original.man[Rating], "Not Found")</f>
        <v>4.8</v>
      </c>
      <c r="E114" s="10">
        <f>ROUND(_xlfn.XLOOKUP(b.nike.views[[#This Row],[product_ID]], a.nike.original.man[Product_ID], a.nike.original.man[Sale Price], "Not Found"), 0)</f>
        <v>60</v>
      </c>
      <c r="F114" s="5" t="str" cm="1">
        <f t="array" ref="F114">_xlfn.IFS(b.nike.views[[#This Row],[Sales_Price]]&lt;=9, "under $10",b.nike.views[[#This Row],[Sales_Price]]&lt;=20, "$20 and under",b.nike.views[[#This Row],[Sales_Price]]&lt;=50, "$50 and under", b.nike.views[[#This Row],[Sales_Price]]&lt;=99, "under $100", b.nike.views[[#This Row],[Sales_Price]]&gt;=100, "$100 +")</f>
        <v>under $100</v>
      </c>
      <c r="G114">
        <f>COUNTIF(a.nike.original.man[Product_ID], A114)</f>
        <v>1</v>
      </c>
      <c r="H114" t="str" cm="1">
        <f t="array" ref="H114">_xlfn.IFS(b.nike.views[[#This Row],[Review_Count]]&lt;=7, "Below Average",b.nike.views[[#This Row],[Review_Count]]&gt;=8, "Average +")</f>
        <v>Average +</v>
      </c>
      <c r="I114">
        <f>SUMIF(a.nike.original.man[Product_ID],b.nike.views[[#This Row],[product_ID]], a.nike.original.man[Reviews])</f>
        <v>20</v>
      </c>
      <c r="J114" s="41">
        <f>_xlfn.XLOOKUP(b.nike.views[[#This Row],[product_ID]],a.nike.original.man[Product_ID], a.nike.original.man[Discount %], "Not Found")</f>
        <v>0.4</v>
      </c>
      <c r="K114" s="41"/>
      <c r="L114" t="s">
        <v>1470</v>
      </c>
    </row>
    <row r="115" spans="1:12" x14ac:dyDescent="0.2">
      <c r="A115" t="s">
        <v>118</v>
      </c>
      <c r="B115" t="str">
        <f>_xlfn.XLOOKUP(b.nike.views[[#This Row],[product_ID]], a.nike.original.man[Product_ID], a.nike.original.man[Product Name], "Not Found")</f>
        <v>Air Jordan 1 Mid SE</v>
      </c>
      <c r="C115" s="5" t="str">
        <f>_xlfn.XLOOKUP(b.nike.views[[#This Row],[product_ID]], a.nike.original.man[Product_ID], a.nike.original.man[Rating_Group], "Not Found")</f>
        <v>4 - 5</v>
      </c>
      <c r="D115">
        <f>_xlfn.XLOOKUP(b.nike.views[[#This Row],[product_ID]], a.nike.original.man[Product_ID], a.nike.original.man[Rating], "Not Found")</f>
        <v>4.8</v>
      </c>
      <c r="E115" s="10">
        <f>ROUND(_xlfn.XLOOKUP(b.nike.views[[#This Row],[product_ID]], a.nike.original.man[Product_ID], a.nike.original.man[Sale Price], "Not Found"), 0)</f>
        <v>100</v>
      </c>
      <c r="F115" s="5" t="str" cm="1">
        <f t="array" ref="F115">_xlfn.IFS(b.nike.views[[#This Row],[Sales_Price]]&lt;=9, "under $10",b.nike.views[[#This Row],[Sales_Price]]&lt;=20, "$20 and under",b.nike.views[[#This Row],[Sales_Price]]&lt;=50, "$50 and under", b.nike.views[[#This Row],[Sales_Price]]&lt;=99, "under $100", b.nike.views[[#This Row],[Sales_Price]]&gt;=100, "$100 +")</f>
        <v>$100 +</v>
      </c>
      <c r="G115">
        <f>COUNTIF(a.nike.original.man[Product_ID], A115)</f>
        <v>1</v>
      </c>
      <c r="H115" t="str" cm="1">
        <f t="array" ref="H115">_xlfn.IFS(b.nike.views[[#This Row],[Review_Count]]&lt;=7, "Below Average",b.nike.views[[#This Row],[Review_Count]]&gt;=8, "Average +")</f>
        <v>Average +</v>
      </c>
      <c r="I115">
        <f>SUMIF(a.nike.original.man[Product_ID],b.nike.views[[#This Row],[product_ID]], a.nike.original.man[Reviews])</f>
        <v>13</v>
      </c>
      <c r="J115" s="41">
        <f>_xlfn.XLOOKUP(b.nike.views[[#This Row],[product_ID]],a.nike.original.man[Product_ID], a.nike.original.man[Discount %], "Not Found")</f>
        <v>0</v>
      </c>
      <c r="K115" s="41"/>
      <c r="L115" t="s">
        <v>1470</v>
      </c>
    </row>
    <row r="116" spans="1:12" x14ac:dyDescent="0.2">
      <c r="A116" t="s">
        <v>1106</v>
      </c>
      <c r="B116" t="str">
        <f>_xlfn.XLOOKUP(b.nike.views[[#This Row],[product_ID]], a.nike.original.man[Product_ID], a.nike.original.man[Product Name], "Not Found")</f>
        <v>Nike Zoom Fly 3</v>
      </c>
      <c r="C116" s="5" t="str">
        <f>_xlfn.XLOOKUP(b.nike.views[[#This Row],[product_ID]], a.nike.original.man[Product_ID], a.nike.original.man[Rating_Group], "Not Found")</f>
        <v>4 - 5</v>
      </c>
      <c r="D116">
        <f>_xlfn.XLOOKUP(b.nike.views[[#This Row],[product_ID]], a.nike.original.man[Product_ID], a.nike.original.man[Rating], "Not Found")</f>
        <v>4.8</v>
      </c>
      <c r="E116" s="10">
        <f>ROUND(_xlfn.XLOOKUP(b.nike.views[[#This Row],[product_ID]], a.nike.original.man[Product_ID], a.nike.original.man[Sale Price], "Not Found"), 0)</f>
        <v>140</v>
      </c>
      <c r="F116" s="5" t="str" cm="1">
        <f t="array" ref="F116">_xlfn.IFS(b.nike.views[[#This Row],[Sales_Price]]&lt;=9, "under $10",b.nike.views[[#This Row],[Sales_Price]]&lt;=20, "$20 and under",b.nike.views[[#This Row],[Sales_Price]]&lt;=50, "$50 and under", b.nike.views[[#This Row],[Sales_Price]]&lt;=99, "under $100", b.nike.views[[#This Row],[Sales_Price]]&gt;=100, "$100 +")</f>
        <v>$100 +</v>
      </c>
      <c r="G116">
        <f>COUNTIF(a.nike.original.man[Product_ID], A116)</f>
        <v>1</v>
      </c>
      <c r="H116" t="str" cm="1">
        <f t="array" ref="H116">_xlfn.IFS(b.nike.views[[#This Row],[Review_Count]]&lt;=7, "Below Average",b.nike.views[[#This Row],[Review_Count]]&gt;=8, "Average +")</f>
        <v>Average +</v>
      </c>
      <c r="I116">
        <f>SUMIF(a.nike.original.man[Product_ID],b.nike.views[[#This Row],[product_ID]], a.nike.original.man[Reviews])</f>
        <v>12</v>
      </c>
      <c r="J116" s="41">
        <f>_xlfn.XLOOKUP(b.nike.views[[#This Row],[product_ID]],a.nike.original.man[Product_ID], a.nike.original.man[Discount %], "Not Found")</f>
        <v>0</v>
      </c>
      <c r="K116" s="41"/>
      <c r="L116" t="s">
        <v>1470</v>
      </c>
    </row>
    <row r="117" spans="1:12" x14ac:dyDescent="0.2">
      <c r="A117" t="s">
        <v>556</v>
      </c>
      <c r="B117" t="str">
        <f>_xlfn.XLOOKUP(b.nike.views[[#This Row],[product_ID]], a.nike.original.man[Product_ID], a.nike.original.man[Product Name], "Not Found")</f>
        <v>Air Jordan 4 Retro SE</v>
      </c>
      <c r="C117" s="5" t="str">
        <f>_xlfn.XLOOKUP(b.nike.views[[#This Row],[product_ID]], a.nike.original.man[Product_ID], a.nike.original.man[Rating_Group], "Not Found")</f>
        <v>4 - 5</v>
      </c>
      <c r="D117">
        <f>_xlfn.XLOOKUP(b.nike.views[[#This Row],[product_ID]], a.nike.original.man[Product_ID], a.nike.original.man[Rating], "Not Found")</f>
        <v>4.8</v>
      </c>
      <c r="E117" s="10">
        <f>ROUND(_xlfn.XLOOKUP(b.nike.views[[#This Row],[product_ID]], a.nike.original.man[Product_ID], a.nike.original.man[Sale Price], "Not Found"), 0)</f>
        <v>190</v>
      </c>
      <c r="F117" s="5" t="str" cm="1">
        <f t="array" ref="F117">_xlfn.IFS(b.nike.views[[#This Row],[Sales_Price]]&lt;=9, "under $10",b.nike.views[[#This Row],[Sales_Price]]&lt;=20, "$20 and under",b.nike.views[[#This Row],[Sales_Price]]&lt;=50, "$50 and under", b.nike.views[[#This Row],[Sales_Price]]&lt;=99, "under $100", b.nike.views[[#This Row],[Sales_Price]]&gt;=100, "$100 +")</f>
        <v>$100 +</v>
      </c>
      <c r="G117">
        <f>COUNTIF(a.nike.original.man[Product_ID], A117)</f>
        <v>1</v>
      </c>
      <c r="H117" t="str" cm="1">
        <f t="array" ref="H117">_xlfn.IFS(b.nike.views[[#This Row],[Review_Count]]&lt;=7, "Below Average",b.nike.views[[#This Row],[Review_Count]]&gt;=8, "Average +")</f>
        <v>Average +</v>
      </c>
      <c r="I117">
        <f>SUMIF(a.nike.original.man[Product_ID],b.nike.views[[#This Row],[product_ID]], a.nike.original.man[Reviews])</f>
        <v>11</v>
      </c>
      <c r="J117" s="41">
        <f>_xlfn.XLOOKUP(b.nike.views[[#This Row],[product_ID]],a.nike.original.man[Product_ID], a.nike.original.man[Discount %], "Not Found")</f>
        <v>0</v>
      </c>
      <c r="K117" s="41"/>
      <c r="L117" t="s">
        <v>1470</v>
      </c>
    </row>
    <row r="118" spans="1:12" x14ac:dyDescent="0.2">
      <c r="A118" t="s">
        <v>463</v>
      </c>
      <c r="B118" t="str">
        <f>_xlfn.XLOOKUP(b.nike.views[[#This Row],[product_ID]], a.nike.original.man[Product_ID], a.nike.original.man[Product Name], "Not Found")</f>
        <v>Nike SB Dunk High Pro</v>
      </c>
      <c r="C118" s="5" t="str">
        <f>_xlfn.XLOOKUP(b.nike.views[[#This Row],[product_ID]], a.nike.original.man[Product_ID], a.nike.original.man[Rating_Group], "Not Found")</f>
        <v>4 - 5</v>
      </c>
      <c r="D118">
        <f>_xlfn.XLOOKUP(b.nike.views[[#This Row],[product_ID]], a.nike.original.man[Product_ID], a.nike.original.man[Rating], "Not Found")</f>
        <v>4.8</v>
      </c>
      <c r="E118" s="10">
        <f>ROUND(_xlfn.XLOOKUP(b.nike.views[[#This Row],[product_ID]], a.nike.original.man[Product_ID], a.nike.original.man[Sale Price], "Not Found"), 0)</f>
        <v>90</v>
      </c>
      <c r="F118" s="5" t="str" cm="1">
        <f t="array" ref="F118">_xlfn.IFS(b.nike.views[[#This Row],[Sales_Price]]&lt;=9, "under $10",b.nike.views[[#This Row],[Sales_Price]]&lt;=20, "$20 and under",b.nike.views[[#This Row],[Sales_Price]]&lt;=50, "$50 and under", b.nike.views[[#This Row],[Sales_Price]]&lt;=99, "under $100", b.nike.views[[#This Row],[Sales_Price]]&gt;=100, "$100 +")</f>
        <v>under $100</v>
      </c>
      <c r="G118">
        <f>COUNTIF(a.nike.original.man[Product_ID], A118)</f>
        <v>2</v>
      </c>
      <c r="H118" t="str" cm="1">
        <f t="array" ref="H118">_xlfn.IFS(b.nike.views[[#This Row],[Review_Count]]&lt;=7, "Below Average",b.nike.views[[#This Row],[Review_Count]]&gt;=8, "Average +")</f>
        <v>Average +</v>
      </c>
      <c r="I118">
        <f>SUMIF(a.nike.original.man[Product_ID],b.nike.views[[#This Row],[product_ID]], a.nike.original.man[Reviews])</f>
        <v>8</v>
      </c>
      <c r="J118" s="41">
        <f>_xlfn.XLOOKUP(b.nike.views[[#This Row],[product_ID]],a.nike.original.man[Product_ID], a.nike.original.man[Discount %], "Not Found")</f>
        <v>0</v>
      </c>
      <c r="K118" s="41"/>
      <c r="L118" t="s">
        <v>1470</v>
      </c>
    </row>
    <row r="119" spans="1:12" x14ac:dyDescent="0.2">
      <c r="A119" t="s">
        <v>1304</v>
      </c>
      <c r="B119" t="str">
        <f>_xlfn.XLOOKUP(b.nike.views[[#This Row],[product_ID]], a.nike.original.man[Product_ID], a.nike.original.man[Product Name], "Not Found")</f>
        <v>Air Jordan 7 Retro</v>
      </c>
      <c r="C119" s="5" t="str">
        <f>_xlfn.XLOOKUP(b.nike.views[[#This Row],[product_ID]], a.nike.original.man[Product_ID], a.nike.original.man[Rating_Group], "Not Found")</f>
        <v>4 - 5</v>
      </c>
      <c r="D119">
        <f>_xlfn.XLOOKUP(b.nike.views[[#This Row],[product_ID]], a.nike.original.man[Product_ID], a.nike.original.man[Rating], "Not Found")</f>
        <v>4.8</v>
      </c>
      <c r="E119" s="10">
        <f>ROUND(_xlfn.XLOOKUP(b.nike.views[[#This Row],[product_ID]], a.nike.original.man[Product_ID], a.nike.original.man[Sale Price], "Not Found"), 0)</f>
        <v>112</v>
      </c>
      <c r="F119" s="5" t="str" cm="1">
        <f t="array" ref="F119">_xlfn.IFS(b.nike.views[[#This Row],[Sales_Price]]&lt;=9, "under $10",b.nike.views[[#This Row],[Sales_Price]]&lt;=20, "$20 and under",b.nike.views[[#This Row],[Sales_Price]]&lt;=50, "$50 and under", b.nike.views[[#This Row],[Sales_Price]]&lt;=99, "under $100", b.nike.views[[#This Row],[Sales_Price]]&gt;=100, "$100 +")</f>
        <v>$100 +</v>
      </c>
      <c r="G119">
        <f>COUNTIF(a.nike.original.man[Product_ID], A119)</f>
        <v>2</v>
      </c>
      <c r="H119" t="str" cm="1">
        <f t="array" ref="H119">_xlfn.IFS(b.nike.views[[#This Row],[Review_Count]]&lt;=7, "Below Average",b.nike.views[[#This Row],[Review_Count]]&gt;=8, "Average +")</f>
        <v>Average +</v>
      </c>
      <c r="I119">
        <f>SUMIF(a.nike.original.man[Product_ID],b.nike.views[[#This Row],[product_ID]], a.nike.original.man[Reviews])</f>
        <v>8</v>
      </c>
      <c r="J119" s="41">
        <f>_xlfn.XLOOKUP(b.nike.views[[#This Row],[product_ID]],a.nike.original.man[Product_ID], a.nike.original.man[Discount %], "Not Found")</f>
        <v>0.3</v>
      </c>
      <c r="K119" s="41"/>
      <c r="L119" t="s">
        <v>1470</v>
      </c>
    </row>
    <row r="120" spans="1:12" x14ac:dyDescent="0.2">
      <c r="A120" t="s">
        <v>998</v>
      </c>
      <c r="B120" t="str">
        <f>_xlfn.XLOOKUP(b.nike.views[[#This Row],[product_ID]], a.nike.original.man[Product_ID], a.nike.original.man[Product Name], "Not Found")</f>
        <v>LeBron x John Elliott Icon</v>
      </c>
      <c r="C120" s="5" t="str">
        <f>_xlfn.XLOOKUP(b.nike.views[[#This Row],[product_ID]], a.nike.original.man[Product_ID], a.nike.original.man[Rating_Group], "Not Found")</f>
        <v>4 - 5</v>
      </c>
      <c r="D120">
        <f>_xlfn.XLOOKUP(b.nike.views[[#This Row],[product_ID]], a.nike.original.man[Product_ID], a.nike.original.man[Rating], "Not Found")</f>
        <v>4.8</v>
      </c>
      <c r="E120" s="10">
        <f>ROUND(_xlfn.XLOOKUP(b.nike.views[[#This Row],[product_ID]], a.nike.original.man[Product_ID], a.nike.original.man[Sale Price], "Not Found"), 0)</f>
        <v>200</v>
      </c>
      <c r="F120" s="5" t="str" cm="1">
        <f t="array" ref="F120">_xlfn.IFS(b.nike.views[[#This Row],[Sales_Price]]&lt;=9, "under $10",b.nike.views[[#This Row],[Sales_Price]]&lt;=20, "$20 and under",b.nike.views[[#This Row],[Sales_Price]]&lt;=50, "$50 and under", b.nike.views[[#This Row],[Sales_Price]]&lt;=99, "under $100", b.nike.views[[#This Row],[Sales_Price]]&gt;=100, "$100 +")</f>
        <v>$100 +</v>
      </c>
      <c r="G120">
        <f>COUNTIF(a.nike.original.man[Product_ID], A120)</f>
        <v>1</v>
      </c>
      <c r="H120" t="str" cm="1">
        <f t="array" ref="H120">_xlfn.IFS(b.nike.views[[#This Row],[Review_Count]]&lt;=7, "Below Average",b.nike.views[[#This Row],[Review_Count]]&gt;=8, "Average +")</f>
        <v>Below Average</v>
      </c>
      <c r="I120">
        <f>SUMIF(a.nike.original.man[Product_ID],b.nike.views[[#This Row],[product_ID]], a.nike.original.man[Reviews])</f>
        <v>6</v>
      </c>
      <c r="J120" s="41">
        <f>_xlfn.XLOOKUP(b.nike.views[[#This Row],[product_ID]],a.nike.original.man[Product_ID], a.nike.original.man[Discount %], "Not Found")</f>
        <v>0</v>
      </c>
      <c r="K120" s="41"/>
      <c r="L120" t="s">
        <v>1470</v>
      </c>
    </row>
    <row r="121" spans="1:12" x14ac:dyDescent="0.2">
      <c r="A121" t="s">
        <v>299</v>
      </c>
      <c r="B121" t="str">
        <f>_xlfn.XLOOKUP(b.nike.views[[#This Row],[product_ID]], a.nike.original.man[Product_ID], a.nike.original.man[Product Name], "Not Found")</f>
        <v>Nike React Element 55 SE</v>
      </c>
      <c r="C121" s="5" t="str">
        <f>_xlfn.XLOOKUP(b.nike.views[[#This Row],[product_ID]], a.nike.original.man[Product_ID], a.nike.original.man[Rating_Group], "Not Found")</f>
        <v>4 - 5</v>
      </c>
      <c r="D121">
        <f>_xlfn.XLOOKUP(b.nike.views[[#This Row],[product_ID]], a.nike.original.man[Product_ID], a.nike.original.man[Rating], "Not Found")</f>
        <v>4.8</v>
      </c>
      <c r="E121" s="10">
        <f>ROUND(_xlfn.XLOOKUP(b.nike.views[[#This Row],[product_ID]], a.nike.original.man[Product_ID], a.nike.original.man[Sale Price], "Not Found"), 0)</f>
        <v>66</v>
      </c>
      <c r="F121" s="5" t="str" cm="1">
        <f t="array" ref="F121">_xlfn.IFS(b.nike.views[[#This Row],[Sales_Price]]&lt;=9, "under $10",b.nike.views[[#This Row],[Sales_Price]]&lt;=20, "$20 and under",b.nike.views[[#This Row],[Sales_Price]]&lt;=50, "$50 and under", b.nike.views[[#This Row],[Sales_Price]]&lt;=99, "under $100", b.nike.views[[#This Row],[Sales_Price]]&gt;=100, "$100 +")</f>
        <v>under $100</v>
      </c>
      <c r="G121">
        <f>COUNTIF(a.nike.original.man[Product_ID], A121)</f>
        <v>1</v>
      </c>
      <c r="H121" t="str" cm="1">
        <f t="array" ref="H121">_xlfn.IFS(b.nike.views[[#This Row],[Review_Count]]&lt;=7, "Below Average",b.nike.views[[#This Row],[Review_Count]]&gt;=8, "Average +")</f>
        <v>Below Average</v>
      </c>
      <c r="I121">
        <f>SUMIF(a.nike.original.man[Product_ID],b.nike.views[[#This Row],[product_ID]], a.nike.original.man[Reviews])</f>
        <v>5</v>
      </c>
      <c r="J121" s="41">
        <f>_xlfn.XLOOKUP(b.nike.views[[#This Row],[product_ID]],a.nike.original.man[Product_ID], a.nike.original.man[Discount %], "Not Found")</f>
        <v>0.4</v>
      </c>
      <c r="K121" s="41"/>
      <c r="L121" t="s">
        <v>1470</v>
      </c>
    </row>
    <row r="122" spans="1:12" x14ac:dyDescent="0.2">
      <c r="A122" t="s">
        <v>638</v>
      </c>
      <c r="B122" t="str">
        <f>_xlfn.XLOOKUP(b.nike.views[[#This Row],[product_ID]], a.nike.original.man[Product_ID], a.nike.original.man[Product Name], "Not Found")</f>
        <v>Nike Joyride Dual Run</v>
      </c>
      <c r="C122" s="5" t="str">
        <f>_xlfn.XLOOKUP(b.nike.views[[#This Row],[product_ID]], a.nike.original.man[Product_ID], a.nike.original.man[Rating_Group], "Not Found")</f>
        <v>4 - 5</v>
      </c>
      <c r="D122">
        <f>_xlfn.XLOOKUP(b.nike.views[[#This Row],[product_ID]], a.nike.original.man[Product_ID], a.nike.original.man[Rating], "Not Found")</f>
        <v>4.8</v>
      </c>
      <c r="E122" s="10">
        <f>ROUND(_xlfn.XLOOKUP(b.nike.views[[#This Row],[product_ID]], a.nike.original.man[Product_ID], a.nike.original.man[Sale Price], "Not Found"), 0)</f>
        <v>110</v>
      </c>
      <c r="F122" s="5" t="str" cm="1">
        <f t="array" ref="F122">_xlfn.IFS(b.nike.views[[#This Row],[Sales_Price]]&lt;=9, "under $10",b.nike.views[[#This Row],[Sales_Price]]&lt;=20, "$20 and under",b.nike.views[[#This Row],[Sales_Price]]&lt;=50, "$50 and under", b.nike.views[[#This Row],[Sales_Price]]&lt;=99, "under $100", b.nike.views[[#This Row],[Sales_Price]]&gt;=100, "$100 +")</f>
        <v>$100 +</v>
      </c>
      <c r="G122">
        <f>COUNTIF(a.nike.original.man[Product_ID], A122)</f>
        <v>1</v>
      </c>
      <c r="H122" t="str" cm="1">
        <f t="array" ref="H122">_xlfn.IFS(b.nike.views[[#This Row],[Review_Count]]&lt;=7, "Below Average",b.nike.views[[#This Row],[Review_Count]]&gt;=8, "Average +")</f>
        <v>Below Average</v>
      </c>
      <c r="I122">
        <f>SUMIF(a.nike.original.man[Product_ID],b.nike.views[[#This Row],[product_ID]], a.nike.original.man[Reviews])</f>
        <v>5</v>
      </c>
      <c r="J122" s="41">
        <f>_xlfn.XLOOKUP(b.nike.views[[#This Row],[product_ID]],a.nike.original.man[Product_ID], a.nike.original.man[Discount %], "Not Found")</f>
        <v>0</v>
      </c>
      <c r="K122" s="41"/>
      <c r="L122" t="s">
        <v>1470</v>
      </c>
    </row>
    <row r="123" spans="1:12" x14ac:dyDescent="0.2">
      <c r="A123" t="s">
        <v>1099</v>
      </c>
      <c r="B123" t="str">
        <f>_xlfn.XLOOKUP(b.nike.views[[#This Row],[product_ID]], a.nike.original.man[Product_ID], a.nike.original.man[Product Name], "Not Found")</f>
        <v>Nike Air Max 90</v>
      </c>
      <c r="C123" s="5" t="str">
        <f>_xlfn.XLOOKUP(b.nike.views[[#This Row],[product_ID]], a.nike.original.man[Product_ID], a.nike.original.man[Rating_Group], "Not Found")</f>
        <v>4 - 5</v>
      </c>
      <c r="D123">
        <f>_xlfn.XLOOKUP(b.nike.views[[#This Row],[product_ID]], a.nike.original.man[Product_ID], a.nike.original.man[Rating], "Not Found")</f>
        <v>4.8</v>
      </c>
      <c r="E123" s="10">
        <f>ROUND(_xlfn.XLOOKUP(b.nike.views[[#This Row],[product_ID]], a.nike.original.man[Product_ID], a.nike.original.man[Sale Price], "Not Found"), 0)</f>
        <v>96</v>
      </c>
      <c r="F123" s="5" t="str" cm="1">
        <f t="array" ref="F123">_xlfn.IFS(b.nike.views[[#This Row],[Sales_Price]]&lt;=9, "under $10",b.nike.views[[#This Row],[Sales_Price]]&lt;=20, "$20 and under",b.nike.views[[#This Row],[Sales_Price]]&lt;=50, "$50 and under", b.nike.views[[#This Row],[Sales_Price]]&lt;=99, "under $100", b.nike.views[[#This Row],[Sales_Price]]&gt;=100, "$100 +")</f>
        <v>under $100</v>
      </c>
      <c r="G123">
        <f>COUNTIF(a.nike.original.man[Product_ID], A123)</f>
        <v>1</v>
      </c>
      <c r="H123" t="str" cm="1">
        <f t="array" ref="H123">_xlfn.IFS(b.nike.views[[#This Row],[Review_Count]]&lt;=7, "Below Average",b.nike.views[[#This Row],[Review_Count]]&gt;=8, "Average +")</f>
        <v>Below Average</v>
      </c>
      <c r="I123">
        <f>SUMIF(a.nike.original.man[Product_ID],b.nike.views[[#This Row],[product_ID]], a.nike.original.man[Reviews])</f>
        <v>5</v>
      </c>
      <c r="J123" s="41">
        <f>_xlfn.XLOOKUP(b.nike.views[[#This Row],[product_ID]],a.nike.original.man[Product_ID], a.nike.original.man[Discount %], "Not Found")</f>
        <v>0.2</v>
      </c>
      <c r="K123" s="41"/>
      <c r="L123" t="s">
        <v>1470</v>
      </c>
    </row>
    <row r="124" spans="1:12" x14ac:dyDescent="0.2">
      <c r="A124" t="s">
        <v>1270</v>
      </c>
      <c r="B124" t="str">
        <f>_xlfn.XLOOKUP(b.nike.views[[#This Row],[product_ID]], a.nike.original.man[Product_ID], a.nike.original.man[Product Name], "Not Found")</f>
        <v>Nike Renew Run</v>
      </c>
      <c r="C124" s="5" t="str">
        <f>_xlfn.XLOOKUP(b.nike.views[[#This Row],[product_ID]], a.nike.original.man[Product_ID], a.nike.original.man[Rating_Group], "Not Found")</f>
        <v>4 - 5</v>
      </c>
      <c r="D124">
        <f>_xlfn.XLOOKUP(b.nike.views[[#This Row],[product_ID]], a.nike.original.man[Product_ID], a.nike.original.man[Rating], "Not Found")</f>
        <v>4.8</v>
      </c>
      <c r="E124" s="10">
        <f>ROUND(_xlfn.XLOOKUP(b.nike.views[[#This Row],[product_ID]], a.nike.original.man[Product_ID], a.nike.original.man[Sale Price], "Not Found"), 0)</f>
        <v>70</v>
      </c>
      <c r="F124" s="5" t="str" cm="1">
        <f t="array" ref="F124">_xlfn.IFS(b.nike.views[[#This Row],[Sales_Price]]&lt;=9, "under $10",b.nike.views[[#This Row],[Sales_Price]]&lt;=20, "$20 and under",b.nike.views[[#This Row],[Sales_Price]]&lt;=50, "$50 and under", b.nike.views[[#This Row],[Sales_Price]]&lt;=99, "under $100", b.nike.views[[#This Row],[Sales_Price]]&gt;=100, "$100 +")</f>
        <v>under $100</v>
      </c>
      <c r="G124">
        <f>COUNTIF(a.nike.original.man[Product_ID], A124)</f>
        <v>1</v>
      </c>
      <c r="H124" t="str" cm="1">
        <f t="array" ref="H124">_xlfn.IFS(b.nike.views[[#This Row],[Review_Count]]&lt;=7, "Below Average",b.nike.views[[#This Row],[Review_Count]]&gt;=8, "Average +")</f>
        <v>Below Average</v>
      </c>
      <c r="I124">
        <f>SUMIF(a.nike.original.man[Product_ID],b.nike.views[[#This Row],[product_ID]], a.nike.original.man[Reviews])</f>
        <v>5</v>
      </c>
      <c r="J124" s="41">
        <f>_xlfn.XLOOKUP(b.nike.views[[#This Row],[product_ID]],a.nike.original.man[Product_ID], a.nike.original.man[Discount %], "Not Found")</f>
        <v>0</v>
      </c>
      <c r="K124" s="41"/>
      <c r="L124" t="s">
        <v>1470</v>
      </c>
    </row>
    <row r="125" spans="1:12" x14ac:dyDescent="0.2">
      <c r="A125" t="s">
        <v>989</v>
      </c>
      <c r="B125" t="str">
        <f>_xlfn.XLOOKUP(b.nike.views[[#This Row],[product_ID]], a.nike.original.man[Product_ID], a.nike.original.man[Product Name], "Not Found")</f>
        <v>Nike Air Max 2090</v>
      </c>
      <c r="C125" s="5" t="str">
        <f>_xlfn.XLOOKUP(b.nike.views[[#This Row],[product_ID]], a.nike.original.man[Product_ID], a.nike.original.man[Rating_Group], "Not Found")</f>
        <v>4 - 5</v>
      </c>
      <c r="D125">
        <f>_xlfn.XLOOKUP(b.nike.views[[#This Row],[product_ID]], a.nike.original.man[Product_ID], a.nike.original.man[Rating], "Not Found")</f>
        <v>4.8</v>
      </c>
      <c r="E125" s="10">
        <f>ROUND(_xlfn.XLOOKUP(b.nike.views[[#This Row],[product_ID]], a.nike.original.man[Product_ID], a.nike.original.man[Sale Price], "Not Found"), 0)</f>
        <v>120</v>
      </c>
      <c r="F125" s="5" t="str" cm="1">
        <f t="array" ref="F125">_xlfn.IFS(b.nike.views[[#This Row],[Sales_Price]]&lt;=9, "under $10",b.nike.views[[#This Row],[Sales_Price]]&lt;=20, "$20 and under",b.nike.views[[#This Row],[Sales_Price]]&lt;=50, "$50 and under", b.nike.views[[#This Row],[Sales_Price]]&lt;=99, "under $100", b.nike.views[[#This Row],[Sales_Price]]&gt;=100, "$100 +")</f>
        <v>$100 +</v>
      </c>
      <c r="G125">
        <f>COUNTIF(a.nike.original.man[Product_ID], A125)</f>
        <v>1</v>
      </c>
      <c r="H125" t="str" cm="1">
        <f t="array" ref="H125">_xlfn.IFS(b.nike.views[[#This Row],[Review_Count]]&lt;=7, "Below Average",b.nike.views[[#This Row],[Review_Count]]&gt;=8, "Average +")</f>
        <v>Below Average</v>
      </c>
      <c r="I125">
        <f>SUMIF(a.nike.original.man[Product_ID],b.nike.views[[#This Row],[product_ID]], a.nike.original.man[Reviews])</f>
        <v>4</v>
      </c>
      <c r="J125" s="41">
        <f>_xlfn.XLOOKUP(b.nike.views[[#This Row],[product_ID]],a.nike.original.man[Product_ID], a.nike.original.man[Discount %], "Not Found")</f>
        <v>0</v>
      </c>
      <c r="K125" s="41"/>
      <c r="L125" t="s">
        <v>1470</v>
      </c>
    </row>
    <row r="126" spans="1:12" x14ac:dyDescent="0.2">
      <c r="A126" t="s">
        <v>885</v>
      </c>
      <c r="B126" t="str">
        <f>_xlfn.XLOOKUP(b.nike.views[[#This Row],[product_ID]], a.nike.original.man[Product_ID], a.nike.original.man[Product Name], "Not Found")</f>
        <v>Nike Xarr</v>
      </c>
      <c r="C126" s="5" t="str">
        <f>_xlfn.XLOOKUP(b.nike.views[[#This Row],[product_ID]], a.nike.original.man[Product_ID], a.nike.original.man[Rating_Group], "Not Found")</f>
        <v>4 - 5</v>
      </c>
      <c r="D126">
        <f>_xlfn.XLOOKUP(b.nike.views[[#This Row],[product_ID]], a.nike.original.man[Product_ID], a.nike.original.man[Rating], "Not Found")</f>
        <v>4.8</v>
      </c>
      <c r="E126" s="10">
        <f>ROUND(_xlfn.XLOOKUP(b.nike.views[[#This Row],[product_ID]], a.nike.original.man[Product_ID], a.nike.original.man[Sale Price], "Not Found"), 0)</f>
        <v>91</v>
      </c>
      <c r="F126" s="5" t="str" cm="1">
        <f t="array" ref="F126">_xlfn.IFS(b.nike.views[[#This Row],[Sales_Price]]&lt;=9, "under $10",b.nike.views[[#This Row],[Sales_Price]]&lt;=20, "$20 and under",b.nike.views[[#This Row],[Sales_Price]]&lt;=50, "$50 and under", b.nike.views[[#This Row],[Sales_Price]]&lt;=99, "under $100", b.nike.views[[#This Row],[Sales_Price]]&gt;=100, "$100 +")</f>
        <v>under $100</v>
      </c>
      <c r="G126">
        <f>COUNTIF(a.nike.original.man[Product_ID], A126)</f>
        <v>1</v>
      </c>
      <c r="H126" t="str" cm="1">
        <f t="array" ref="H126">_xlfn.IFS(b.nike.views[[#This Row],[Review_Count]]&lt;=7, "Below Average",b.nike.views[[#This Row],[Review_Count]]&gt;=8, "Average +")</f>
        <v>Below Average</v>
      </c>
      <c r="I126">
        <f>SUMIF(a.nike.original.man[Product_ID],b.nike.views[[#This Row],[product_ID]], a.nike.original.man[Reviews])</f>
        <v>4</v>
      </c>
      <c r="J126" s="41">
        <f>_xlfn.XLOOKUP(b.nike.views[[#This Row],[product_ID]],a.nike.original.man[Product_ID], a.nike.original.man[Discount %], "Not Found")</f>
        <v>0.3</v>
      </c>
      <c r="K126" s="41"/>
      <c r="L126" t="s">
        <v>1470</v>
      </c>
    </row>
    <row r="127" spans="1:12" x14ac:dyDescent="0.2">
      <c r="A127" t="s">
        <v>1097</v>
      </c>
      <c r="B127" t="str">
        <f>_xlfn.XLOOKUP(b.nike.views[[#This Row],[product_ID]], a.nike.original.man[Product_ID], a.nike.original.man[Product Name], "Not Found")</f>
        <v>Nike Air Force 1 React</v>
      </c>
      <c r="C127" s="5" t="str">
        <f>_xlfn.XLOOKUP(b.nike.views[[#This Row],[product_ID]], a.nike.original.man[Product_ID], a.nike.original.man[Rating_Group], "Not Found")</f>
        <v>4 - 5</v>
      </c>
      <c r="D127">
        <f>_xlfn.XLOOKUP(b.nike.views[[#This Row],[product_ID]], a.nike.original.man[Product_ID], a.nike.original.man[Rating], "Not Found")</f>
        <v>4.8</v>
      </c>
      <c r="E127" s="10">
        <f>ROUND(_xlfn.XLOOKUP(b.nike.views[[#This Row],[product_ID]], a.nike.original.man[Product_ID], a.nike.original.man[Sale Price], "Not Found"), 0)</f>
        <v>100</v>
      </c>
      <c r="F127" s="5" t="str" cm="1">
        <f t="array" ref="F127">_xlfn.IFS(b.nike.views[[#This Row],[Sales_Price]]&lt;=9, "under $10",b.nike.views[[#This Row],[Sales_Price]]&lt;=20, "$20 and under",b.nike.views[[#This Row],[Sales_Price]]&lt;=50, "$50 and under", b.nike.views[[#This Row],[Sales_Price]]&lt;=99, "under $100", b.nike.views[[#This Row],[Sales_Price]]&gt;=100, "$100 +")</f>
        <v>$100 +</v>
      </c>
      <c r="G127">
        <f>COUNTIF(a.nike.original.man[Product_ID], A127)</f>
        <v>1</v>
      </c>
      <c r="H127" t="str" cm="1">
        <f t="array" ref="H127">_xlfn.IFS(b.nike.views[[#This Row],[Review_Count]]&lt;=7, "Below Average",b.nike.views[[#This Row],[Review_Count]]&gt;=8, "Average +")</f>
        <v>Below Average</v>
      </c>
      <c r="I127">
        <f>SUMIF(a.nike.original.man[Product_ID],b.nike.views[[#This Row],[product_ID]], a.nike.original.man[Reviews])</f>
        <v>4</v>
      </c>
      <c r="J127" s="41">
        <f>_xlfn.XLOOKUP(b.nike.views[[#This Row],[product_ID]],a.nike.original.man[Product_ID], a.nike.original.man[Discount %], "Not Found")</f>
        <v>0</v>
      </c>
      <c r="K127" s="41"/>
      <c r="L127" t="s">
        <v>1470</v>
      </c>
    </row>
    <row r="128" spans="1:12" x14ac:dyDescent="0.2">
      <c r="A128" t="s">
        <v>359</v>
      </c>
      <c r="B128" t="str">
        <f>_xlfn.XLOOKUP(b.nike.views[[#This Row],[product_ID]], a.nike.original.man[Product_ID], a.nike.original.man[Product Name], "Not Found")</f>
        <v>Air Jordan 10 Retro</v>
      </c>
      <c r="C128" s="5" t="str">
        <f>_xlfn.XLOOKUP(b.nike.views[[#This Row],[product_ID]], a.nike.original.man[Product_ID], a.nike.original.man[Rating_Group], "Not Found")</f>
        <v>4 - 5</v>
      </c>
      <c r="D128">
        <f>_xlfn.XLOOKUP(b.nike.views[[#This Row],[product_ID]], a.nike.original.man[Product_ID], a.nike.original.man[Rating], "Not Found")</f>
        <v>4.7</v>
      </c>
      <c r="E128" s="10">
        <f>ROUND(_xlfn.XLOOKUP(b.nike.views[[#This Row],[product_ID]], a.nike.original.man[Product_ID], a.nike.original.man[Sale Price], "Not Found"), 0)</f>
        <v>160</v>
      </c>
      <c r="F128" s="5" t="str" cm="1">
        <f t="array" ref="F128">_xlfn.IFS(b.nike.views[[#This Row],[Sales_Price]]&lt;=9, "under $10",b.nike.views[[#This Row],[Sales_Price]]&lt;=20, "$20 and under",b.nike.views[[#This Row],[Sales_Price]]&lt;=50, "$50 and under", b.nike.views[[#This Row],[Sales_Price]]&lt;=99, "under $100", b.nike.views[[#This Row],[Sales_Price]]&gt;=100, "$100 +")</f>
        <v>$100 +</v>
      </c>
      <c r="G128">
        <f>COUNTIF(a.nike.original.man[Product_ID], A128)</f>
        <v>1</v>
      </c>
      <c r="H128" t="str" cm="1">
        <f t="array" ref="H128">_xlfn.IFS(b.nike.views[[#This Row],[Review_Count]]&lt;=7, "Below Average",b.nike.views[[#This Row],[Review_Count]]&gt;=8, "Average +")</f>
        <v>Average +</v>
      </c>
      <c r="I128">
        <f>SUMIF(a.nike.original.man[Product_ID],b.nike.views[[#This Row],[product_ID]], a.nike.original.man[Reviews])</f>
        <v>223</v>
      </c>
      <c r="J128" s="41">
        <f>_xlfn.XLOOKUP(b.nike.views[[#This Row],[product_ID]],a.nike.original.man[Product_ID], a.nike.original.man[Discount %], "Not Found")</f>
        <v>0</v>
      </c>
      <c r="K128" s="41"/>
      <c r="L128" t="s">
        <v>1470</v>
      </c>
    </row>
    <row r="129" spans="1:12" x14ac:dyDescent="0.2">
      <c r="A129" t="s">
        <v>791</v>
      </c>
      <c r="B129" t="str">
        <f>_xlfn.XLOOKUP(b.nike.views[[#This Row],[product_ID]], a.nike.original.man[Product_ID], a.nike.original.man[Product Name], "Not Found")</f>
        <v>Nike ZoomX Vaporfly NEXT%</v>
      </c>
      <c r="C129" s="5" t="str">
        <f>_xlfn.XLOOKUP(b.nike.views[[#This Row],[product_ID]], a.nike.original.man[Product_ID], a.nike.original.man[Rating_Group], "Not Found")</f>
        <v>4 - 5</v>
      </c>
      <c r="D129">
        <f>_xlfn.XLOOKUP(b.nike.views[[#This Row],[product_ID]], a.nike.original.man[Product_ID], a.nike.original.man[Rating], "Not Found")</f>
        <v>4.7</v>
      </c>
      <c r="E129" s="10">
        <f>ROUND(_xlfn.XLOOKUP(b.nike.views[[#This Row],[product_ID]], a.nike.original.man[Product_ID], a.nike.original.man[Sale Price], "Not Found"), 0)</f>
        <v>200</v>
      </c>
      <c r="F129" s="5" t="str" cm="1">
        <f t="array" ref="F129">_xlfn.IFS(b.nike.views[[#This Row],[Sales_Price]]&lt;=9, "under $10",b.nike.views[[#This Row],[Sales_Price]]&lt;=20, "$20 and under",b.nike.views[[#This Row],[Sales_Price]]&lt;=50, "$50 and under", b.nike.views[[#This Row],[Sales_Price]]&lt;=99, "under $100", b.nike.views[[#This Row],[Sales_Price]]&gt;=100, "$100 +")</f>
        <v>$100 +</v>
      </c>
      <c r="G129">
        <f>COUNTIF(a.nike.original.man[Product_ID], A129)</f>
        <v>2</v>
      </c>
      <c r="H129" t="str" cm="1">
        <f t="array" ref="H129">_xlfn.IFS(b.nike.views[[#This Row],[Review_Count]]&lt;=7, "Below Average",b.nike.views[[#This Row],[Review_Count]]&gt;=8, "Average +")</f>
        <v>Average +</v>
      </c>
      <c r="I129">
        <f>SUMIF(a.nike.original.man[Product_ID],b.nike.views[[#This Row],[product_ID]], a.nike.original.man[Reviews])</f>
        <v>90</v>
      </c>
      <c r="J129" s="41">
        <f>_xlfn.XLOOKUP(b.nike.views[[#This Row],[product_ID]],a.nike.original.man[Product_ID], a.nike.original.man[Discount %], "Not Found")</f>
        <v>0</v>
      </c>
      <c r="K129" s="41"/>
      <c r="L129" t="s">
        <v>1470</v>
      </c>
    </row>
    <row r="130" spans="1:12" x14ac:dyDescent="0.2">
      <c r="A130" t="s">
        <v>1421</v>
      </c>
      <c r="B130" t="str">
        <f>_xlfn.XLOOKUP(b.nike.views[[#This Row],[product_ID]], a.nike.original.man[Product_ID], a.nike.original.man[Product Name], "Not Found")</f>
        <v>Nike P-6000 Icon Clash</v>
      </c>
      <c r="C130" s="5" t="str">
        <f>_xlfn.XLOOKUP(b.nike.views[[#This Row],[product_ID]], a.nike.original.man[Product_ID], a.nike.original.man[Rating_Group], "Not Found")</f>
        <v>4 - 5</v>
      </c>
      <c r="D130">
        <f>_xlfn.XLOOKUP(b.nike.views[[#This Row],[product_ID]], a.nike.original.man[Product_ID], a.nike.original.man[Rating], "Not Found")</f>
        <v>4.7</v>
      </c>
      <c r="E130" s="10">
        <f>ROUND(_xlfn.XLOOKUP(b.nike.views[[#This Row],[product_ID]], a.nike.original.man[Product_ID], a.nike.original.man[Sale Price], "Not Found"), 0)</f>
        <v>56</v>
      </c>
      <c r="F130" s="5" t="str" cm="1">
        <f t="array" ref="F130">_xlfn.IFS(b.nike.views[[#This Row],[Sales_Price]]&lt;=9, "under $10",b.nike.views[[#This Row],[Sales_Price]]&lt;=20, "$20 and under",b.nike.views[[#This Row],[Sales_Price]]&lt;=50, "$50 and under", b.nike.views[[#This Row],[Sales_Price]]&lt;=99, "under $100", b.nike.views[[#This Row],[Sales_Price]]&gt;=100, "$100 +")</f>
        <v>under $100</v>
      </c>
      <c r="G130">
        <f>COUNTIF(a.nike.original.man[Product_ID], A130)</f>
        <v>1</v>
      </c>
      <c r="H130" t="str" cm="1">
        <f t="array" ref="H130">_xlfn.IFS(b.nike.views[[#This Row],[Review_Count]]&lt;=7, "Below Average",b.nike.views[[#This Row],[Review_Count]]&gt;=8, "Average +")</f>
        <v>Average +</v>
      </c>
      <c r="I130">
        <f>SUMIF(a.nike.original.man[Product_ID],b.nike.views[[#This Row],[product_ID]], a.nike.original.man[Reviews])</f>
        <v>10</v>
      </c>
      <c r="J130" s="41">
        <f>_xlfn.XLOOKUP(b.nike.views[[#This Row],[product_ID]],a.nike.original.man[Product_ID], a.nike.original.man[Discount %], "Not Found")</f>
        <v>0.3</v>
      </c>
      <c r="K130" s="41"/>
      <c r="L130" t="s">
        <v>1470</v>
      </c>
    </row>
    <row r="131" spans="1:12" x14ac:dyDescent="0.2">
      <c r="A131" t="s">
        <v>554</v>
      </c>
      <c r="B131" t="str">
        <f>_xlfn.XLOOKUP(b.nike.views[[#This Row],[product_ID]], a.nike.original.man[Product_ID], a.nike.original.man[Product Name], "Not Found")</f>
        <v>Nike Air Max 90</v>
      </c>
      <c r="C131" s="5" t="str">
        <f>_xlfn.XLOOKUP(b.nike.views[[#This Row],[product_ID]], a.nike.original.man[Product_ID], a.nike.original.man[Rating_Group], "Not Found")</f>
        <v>4 - 5</v>
      </c>
      <c r="D131">
        <f>_xlfn.XLOOKUP(b.nike.views[[#This Row],[product_ID]], a.nike.original.man[Product_ID], a.nike.original.man[Rating], "Not Found")</f>
        <v>4.7</v>
      </c>
      <c r="E131" s="10">
        <f>ROUND(_xlfn.XLOOKUP(b.nike.views[[#This Row],[product_ID]], a.nike.original.man[Product_ID], a.nike.original.man[Sale Price], "Not Found"), 0)</f>
        <v>100</v>
      </c>
      <c r="F131" s="5" t="str" cm="1">
        <f t="array" ref="F131">_xlfn.IFS(b.nike.views[[#This Row],[Sales_Price]]&lt;=9, "under $10",b.nike.views[[#This Row],[Sales_Price]]&lt;=20, "$20 and under",b.nike.views[[#This Row],[Sales_Price]]&lt;=50, "$50 and under", b.nike.views[[#This Row],[Sales_Price]]&lt;=99, "under $100", b.nike.views[[#This Row],[Sales_Price]]&gt;=100, "$100 +")</f>
        <v>$100 +</v>
      </c>
      <c r="G131">
        <f>COUNTIF(a.nike.original.man[Product_ID], A131)</f>
        <v>1</v>
      </c>
      <c r="H131" t="str" cm="1">
        <f t="array" ref="H131">_xlfn.IFS(b.nike.views[[#This Row],[Review_Count]]&lt;=7, "Below Average",b.nike.views[[#This Row],[Review_Count]]&gt;=8, "Average +")</f>
        <v>Average +</v>
      </c>
      <c r="I131">
        <f>SUMIF(a.nike.original.man[Product_ID],b.nike.views[[#This Row],[product_ID]], a.nike.original.man[Reviews])</f>
        <v>9</v>
      </c>
      <c r="J131" s="41">
        <f>_xlfn.XLOOKUP(b.nike.views[[#This Row],[product_ID]],a.nike.original.man[Product_ID], a.nike.original.man[Discount %], "Not Found")</f>
        <v>0</v>
      </c>
      <c r="K131" s="41"/>
      <c r="L131" t="s">
        <v>1470</v>
      </c>
    </row>
    <row r="132" spans="1:12" x14ac:dyDescent="0.2">
      <c r="A132" t="s">
        <v>124</v>
      </c>
      <c r="B132" t="str">
        <f>_xlfn.XLOOKUP(b.nike.views[[#This Row],[product_ID]], a.nike.original.man[Product_ID], a.nike.original.man[Product Name], "Not Found")</f>
        <v>Nike SB Shane</v>
      </c>
      <c r="C132" s="5" t="str">
        <f>_xlfn.XLOOKUP(b.nike.views[[#This Row],[product_ID]], a.nike.original.man[Product_ID], a.nike.original.man[Rating_Group], "Not Found")</f>
        <v>4 - 5</v>
      </c>
      <c r="D132">
        <f>_xlfn.XLOOKUP(b.nike.views[[#This Row],[product_ID]], a.nike.original.man[Product_ID], a.nike.original.man[Rating], "Not Found")</f>
        <v>4.7</v>
      </c>
      <c r="E132" s="10">
        <f>ROUND(_xlfn.XLOOKUP(b.nike.views[[#This Row],[product_ID]], a.nike.original.man[Product_ID], a.nike.original.man[Sale Price], "Not Found"), 0)</f>
        <v>65</v>
      </c>
      <c r="F132" s="5" t="str" cm="1">
        <f t="array" ref="F132">_xlfn.IFS(b.nike.views[[#This Row],[Sales_Price]]&lt;=9, "under $10",b.nike.views[[#This Row],[Sales_Price]]&lt;=20, "$20 and under",b.nike.views[[#This Row],[Sales_Price]]&lt;=50, "$50 and under", b.nike.views[[#This Row],[Sales_Price]]&lt;=99, "under $100", b.nike.views[[#This Row],[Sales_Price]]&gt;=100, "$100 +")</f>
        <v>under $100</v>
      </c>
      <c r="G132">
        <f>COUNTIF(a.nike.original.man[Product_ID], A132)</f>
        <v>2</v>
      </c>
      <c r="H132" t="str" cm="1">
        <f t="array" ref="H132">_xlfn.IFS(b.nike.views[[#This Row],[Review_Count]]&lt;=7, "Below Average",b.nike.views[[#This Row],[Review_Count]]&gt;=8, "Average +")</f>
        <v>Below Average</v>
      </c>
      <c r="I132">
        <f>SUMIF(a.nike.original.man[Product_ID],b.nike.views[[#This Row],[product_ID]], a.nike.original.man[Reviews])</f>
        <v>6</v>
      </c>
      <c r="J132" s="41">
        <f>_xlfn.XLOOKUP(b.nike.views[[#This Row],[product_ID]],a.nike.original.man[Product_ID], a.nike.original.man[Discount %], "Not Found")</f>
        <v>0</v>
      </c>
      <c r="K132" s="41"/>
      <c r="L132" t="s">
        <v>1470</v>
      </c>
    </row>
    <row r="133" spans="1:12" x14ac:dyDescent="0.2">
      <c r="A133" t="s">
        <v>401</v>
      </c>
      <c r="B133" t="str">
        <f>_xlfn.XLOOKUP(b.nike.views[[#This Row],[product_ID]], a.nike.original.man[Product_ID], a.nike.original.man[Product Name], "Not Found")</f>
        <v>Nike Air Zoom Pegasus 36</v>
      </c>
      <c r="C133" s="5" t="str">
        <f>_xlfn.XLOOKUP(b.nike.views[[#This Row],[product_ID]], a.nike.original.man[Product_ID], a.nike.original.man[Rating_Group], "Not Found")</f>
        <v>4 - 5</v>
      </c>
      <c r="D133">
        <f>_xlfn.XLOOKUP(b.nike.views[[#This Row],[product_ID]], a.nike.original.man[Product_ID], a.nike.original.man[Rating], "Not Found")</f>
        <v>4.7</v>
      </c>
      <c r="E133" s="10">
        <f>ROUND(_xlfn.XLOOKUP(b.nike.views[[#This Row],[product_ID]], a.nike.original.man[Product_ID], a.nike.original.man[Sale Price], "Not Found"), 0)</f>
        <v>77</v>
      </c>
      <c r="F133" s="5" t="str" cm="1">
        <f t="array" ref="F133">_xlfn.IFS(b.nike.views[[#This Row],[Sales_Price]]&lt;=9, "under $10",b.nike.views[[#This Row],[Sales_Price]]&lt;=20, "$20 and under",b.nike.views[[#This Row],[Sales_Price]]&lt;=50, "$50 and under", b.nike.views[[#This Row],[Sales_Price]]&lt;=99, "under $100", b.nike.views[[#This Row],[Sales_Price]]&gt;=100, "$100 +")</f>
        <v>under $100</v>
      </c>
      <c r="G133">
        <f>COUNTIF(a.nike.original.man[Product_ID], A133)</f>
        <v>1</v>
      </c>
      <c r="H133" t="str" cm="1">
        <f t="array" ref="H133">_xlfn.IFS(b.nike.views[[#This Row],[Review_Count]]&lt;=7, "Below Average",b.nike.views[[#This Row],[Review_Count]]&gt;=8, "Average +")</f>
        <v>Below Average</v>
      </c>
      <c r="I133">
        <f>SUMIF(a.nike.original.man[Product_ID],b.nike.views[[#This Row],[product_ID]], a.nike.original.man[Reviews])</f>
        <v>3</v>
      </c>
      <c r="J133" s="41">
        <f>_xlfn.XLOOKUP(b.nike.views[[#This Row],[product_ID]],a.nike.original.man[Product_ID], a.nike.original.man[Discount %], "Not Found")</f>
        <v>0.3</v>
      </c>
      <c r="K133" s="41"/>
      <c r="L133" t="s">
        <v>1470</v>
      </c>
    </row>
    <row r="134" spans="1:12" x14ac:dyDescent="0.2">
      <c r="A134" t="s">
        <v>702</v>
      </c>
      <c r="B134" t="str">
        <f>_xlfn.XLOOKUP(b.nike.views[[#This Row],[product_ID]], a.nike.original.man[Product_ID], a.nike.original.man[Product Name], "Not Found")</f>
        <v>Nike React Vision</v>
      </c>
      <c r="C134" s="5" t="str">
        <f>_xlfn.XLOOKUP(b.nike.views[[#This Row],[product_ID]], a.nike.original.man[Product_ID], a.nike.original.man[Rating_Group], "Not Found")</f>
        <v>4 - 5</v>
      </c>
      <c r="D134">
        <f>_xlfn.XLOOKUP(b.nike.views[[#This Row],[product_ID]], a.nike.original.man[Product_ID], a.nike.original.man[Rating], "Not Found")</f>
        <v>4.7</v>
      </c>
      <c r="E134" s="10">
        <f>ROUND(_xlfn.XLOOKUP(b.nike.views[[#This Row],[product_ID]], a.nike.original.man[Product_ID], a.nike.original.man[Sale Price], "Not Found"), 0)</f>
        <v>110</v>
      </c>
      <c r="F134" s="5" t="str" cm="1">
        <f t="array" ref="F134">_xlfn.IFS(b.nike.views[[#This Row],[Sales_Price]]&lt;=9, "under $10",b.nike.views[[#This Row],[Sales_Price]]&lt;=20, "$20 and under",b.nike.views[[#This Row],[Sales_Price]]&lt;=50, "$50 and under", b.nike.views[[#This Row],[Sales_Price]]&lt;=99, "under $100", b.nike.views[[#This Row],[Sales_Price]]&gt;=100, "$100 +")</f>
        <v>$100 +</v>
      </c>
      <c r="G134">
        <f>COUNTIF(a.nike.original.man[Product_ID], A134)</f>
        <v>1</v>
      </c>
      <c r="H134" t="str" cm="1">
        <f t="array" ref="H134">_xlfn.IFS(b.nike.views[[#This Row],[Review_Count]]&lt;=7, "Below Average",b.nike.views[[#This Row],[Review_Count]]&gt;=8, "Average +")</f>
        <v>Below Average</v>
      </c>
      <c r="I134">
        <f>SUMIF(a.nike.original.man[Product_ID],b.nike.views[[#This Row],[product_ID]], a.nike.original.man[Reviews])</f>
        <v>3</v>
      </c>
      <c r="J134" s="41">
        <f>_xlfn.XLOOKUP(b.nike.views[[#This Row],[product_ID]],a.nike.original.man[Product_ID], a.nike.original.man[Discount %], "Not Found")</f>
        <v>0</v>
      </c>
      <c r="K134" s="41"/>
      <c r="L134" t="s">
        <v>1470</v>
      </c>
    </row>
    <row r="135" spans="1:12" x14ac:dyDescent="0.2">
      <c r="A135" t="s">
        <v>915</v>
      </c>
      <c r="B135" t="str">
        <f>_xlfn.XLOOKUP(b.nike.views[[#This Row],[product_ID]], a.nike.original.man[Product_ID], a.nike.original.man[Product Name], "Not Found")</f>
        <v>Nike Wildhorse 6</v>
      </c>
      <c r="C135" s="5" t="str">
        <f>_xlfn.XLOOKUP(b.nike.views[[#This Row],[product_ID]], a.nike.original.man[Product_ID], a.nike.original.man[Rating_Group], "Not Found")</f>
        <v>4 - 5</v>
      </c>
      <c r="D135">
        <f>_xlfn.XLOOKUP(b.nike.views[[#This Row],[product_ID]], a.nike.original.man[Product_ID], a.nike.original.man[Rating], "Not Found")</f>
        <v>4.7</v>
      </c>
      <c r="E135" s="10">
        <f>ROUND(_xlfn.XLOOKUP(b.nike.views[[#This Row],[product_ID]], a.nike.original.man[Product_ID], a.nike.original.man[Sale Price], "Not Found"), 0)</f>
        <v>100</v>
      </c>
      <c r="F135" s="5" t="str" cm="1">
        <f t="array" ref="F135">_xlfn.IFS(b.nike.views[[#This Row],[Sales_Price]]&lt;=9, "under $10",b.nike.views[[#This Row],[Sales_Price]]&lt;=20, "$20 and under",b.nike.views[[#This Row],[Sales_Price]]&lt;=50, "$50 and under", b.nike.views[[#This Row],[Sales_Price]]&lt;=99, "under $100", b.nike.views[[#This Row],[Sales_Price]]&gt;=100, "$100 +")</f>
        <v>$100 +</v>
      </c>
      <c r="G135">
        <f>COUNTIF(a.nike.original.man[Product_ID], A135)</f>
        <v>1</v>
      </c>
      <c r="H135" t="str" cm="1">
        <f t="array" ref="H135">_xlfn.IFS(b.nike.views[[#This Row],[Review_Count]]&lt;=7, "Below Average",b.nike.views[[#This Row],[Review_Count]]&gt;=8, "Average +")</f>
        <v>Below Average</v>
      </c>
      <c r="I135">
        <f>SUMIF(a.nike.original.man[Product_ID],b.nike.views[[#This Row],[product_ID]], a.nike.original.man[Reviews])</f>
        <v>3</v>
      </c>
      <c r="J135" s="41">
        <f>_xlfn.XLOOKUP(b.nike.views[[#This Row],[product_ID]],a.nike.original.man[Product_ID], a.nike.original.man[Discount %], "Not Found")</f>
        <v>0</v>
      </c>
      <c r="K135" s="41"/>
      <c r="L135" t="s">
        <v>1470</v>
      </c>
    </row>
    <row r="136" spans="1:12" x14ac:dyDescent="0.2">
      <c r="A136" t="s">
        <v>1240</v>
      </c>
      <c r="B136" t="str">
        <f>_xlfn.XLOOKUP(b.nike.views[[#This Row],[product_ID]], a.nike.original.man[Product_ID], a.nike.original.man[Product Name], "Not Found")</f>
        <v>Nike Air Force 1 SP</v>
      </c>
      <c r="C136" s="5" t="str">
        <f>_xlfn.XLOOKUP(b.nike.views[[#This Row],[product_ID]], a.nike.original.man[Product_ID], a.nike.original.man[Rating_Group], "Not Found")</f>
        <v>4 - 5</v>
      </c>
      <c r="D136">
        <f>_xlfn.XLOOKUP(b.nike.views[[#This Row],[product_ID]], a.nike.original.man[Product_ID], a.nike.original.man[Rating], "Not Found")</f>
        <v>4.7</v>
      </c>
      <c r="E136" s="10">
        <f>ROUND(_xlfn.XLOOKUP(b.nike.views[[#This Row],[product_ID]], a.nike.original.man[Product_ID], a.nike.original.man[Sale Price], "Not Found"), 0)</f>
        <v>130</v>
      </c>
      <c r="F136" s="5" t="str" cm="1">
        <f t="array" ref="F136">_xlfn.IFS(b.nike.views[[#This Row],[Sales_Price]]&lt;=9, "under $10",b.nike.views[[#This Row],[Sales_Price]]&lt;=20, "$20 and under",b.nike.views[[#This Row],[Sales_Price]]&lt;=50, "$50 and under", b.nike.views[[#This Row],[Sales_Price]]&lt;=99, "under $100", b.nike.views[[#This Row],[Sales_Price]]&gt;=100, "$100 +")</f>
        <v>$100 +</v>
      </c>
      <c r="G136">
        <f>COUNTIF(a.nike.original.man[Product_ID], A136)</f>
        <v>1</v>
      </c>
      <c r="H136" t="str" cm="1">
        <f t="array" ref="H136">_xlfn.IFS(b.nike.views[[#This Row],[Review_Count]]&lt;=7, "Below Average",b.nike.views[[#This Row],[Review_Count]]&gt;=8, "Average +")</f>
        <v>Below Average</v>
      </c>
      <c r="I136">
        <f>SUMIF(a.nike.original.man[Product_ID],b.nike.views[[#This Row],[product_ID]], a.nike.original.man[Reviews])</f>
        <v>3</v>
      </c>
      <c r="J136" s="41">
        <f>_xlfn.XLOOKUP(b.nike.views[[#This Row],[product_ID]],a.nike.original.man[Product_ID], a.nike.original.man[Discount %], "Not Found")</f>
        <v>0</v>
      </c>
      <c r="K136" s="41"/>
      <c r="L136" t="s">
        <v>1470</v>
      </c>
    </row>
    <row r="137" spans="1:12" x14ac:dyDescent="0.2">
      <c r="A137" t="s">
        <v>1255</v>
      </c>
      <c r="B137" t="str">
        <f>_xlfn.XLOOKUP(b.nike.views[[#This Row],[product_ID]], a.nike.original.man[Product_ID], a.nike.original.man[Product Name], "Not Found")</f>
        <v>NikeCourt Air Zoom Vapor Cage 4</v>
      </c>
      <c r="C137" s="5" t="str">
        <f>_xlfn.XLOOKUP(b.nike.views[[#This Row],[product_ID]], a.nike.original.man[Product_ID], a.nike.original.man[Rating_Group], "Not Found")</f>
        <v>4 - 5</v>
      </c>
      <c r="D137">
        <f>_xlfn.XLOOKUP(b.nike.views[[#This Row],[product_ID]], a.nike.original.man[Product_ID], a.nike.original.man[Rating], "Not Found")</f>
        <v>4.7</v>
      </c>
      <c r="E137" s="10">
        <f>ROUND(_xlfn.XLOOKUP(b.nike.views[[#This Row],[product_ID]], a.nike.original.man[Product_ID], a.nike.original.man[Sale Price], "Not Found"), 0)</f>
        <v>130</v>
      </c>
      <c r="F137" s="5" t="str" cm="1">
        <f t="array" ref="F137">_xlfn.IFS(b.nike.views[[#This Row],[Sales_Price]]&lt;=9, "under $10",b.nike.views[[#This Row],[Sales_Price]]&lt;=20, "$20 and under",b.nike.views[[#This Row],[Sales_Price]]&lt;=50, "$50 and under", b.nike.views[[#This Row],[Sales_Price]]&lt;=99, "under $100", b.nike.views[[#This Row],[Sales_Price]]&gt;=100, "$100 +")</f>
        <v>$100 +</v>
      </c>
      <c r="G137">
        <f>COUNTIF(a.nike.original.man[Product_ID], A137)</f>
        <v>1</v>
      </c>
      <c r="H137" t="str" cm="1">
        <f t="array" ref="H137">_xlfn.IFS(b.nike.views[[#This Row],[Review_Count]]&lt;=7, "Below Average",b.nike.views[[#This Row],[Review_Count]]&gt;=8, "Average +")</f>
        <v>Below Average</v>
      </c>
      <c r="I137">
        <f>SUMIF(a.nike.original.man[Product_ID],b.nike.views[[#This Row],[product_ID]], a.nike.original.man[Reviews])</f>
        <v>3</v>
      </c>
      <c r="J137" s="41">
        <f>_xlfn.XLOOKUP(b.nike.views[[#This Row],[product_ID]],a.nike.original.man[Product_ID], a.nike.original.man[Discount %], "Not Found")</f>
        <v>0</v>
      </c>
      <c r="K137" s="41"/>
      <c r="L137" t="s">
        <v>1470</v>
      </c>
    </row>
    <row r="138" spans="1:12" x14ac:dyDescent="0.2">
      <c r="A138" t="s">
        <v>530</v>
      </c>
      <c r="B138" t="str">
        <f>_xlfn.XLOOKUP(b.nike.views[[#This Row],[product_ID]], a.nike.original.man[Product_ID], a.nike.original.man[Product Name], "Not Found")</f>
        <v>Air Jordan 1 Low</v>
      </c>
      <c r="C138" s="5" t="str">
        <f>_xlfn.XLOOKUP(b.nike.views[[#This Row],[product_ID]], a.nike.original.man[Product_ID], a.nike.original.man[Rating_Group], "Not Found")</f>
        <v>4 - 5</v>
      </c>
      <c r="D138">
        <f>_xlfn.XLOOKUP(b.nike.views[[#This Row],[product_ID]], a.nike.original.man[Product_ID], a.nike.original.man[Rating], "Not Found")</f>
        <v>4.5999999999999996</v>
      </c>
      <c r="E138" s="10">
        <f>ROUND(_xlfn.XLOOKUP(b.nike.views[[#This Row],[product_ID]], a.nike.original.man[Product_ID], a.nike.original.man[Sale Price], "Not Found"), 0)</f>
        <v>90</v>
      </c>
      <c r="F138" s="5" t="str" cm="1">
        <f t="array" ref="F138">_xlfn.IFS(b.nike.views[[#This Row],[Sales_Price]]&lt;=9, "under $10",b.nike.views[[#This Row],[Sales_Price]]&lt;=20, "$20 and under",b.nike.views[[#This Row],[Sales_Price]]&lt;=50, "$50 and under", b.nike.views[[#This Row],[Sales_Price]]&lt;=99, "under $100", b.nike.views[[#This Row],[Sales_Price]]&gt;=100, "$100 +")</f>
        <v>under $100</v>
      </c>
      <c r="G138">
        <f>COUNTIF(a.nike.original.man[Product_ID], A138)</f>
        <v>2</v>
      </c>
      <c r="H138" t="str" cm="1">
        <f t="array" ref="H138">_xlfn.IFS(b.nike.views[[#This Row],[Review_Count]]&lt;=7, "Below Average",b.nike.views[[#This Row],[Review_Count]]&gt;=8, "Average +")</f>
        <v>Average +</v>
      </c>
      <c r="I138">
        <f>SUMIF(a.nike.original.man[Product_ID],b.nike.views[[#This Row],[product_ID]], a.nike.original.man[Reviews])</f>
        <v>68</v>
      </c>
      <c r="J138" s="41">
        <f>_xlfn.XLOOKUP(b.nike.views[[#This Row],[product_ID]],a.nike.original.man[Product_ID], a.nike.original.man[Discount %], "Not Found")</f>
        <v>0</v>
      </c>
      <c r="K138" s="41"/>
      <c r="L138" t="s">
        <v>1470</v>
      </c>
    </row>
    <row r="139" spans="1:12" x14ac:dyDescent="0.2">
      <c r="A139" t="s">
        <v>436</v>
      </c>
      <c r="B139" t="str">
        <f>_xlfn.XLOOKUP(b.nike.views[[#This Row],[product_ID]], a.nike.original.man[Product_ID], a.nike.original.man[Product Name], "Not Found")</f>
        <v>Nike React Infinity Run Flyknit</v>
      </c>
      <c r="C139" s="5" t="str">
        <f>_xlfn.XLOOKUP(b.nike.views[[#This Row],[product_ID]], a.nike.original.man[Product_ID], a.nike.original.man[Rating_Group], "Not Found")</f>
        <v>4 - 5</v>
      </c>
      <c r="D139">
        <f>_xlfn.XLOOKUP(b.nike.views[[#This Row],[product_ID]], a.nike.original.man[Product_ID], a.nike.original.man[Rating], "Not Found")</f>
        <v>4.5999999999999996</v>
      </c>
      <c r="E139" s="10">
        <f>ROUND(_xlfn.XLOOKUP(b.nike.views[[#This Row],[product_ID]], a.nike.original.man[Product_ID], a.nike.original.man[Sale Price], "Not Found"), 0)</f>
        <v>140</v>
      </c>
      <c r="F139" s="5" t="str" cm="1">
        <f t="array" ref="F139">_xlfn.IFS(b.nike.views[[#This Row],[Sales_Price]]&lt;=9, "under $10",b.nike.views[[#This Row],[Sales_Price]]&lt;=20, "$20 and under",b.nike.views[[#This Row],[Sales_Price]]&lt;=50, "$50 and under", b.nike.views[[#This Row],[Sales_Price]]&lt;=99, "under $100", b.nike.views[[#This Row],[Sales_Price]]&gt;=100, "$100 +")</f>
        <v>$100 +</v>
      </c>
      <c r="G139">
        <f>COUNTIF(a.nike.original.man[Product_ID], A139)</f>
        <v>1</v>
      </c>
      <c r="H139" t="str" cm="1">
        <f t="array" ref="H139">_xlfn.IFS(b.nike.views[[#This Row],[Review_Count]]&lt;=7, "Below Average",b.nike.views[[#This Row],[Review_Count]]&gt;=8, "Average +")</f>
        <v>Average +</v>
      </c>
      <c r="I139">
        <f>SUMIF(a.nike.original.man[Product_ID],b.nike.views[[#This Row],[product_ID]], a.nike.original.man[Reviews])</f>
        <v>68</v>
      </c>
      <c r="J139" s="41">
        <f>_xlfn.XLOOKUP(b.nike.views[[#This Row],[product_ID]],a.nike.original.man[Product_ID], a.nike.original.man[Discount %], "Not Found")</f>
        <v>0</v>
      </c>
      <c r="K139" s="41"/>
      <c r="L139" t="s">
        <v>1470</v>
      </c>
    </row>
    <row r="140" spans="1:12" x14ac:dyDescent="0.2">
      <c r="A140" t="s">
        <v>549</v>
      </c>
      <c r="B140" t="str">
        <f>_xlfn.XLOOKUP(b.nike.views[[#This Row],[product_ID]], a.nike.original.man[Product_ID], a.nike.original.man[Product Name], "Not Found")</f>
        <v>Nike Zoom KD12</v>
      </c>
      <c r="C140" s="5" t="str">
        <f>_xlfn.XLOOKUP(b.nike.views[[#This Row],[product_ID]], a.nike.original.man[Product_ID], a.nike.original.man[Rating_Group], "Not Found")</f>
        <v>4 - 5</v>
      </c>
      <c r="D140">
        <f>_xlfn.XLOOKUP(b.nike.views[[#This Row],[product_ID]], a.nike.original.man[Product_ID], a.nike.original.man[Rating], "Not Found")</f>
        <v>4.5999999999999996</v>
      </c>
      <c r="E140" s="10">
        <f>ROUND(_xlfn.XLOOKUP(b.nike.views[[#This Row],[product_ID]], a.nike.original.man[Product_ID], a.nike.original.man[Sale Price], "Not Found"), 0)</f>
        <v>130</v>
      </c>
      <c r="F140" s="5" t="str" cm="1">
        <f t="array" ref="F140">_xlfn.IFS(b.nike.views[[#This Row],[Sales_Price]]&lt;=9, "under $10",b.nike.views[[#This Row],[Sales_Price]]&lt;=20, "$20 and under",b.nike.views[[#This Row],[Sales_Price]]&lt;=50, "$50 and under", b.nike.views[[#This Row],[Sales_Price]]&lt;=99, "under $100", b.nike.views[[#This Row],[Sales_Price]]&gt;=100, "$100 +")</f>
        <v>$100 +</v>
      </c>
      <c r="G140">
        <f>COUNTIF(a.nike.original.man[Product_ID], A140)</f>
        <v>2</v>
      </c>
      <c r="H140" t="str" cm="1">
        <f t="array" ref="H140">_xlfn.IFS(b.nike.views[[#This Row],[Review_Count]]&lt;=7, "Below Average",b.nike.views[[#This Row],[Review_Count]]&gt;=8, "Average +")</f>
        <v>Average +</v>
      </c>
      <c r="I140">
        <f>SUMIF(a.nike.original.man[Product_ID],b.nike.views[[#This Row],[product_ID]], a.nike.original.man[Reviews])</f>
        <v>36</v>
      </c>
      <c r="J140" s="41">
        <f>_xlfn.XLOOKUP(b.nike.views[[#This Row],[product_ID]],a.nike.original.man[Product_ID], a.nike.original.man[Discount %], "Not Found")</f>
        <v>0</v>
      </c>
      <c r="K140" s="41"/>
      <c r="L140" t="s">
        <v>1470</v>
      </c>
    </row>
    <row r="141" spans="1:12" x14ac:dyDescent="0.2">
      <c r="A141" t="s">
        <v>662</v>
      </c>
      <c r="B141" t="str">
        <f>_xlfn.XLOOKUP(b.nike.views[[#This Row],[product_ID]], a.nike.original.man[Product_ID], a.nike.original.man[Product Name], "Not Found")</f>
        <v>Nike Air Max Dia Icon Clash</v>
      </c>
      <c r="C141" s="5" t="str">
        <f>_xlfn.XLOOKUP(b.nike.views[[#This Row],[product_ID]], a.nike.original.man[Product_ID], a.nike.original.man[Rating_Group], "Not Found")</f>
        <v>4 - 5</v>
      </c>
      <c r="D141">
        <f>_xlfn.XLOOKUP(b.nike.views[[#This Row],[product_ID]], a.nike.original.man[Product_ID], a.nike.original.man[Rating], "Not Found")</f>
        <v>4.5999999999999996</v>
      </c>
      <c r="E141" s="10">
        <f>ROUND(_xlfn.XLOOKUP(b.nike.views[[#This Row],[product_ID]], a.nike.original.man[Product_ID], a.nike.original.man[Sale Price], "Not Found"), 0)</f>
        <v>54</v>
      </c>
      <c r="F141" s="5" t="str" cm="1">
        <f t="array" ref="F141">_xlfn.IFS(b.nike.views[[#This Row],[Sales_Price]]&lt;=9, "under $10",b.nike.views[[#This Row],[Sales_Price]]&lt;=20, "$20 and under",b.nike.views[[#This Row],[Sales_Price]]&lt;=50, "$50 and under", b.nike.views[[#This Row],[Sales_Price]]&lt;=99, "under $100", b.nike.views[[#This Row],[Sales_Price]]&gt;=100, "$100 +")</f>
        <v>under $100</v>
      </c>
      <c r="G141">
        <f>COUNTIF(a.nike.original.man[Product_ID], A141)</f>
        <v>1</v>
      </c>
      <c r="H141" t="str" cm="1">
        <f t="array" ref="H141">_xlfn.IFS(b.nike.views[[#This Row],[Review_Count]]&lt;=7, "Below Average",b.nike.views[[#This Row],[Review_Count]]&gt;=8, "Average +")</f>
        <v>Average +</v>
      </c>
      <c r="I141">
        <f>SUMIF(a.nike.original.man[Product_ID],b.nike.views[[#This Row],[product_ID]], a.nike.original.man[Reviews])</f>
        <v>23</v>
      </c>
      <c r="J141" s="41">
        <f>_xlfn.XLOOKUP(b.nike.views[[#This Row],[product_ID]],a.nike.original.man[Product_ID], a.nike.original.man[Discount %], "Not Found")</f>
        <v>0.4</v>
      </c>
      <c r="K141" s="41"/>
      <c r="L141" t="s">
        <v>1470</v>
      </c>
    </row>
    <row r="142" spans="1:12" x14ac:dyDescent="0.2">
      <c r="A142" t="s">
        <v>932</v>
      </c>
      <c r="B142" t="str">
        <f>_xlfn.XLOOKUP(b.nike.views[[#This Row],[product_ID]], a.nike.original.man[Product_ID], a.nike.original.man[Product Name], "Not Found")</f>
        <v>Air Jordan 5 Retro</v>
      </c>
      <c r="C142" s="5" t="str">
        <f>_xlfn.XLOOKUP(b.nike.views[[#This Row],[product_ID]], a.nike.original.man[Product_ID], a.nike.original.man[Rating_Group], "Not Found")</f>
        <v>4 - 5</v>
      </c>
      <c r="D142">
        <f>_xlfn.XLOOKUP(b.nike.views[[#This Row],[product_ID]], a.nike.original.man[Product_ID], a.nike.original.man[Rating], "Not Found")</f>
        <v>4.5999999999999996</v>
      </c>
      <c r="E142" s="10">
        <f>ROUND(_xlfn.XLOOKUP(b.nike.views[[#This Row],[product_ID]], a.nike.original.man[Product_ID], a.nike.original.man[Sale Price], "Not Found"), 0)</f>
        <v>190</v>
      </c>
      <c r="F142" s="5" t="str" cm="1">
        <f t="array" ref="F142">_xlfn.IFS(b.nike.views[[#This Row],[Sales_Price]]&lt;=9, "under $10",b.nike.views[[#This Row],[Sales_Price]]&lt;=20, "$20 and under",b.nike.views[[#This Row],[Sales_Price]]&lt;=50, "$50 and under", b.nike.views[[#This Row],[Sales_Price]]&lt;=99, "under $100", b.nike.views[[#This Row],[Sales_Price]]&gt;=100, "$100 +")</f>
        <v>$100 +</v>
      </c>
      <c r="G142">
        <f>COUNTIF(a.nike.original.man[Product_ID], A142)</f>
        <v>2</v>
      </c>
      <c r="H142" t="str" cm="1">
        <f t="array" ref="H142">_xlfn.IFS(b.nike.views[[#This Row],[Review_Count]]&lt;=7, "Below Average",b.nike.views[[#This Row],[Review_Count]]&gt;=8, "Average +")</f>
        <v>Average +</v>
      </c>
      <c r="I142">
        <f>SUMIF(a.nike.original.man[Product_ID],b.nike.views[[#This Row],[product_ID]], a.nike.original.man[Reviews])</f>
        <v>16</v>
      </c>
      <c r="J142" s="41">
        <f>_xlfn.XLOOKUP(b.nike.views[[#This Row],[product_ID]],a.nike.original.man[Product_ID], a.nike.original.man[Discount %], "Not Found")</f>
        <v>0</v>
      </c>
      <c r="K142" s="41"/>
      <c r="L142" t="s">
        <v>1470</v>
      </c>
    </row>
    <row r="143" spans="1:12" x14ac:dyDescent="0.2">
      <c r="A143" t="s">
        <v>1216</v>
      </c>
      <c r="B143" t="str">
        <f>_xlfn.XLOOKUP(b.nike.views[[#This Row],[product_ID]], a.nike.original.man[Product_ID], a.nike.original.man[Product Name], "Not Found")</f>
        <v>Nike Air Max 200</v>
      </c>
      <c r="C143" s="5" t="str">
        <f>_xlfn.XLOOKUP(b.nike.views[[#This Row],[product_ID]], a.nike.original.man[Product_ID], a.nike.original.man[Rating_Group], "Not Found")</f>
        <v>4 - 5</v>
      </c>
      <c r="D143">
        <f>_xlfn.XLOOKUP(b.nike.views[[#This Row],[product_ID]], a.nike.original.man[Product_ID], a.nike.original.man[Rating], "Not Found")</f>
        <v>4.5999999999999996</v>
      </c>
      <c r="E143" s="10">
        <f>ROUND(_xlfn.XLOOKUP(b.nike.views[[#This Row],[product_ID]], a.nike.original.man[Product_ID], a.nike.original.man[Sale Price], "Not Found"), 0)</f>
        <v>60</v>
      </c>
      <c r="F143" s="5" t="str" cm="1">
        <f t="array" ref="F143">_xlfn.IFS(b.nike.views[[#This Row],[Sales_Price]]&lt;=9, "under $10",b.nike.views[[#This Row],[Sales_Price]]&lt;=20, "$20 and under",b.nike.views[[#This Row],[Sales_Price]]&lt;=50, "$50 and under", b.nike.views[[#This Row],[Sales_Price]]&lt;=99, "under $100", b.nike.views[[#This Row],[Sales_Price]]&gt;=100, "$100 +")</f>
        <v>under $100</v>
      </c>
      <c r="G143">
        <f>COUNTIF(a.nike.original.man[Product_ID], A143)</f>
        <v>1</v>
      </c>
      <c r="H143" t="str" cm="1">
        <f t="array" ref="H143">_xlfn.IFS(b.nike.views[[#This Row],[Review_Count]]&lt;=7, "Below Average",b.nike.views[[#This Row],[Review_Count]]&gt;=8, "Average +")</f>
        <v>Average +</v>
      </c>
      <c r="I143">
        <f>SUMIF(a.nike.original.man[Product_ID],b.nike.views[[#This Row],[product_ID]], a.nike.original.man[Reviews])</f>
        <v>16</v>
      </c>
      <c r="J143" s="41">
        <f>_xlfn.XLOOKUP(b.nike.views[[#This Row],[product_ID]],a.nike.original.man[Product_ID], a.nike.original.man[Discount %], "Not Found")</f>
        <v>0.4</v>
      </c>
      <c r="K143" s="41"/>
      <c r="L143" t="s">
        <v>1470</v>
      </c>
    </row>
    <row r="144" spans="1:12" x14ac:dyDescent="0.2">
      <c r="A144" t="s">
        <v>492</v>
      </c>
      <c r="B144" t="str">
        <f>_xlfn.XLOOKUP(b.nike.views[[#This Row],[product_ID]], a.nike.original.man[Product_ID], a.nike.original.man[Product Name], "Not Found")</f>
        <v>Jordan Mars 270</v>
      </c>
      <c r="C144" s="5" t="str">
        <f>_xlfn.XLOOKUP(b.nike.views[[#This Row],[product_ID]], a.nike.original.man[Product_ID], a.nike.original.man[Rating_Group], "Not Found")</f>
        <v>4 - 5</v>
      </c>
      <c r="D144">
        <f>_xlfn.XLOOKUP(b.nike.views[[#This Row],[product_ID]], a.nike.original.man[Product_ID], a.nike.original.man[Rating], "Not Found")</f>
        <v>4.5999999999999996</v>
      </c>
      <c r="E144" s="10">
        <f>ROUND(_xlfn.XLOOKUP(b.nike.views[[#This Row],[product_ID]], a.nike.original.man[Product_ID], a.nike.original.man[Sale Price], "Not Found"), 0)</f>
        <v>150</v>
      </c>
      <c r="F144" s="5" t="str" cm="1">
        <f t="array" ref="F144">_xlfn.IFS(b.nike.views[[#This Row],[Sales_Price]]&lt;=9, "under $10",b.nike.views[[#This Row],[Sales_Price]]&lt;=20, "$20 and under",b.nike.views[[#This Row],[Sales_Price]]&lt;=50, "$50 and under", b.nike.views[[#This Row],[Sales_Price]]&lt;=99, "under $100", b.nike.views[[#This Row],[Sales_Price]]&gt;=100, "$100 +")</f>
        <v>$100 +</v>
      </c>
      <c r="G144">
        <f>COUNTIF(a.nike.original.man[Product_ID], A144)</f>
        <v>1</v>
      </c>
      <c r="H144" t="str" cm="1">
        <f t="array" ref="H144">_xlfn.IFS(b.nike.views[[#This Row],[Review_Count]]&lt;=7, "Below Average",b.nike.views[[#This Row],[Review_Count]]&gt;=8, "Average +")</f>
        <v>Average +</v>
      </c>
      <c r="I144">
        <f>SUMIF(a.nike.original.man[Product_ID],b.nike.views[[#This Row],[product_ID]], a.nike.original.man[Reviews])</f>
        <v>15</v>
      </c>
      <c r="J144" s="41">
        <f>_xlfn.XLOOKUP(b.nike.views[[#This Row],[product_ID]],a.nike.original.man[Product_ID], a.nike.original.man[Discount %], "Not Found")</f>
        <v>0</v>
      </c>
      <c r="K144" s="41"/>
      <c r="L144" t="s">
        <v>1470</v>
      </c>
    </row>
    <row r="145" spans="1:12" x14ac:dyDescent="0.2">
      <c r="A145" t="s">
        <v>804</v>
      </c>
      <c r="B145" t="str">
        <f>_xlfn.XLOOKUP(b.nike.views[[#This Row],[product_ID]], a.nike.original.man[Product_ID], a.nike.original.man[Product Name], "Not Found")</f>
        <v>Nike iSPA React</v>
      </c>
      <c r="C145" s="5" t="str">
        <f>_xlfn.XLOOKUP(b.nike.views[[#This Row],[product_ID]], a.nike.original.man[Product_ID], a.nike.original.man[Rating_Group], "Not Found")</f>
        <v>4 - 5</v>
      </c>
      <c r="D145">
        <f>_xlfn.XLOOKUP(b.nike.views[[#This Row],[product_ID]], a.nike.original.man[Product_ID], a.nike.original.man[Rating], "Not Found")</f>
        <v>4.5999999999999996</v>
      </c>
      <c r="E145" s="10">
        <f>ROUND(_xlfn.XLOOKUP(b.nike.views[[#This Row],[product_ID]], a.nike.original.man[Product_ID], a.nike.original.man[Sale Price], "Not Found"), 0)</f>
        <v>140</v>
      </c>
      <c r="F145" s="5" t="str" cm="1">
        <f t="array" ref="F145">_xlfn.IFS(b.nike.views[[#This Row],[Sales_Price]]&lt;=9, "under $10",b.nike.views[[#This Row],[Sales_Price]]&lt;=20, "$20 and under",b.nike.views[[#This Row],[Sales_Price]]&lt;=50, "$50 and under", b.nike.views[[#This Row],[Sales_Price]]&lt;=99, "under $100", b.nike.views[[#This Row],[Sales_Price]]&gt;=100, "$100 +")</f>
        <v>$100 +</v>
      </c>
      <c r="G145">
        <f>COUNTIF(a.nike.original.man[Product_ID], A145)</f>
        <v>1</v>
      </c>
      <c r="H145" t="str" cm="1">
        <f t="array" ref="H145">_xlfn.IFS(b.nike.views[[#This Row],[Review_Count]]&lt;=7, "Below Average",b.nike.views[[#This Row],[Review_Count]]&gt;=8, "Average +")</f>
        <v>Average +</v>
      </c>
      <c r="I145">
        <f>SUMIF(a.nike.original.man[Product_ID],b.nike.views[[#This Row],[product_ID]], a.nike.original.man[Reviews])</f>
        <v>14</v>
      </c>
      <c r="J145" s="41">
        <f>_xlfn.XLOOKUP(b.nike.views[[#This Row],[product_ID]],a.nike.original.man[Product_ID], a.nike.original.man[Discount %], "Not Found")</f>
        <v>0</v>
      </c>
      <c r="K145" s="41"/>
      <c r="L145" t="s">
        <v>1470</v>
      </c>
    </row>
    <row r="146" spans="1:12" x14ac:dyDescent="0.2">
      <c r="A146" t="s">
        <v>512</v>
      </c>
      <c r="B146" t="str">
        <f>_xlfn.XLOOKUP(b.nike.views[[#This Row],[product_ID]], a.nike.original.man[Product_ID], a.nike.original.man[Product Name], "Not Found")</f>
        <v>Nike Air Zoom Pegasus 36 Trail</v>
      </c>
      <c r="C146" s="5" t="str">
        <f>_xlfn.XLOOKUP(b.nike.views[[#This Row],[product_ID]], a.nike.original.man[Product_ID], a.nike.original.man[Rating_Group], "Not Found")</f>
        <v>4 - 5</v>
      </c>
      <c r="D146">
        <f>_xlfn.XLOOKUP(b.nike.views[[#This Row],[product_ID]], a.nike.original.man[Product_ID], a.nike.original.man[Rating], "Not Found")</f>
        <v>4.5999999999999996</v>
      </c>
      <c r="E146" s="10">
        <f>ROUND(_xlfn.XLOOKUP(b.nike.views[[#This Row],[product_ID]], a.nike.original.man[Product_ID], a.nike.original.man[Sale Price], "Not Found"), 0)</f>
        <v>110</v>
      </c>
      <c r="F146" s="5" t="str" cm="1">
        <f t="array" ref="F146">_xlfn.IFS(b.nike.views[[#This Row],[Sales_Price]]&lt;=9, "under $10",b.nike.views[[#This Row],[Sales_Price]]&lt;=20, "$20 and under",b.nike.views[[#This Row],[Sales_Price]]&lt;=50, "$50 and under", b.nike.views[[#This Row],[Sales_Price]]&lt;=99, "under $100", b.nike.views[[#This Row],[Sales_Price]]&gt;=100, "$100 +")</f>
        <v>$100 +</v>
      </c>
      <c r="G146">
        <f>COUNTIF(a.nike.original.man[Product_ID], A146)</f>
        <v>1</v>
      </c>
      <c r="H146" t="str" cm="1">
        <f t="array" ref="H146">_xlfn.IFS(b.nike.views[[#This Row],[Review_Count]]&lt;=7, "Below Average",b.nike.views[[#This Row],[Review_Count]]&gt;=8, "Average +")</f>
        <v>Average +</v>
      </c>
      <c r="I146">
        <f>SUMIF(a.nike.original.man[Product_ID],b.nike.views[[#This Row],[product_ID]], a.nike.original.man[Reviews])</f>
        <v>12</v>
      </c>
      <c r="J146" s="41">
        <f>_xlfn.XLOOKUP(b.nike.views[[#This Row],[product_ID]],a.nike.original.man[Product_ID], a.nike.original.man[Discount %], "Not Found")</f>
        <v>0</v>
      </c>
      <c r="K146" s="41"/>
      <c r="L146" t="s">
        <v>1470</v>
      </c>
    </row>
    <row r="147" spans="1:12" x14ac:dyDescent="0.2">
      <c r="A147" t="s">
        <v>1310</v>
      </c>
      <c r="B147" t="str">
        <f>_xlfn.XLOOKUP(b.nike.views[[#This Row],[product_ID]], a.nike.original.man[Product_ID], a.nike.original.man[Product Name], "Not Found")</f>
        <v>Nike Air Huarache Ultra</v>
      </c>
      <c r="C147" s="5" t="str">
        <f>_xlfn.XLOOKUP(b.nike.views[[#This Row],[product_ID]], a.nike.original.man[Product_ID], a.nike.original.man[Rating_Group], "Not Found")</f>
        <v>4 - 5</v>
      </c>
      <c r="D147">
        <f>_xlfn.XLOOKUP(b.nike.views[[#This Row],[product_ID]], a.nike.original.man[Product_ID], a.nike.original.man[Rating], "Not Found")</f>
        <v>4.5999999999999996</v>
      </c>
      <c r="E147" s="10">
        <f>ROUND(_xlfn.XLOOKUP(b.nike.views[[#This Row],[product_ID]], a.nike.original.man[Product_ID], a.nike.original.man[Sale Price], "Not Found"), 0)</f>
        <v>72</v>
      </c>
      <c r="F147" s="5" t="str" cm="1">
        <f t="array" ref="F147">_xlfn.IFS(b.nike.views[[#This Row],[Sales_Price]]&lt;=9, "under $10",b.nike.views[[#This Row],[Sales_Price]]&lt;=20, "$20 and under",b.nike.views[[#This Row],[Sales_Price]]&lt;=50, "$50 and under", b.nike.views[[#This Row],[Sales_Price]]&lt;=99, "under $100", b.nike.views[[#This Row],[Sales_Price]]&gt;=100, "$100 +")</f>
        <v>under $100</v>
      </c>
      <c r="G147">
        <f>COUNTIF(a.nike.original.man[Product_ID], A147)</f>
        <v>1</v>
      </c>
      <c r="H147" t="str" cm="1">
        <f t="array" ref="H147">_xlfn.IFS(b.nike.views[[#This Row],[Review_Count]]&lt;=7, "Below Average",b.nike.views[[#This Row],[Review_Count]]&gt;=8, "Average +")</f>
        <v>Average +</v>
      </c>
      <c r="I147">
        <f>SUMIF(a.nike.original.man[Product_ID],b.nike.views[[#This Row],[product_ID]], a.nike.original.man[Reviews])</f>
        <v>12</v>
      </c>
      <c r="J147" s="41">
        <f>_xlfn.XLOOKUP(b.nike.views[[#This Row],[product_ID]],a.nike.original.man[Product_ID], a.nike.original.man[Discount %], "Not Found")</f>
        <v>0.2</v>
      </c>
      <c r="K147" s="41"/>
      <c r="L147" t="s">
        <v>1470</v>
      </c>
    </row>
    <row r="148" spans="1:12" x14ac:dyDescent="0.2">
      <c r="A148" t="s">
        <v>641</v>
      </c>
      <c r="B148" t="str">
        <f>_xlfn.XLOOKUP(b.nike.views[[#This Row],[product_ID]], a.nike.original.man[Product_ID], a.nike.original.man[Product Name], "Not Found")</f>
        <v>Jordan Proto-React Z</v>
      </c>
      <c r="C148" s="5" t="str">
        <f>_xlfn.XLOOKUP(b.nike.views[[#This Row],[product_ID]], a.nike.original.man[Product_ID], a.nike.original.man[Rating_Group], "Not Found")</f>
        <v>4 - 5</v>
      </c>
      <c r="D148">
        <f>_xlfn.XLOOKUP(b.nike.views[[#This Row],[product_ID]], a.nike.original.man[Product_ID], a.nike.original.man[Rating], "Not Found")</f>
        <v>4.5999999999999996</v>
      </c>
      <c r="E148" s="10">
        <f>ROUND(_xlfn.XLOOKUP(b.nike.views[[#This Row],[product_ID]], a.nike.original.man[Product_ID], a.nike.original.man[Sale Price], "Not Found"), 0)</f>
        <v>112</v>
      </c>
      <c r="F148" s="5" t="str" cm="1">
        <f t="array" ref="F148">_xlfn.IFS(b.nike.views[[#This Row],[Sales_Price]]&lt;=9, "under $10",b.nike.views[[#This Row],[Sales_Price]]&lt;=20, "$20 and under",b.nike.views[[#This Row],[Sales_Price]]&lt;=50, "$50 and under", b.nike.views[[#This Row],[Sales_Price]]&lt;=99, "under $100", b.nike.views[[#This Row],[Sales_Price]]&gt;=100, "$100 +")</f>
        <v>$100 +</v>
      </c>
      <c r="G148">
        <f>COUNTIF(a.nike.original.man[Product_ID], A148)</f>
        <v>2</v>
      </c>
      <c r="H148" t="str" cm="1">
        <f t="array" ref="H148">_xlfn.IFS(b.nike.views[[#This Row],[Review_Count]]&lt;=7, "Below Average",b.nike.views[[#This Row],[Review_Count]]&gt;=8, "Average +")</f>
        <v>Average +</v>
      </c>
      <c r="I148">
        <f>SUMIF(a.nike.original.man[Product_ID],b.nike.views[[#This Row],[product_ID]], a.nike.original.man[Reviews])</f>
        <v>10</v>
      </c>
      <c r="J148" s="41">
        <f>_xlfn.XLOOKUP(b.nike.views[[#This Row],[product_ID]],a.nike.original.man[Product_ID], a.nike.original.man[Discount %], "Not Found")</f>
        <v>0.2</v>
      </c>
      <c r="K148" s="41"/>
      <c r="L148" t="s">
        <v>1470</v>
      </c>
    </row>
    <row r="149" spans="1:12" x14ac:dyDescent="0.2">
      <c r="A149" t="s">
        <v>287</v>
      </c>
      <c r="B149" t="str">
        <f>_xlfn.XLOOKUP(b.nike.views[[#This Row],[product_ID]], a.nike.original.man[Product_ID], a.nike.original.man[Product Name], "Not Found")</f>
        <v>LeBron 17 Monstars</v>
      </c>
      <c r="C149" s="5" t="str">
        <f>_xlfn.XLOOKUP(b.nike.views[[#This Row],[product_ID]], a.nike.original.man[Product_ID], a.nike.original.man[Rating_Group], "Not Found")</f>
        <v>4 - 5</v>
      </c>
      <c r="D149">
        <f>_xlfn.XLOOKUP(b.nike.views[[#This Row],[product_ID]], a.nike.original.man[Product_ID], a.nike.original.man[Rating], "Not Found")</f>
        <v>4.5999999999999996</v>
      </c>
      <c r="E149" s="10">
        <f>ROUND(_xlfn.XLOOKUP(b.nike.views[[#This Row],[product_ID]], a.nike.original.man[Product_ID], a.nike.original.man[Sale Price], "Not Found"), 0)</f>
        <v>170</v>
      </c>
      <c r="F149" s="5" t="str" cm="1">
        <f t="array" ref="F149">_xlfn.IFS(b.nike.views[[#This Row],[Sales_Price]]&lt;=9, "under $10",b.nike.views[[#This Row],[Sales_Price]]&lt;=20, "$20 and under",b.nike.views[[#This Row],[Sales_Price]]&lt;=50, "$50 and under", b.nike.views[[#This Row],[Sales_Price]]&lt;=99, "under $100", b.nike.views[[#This Row],[Sales_Price]]&gt;=100, "$100 +")</f>
        <v>$100 +</v>
      </c>
      <c r="G149">
        <f>COUNTIF(a.nike.original.man[Product_ID], A149)</f>
        <v>1</v>
      </c>
      <c r="H149" t="str" cm="1">
        <f t="array" ref="H149">_xlfn.IFS(b.nike.views[[#This Row],[Review_Count]]&lt;=7, "Below Average",b.nike.views[[#This Row],[Review_Count]]&gt;=8, "Average +")</f>
        <v>Below Average</v>
      </c>
      <c r="I149">
        <f>SUMIF(a.nike.original.man[Product_ID],b.nike.views[[#This Row],[product_ID]], a.nike.original.man[Reviews])</f>
        <v>5</v>
      </c>
      <c r="J149" s="41">
        <f>_xlfn.XLOOKUP(b.nike.views[[#This Row],[product_ID]],a.nike.original.man[Product_ID], a.nike.original.man[Discount %], "Not Found")</f>
        <v>0</v>
      </c>
      <c r="K149" s="41"/>
      <c r="L149" t="s">
        <v>1470</v>
      </c>
    </row>
    <row r="150" spans="1:12" x14ac:dyDescent="0.2">
      <c r="A150" t="s">
        <v>1095</v>
      </c>
      <c r="B150" t="str">
        <f>_xlfn.XLOOKUP(b.nike.views[[#This Row],[product_ID]], a.nike.original.man[Product_ID], a.nike.original.man[Product Name], "Not Found")</f>
        <v>Nike Zoom KD12 'YouTube'</v>
      </c>
      <c r="C150" s="5" t="str">
        <f>_xlfn.XLOOKUP(b.nike.views[[#This Row],[product_ID]], a.nike.original.man[Product_ID], a.nike.original.man[Rating_Group], "Not Found")</f>
        <v>4 - 5</v>
      </c>
      <c r="D150">
        <f>_xlfn.XLOOKUP(b.nike.views[[#This Row],[product_ID]], a.nike.original.man[Product_ID], a.nike.original.man[Rating], "Not Found")</f>
        <v>4.5999999999999996</v>
      </c>
      <c r="E150" s="10">
        <f>ROUND(_xlfn.XLOOKUP(b.nike.views[[#This Row],[product_ID]], a.nike.original.man[Product_ID], a.nike.original.man[Sale Price], "Not Found"), 0)</f>
        <v>104</v>
      </c>
      <c r="F150" s="5" t="str" cm="1">
        <f t="array" ref="F150">_xlfn.IFS(b.nike.views[[#This Row],[Sales_Price]]&lt;=9, "under $10",b.nike.views[[#This Row],[Sales_Price]]&lt;=20, "$20 and under",b.nike.views[[#This Row],[Sales_Price]]&lt;=50, "$50 and under", b.nike.views[[#This Row],[Sales_Price]]&lt;=99, "under $100", b.nike.views[[#This Row],[Sales_Price]]&gt;=100, "$100 +")</f>
        <v>$100 +</v>
      </c>
      <c r="G150">
        <f>COUNTIF(a.nike.original.man[Product_ID], A150)</f>
        <v>1</v>
      </c>
      <c r="H150" t="str" cm="1">
        <f t="array" ref="H150">_xlfn.IFS(b.nike.views[[#This Row],[Review_Count]]&lt;=7, "Below Average",b.nike.views[[#This Row],[Review_Count]]&gt;=8, "Average +")</f>
        <v>Below Average</v>
      </c>
      <c r="I150">
        <f>SUMIF(a.nike.original.man[Product_ID],b.nike.views[[#This Row],[product_ID]], a.nike.original.man[Reviews])</f>
        <v>5</v>
      </c>
      <c r="J150" s="41">
        <f>_xlfn.XLOOKUP(b.nike.views[[#This Row],[product_ID]],a.nike.original.man[Product_ID], a.nike.original.man[Discount %], "Not Found")</f>
        <v>0.2</v>
      </c>
      <c r="K150" s="41"/>
      <c r="L150" t="s">
        <v>1470</v>
      </c>
    </row>
    <row r="151" spans="1:12" x14ac:dyDescent="0.2">
      <c r="A151" t="s">
        <v>189</v>
      </c>
      <c r="B151" t="str">
        <f>_xlfn.XLOOKUP(b.nike.views[[#This Row],[product_ID]], a.nike.original.man[Product_ID], a.nike.original.man[Product Name], "Not Found")</f>
        <v>LeBron 17</v>
      </c>
      <c r="C151" s="5" t="str">
        <f>_xlfn.XLOOKUP(b.nike.views[[#This Row],[product_ID]], a.nike.original.man[Product_ID], a.nike.original.man[Rating_Group], "Not Found")</f>
        <v>4 - 5</v>
      </c>
      <c r="D151">
        <f>_xlfn.XLOOKUP(b.nike.views[[#This Row],[product_ID]], a.nike.original.man[Product_ID], a.nike.original.man[Rating], "Not Found")</f>
        <v>4.5</v>
      </c>
      <c r="E151" s="10">
        <f>ROUND(_xlfn.XLOOKUP(b.nike.views[[#This Row],[product_ID]], a.nike.original.man[Product_ID], a.nike.original.man[Sale Price], "Not Found"), 0)</f>
        <v>170</v>
      </c>
      <c r="F151" s="5" t="str" cm="1">
        <f t="array" ref="F151">_xlfn.IFS(b.nike.views[[#This Row],[Sales_Price]]&lt;=9, "under $10",b.nike.views[[#This Row],[Sales_Price]]&lt;=20, "$20 and under",b.nike.views[[#This Row],[Sales_Price]]&lt;=50, "$50 and under", b.nike.views[[#This Row],[Sales_Price]]&lt;=99, "under $100", b.nike.views[[#This Row],[Sales_Price]]&gt;=100, "$100 +")</f>
        <v>$100 +</v>
      </c>
      <c r="G151">
        <f>COUNTIF(a.nike.original.man[Product_ID], A151)</f>
        <v>2</v>
      </c>
      <c r="H151" t="str" cm="1">
        <f t="array" ref="H151">_xlfn.IFS(b.nike.views[[#This Row],[Review_Count]]&lt;=7, "Below Average",b.nike.views[[#This Row],[Review_Count]]&gt;=8, "Average +")</f>
        <v>Average +</v>
      </c>
      <c r="I151">
        <f>SUMIF(a.nike.original.man[Product_ID],b.nike.views[[#This Row],[product_ID]], a.nike.original.man[Reviews])</f>
        <v>94</v>
      </c>
      <c r="J151" s="41">
        <f>_xlfn.XLOOKUP(b.nike.views[[#This Row],[product_ID]],a.nike.original.man[Product_ID], a.nike.original.man[Discount %], "Not Found")</f>
        <v>0</v>
      </c>
      <c r="K151" s="41"/>
      <c r="L151" t="s">
        <v>1470</v>
      </c>
    </row>
    <row r="152" spans="1:12" x14ac:dyDescent="0.2">
      <c r="A152" t="s">
        <v>725</v>
      </c>
      <c r="B152" t="str">
        <f>_xlfn.XLOOKUP(b.nike.views[[#This Row],[product_ID]], a.nike.original.man[Product_ID], a.nike.original.man[Product Name], "Not Found")</f>
        <v>Nike Air Force 1 '07</v>
      </c>
      <c r="C152" s="5" t="str">
        <f>_xlfn.XLOOKUP(b.nike.views[[#This Row],[product_ID]], a.nike.original.man[Product_ID], a.nike.original.man[Rating_Group], "Not Found")</f>
        <v>4 - 5</v>
      </c>
      <c r="D152">
        <f>_xlfn.XLOOKUP(b.nike.views[[#This Row],[product_ID]], a.nike.original.man[Product_ID], a.nike.original.man[Rating], "Not Found")</f>
        <v>4.5</v>
      </c>
      <c r="E152" s="10">
        <f>ROUND(_xlfn.XLOOKUP(b.nike.views[[#This Row],[product_ID]], a.nike.original.man[Product_ID], a.nike.original.man[Sale Price], "Not Found"), 0)</f>
        <v>73</v>
      </c>
      <c r="F152" s="5" t="str" cm="1">
        <f t="array" ref="F152">_xlfn.IFS(b.nike.views[[#This Row],[Sales_Price]]&lt;=9, "under $10",b.nike.views[[#This Row],[Sales_Price]]&lt;=20, "$20 and under",b.nike.views[[#This Row],[Sales_Price]]&lt;=50, "$50 and under", b.nike.views[[#This Row],[Sales_Price]]&lt;=99, "under $100", b.nike.views[[#This Row],[Sales_Price]]&gt;=100, "$100 +")</f>
        <v>under $100</v>
      </c>
      <c r="G152">
        <f>COUNTIF(a.nike.original.man[Product_ID], A152)</f>
        <v>1</v>
      </c>
      <c r="H152" t="str" cm="1">
        <f t="array" ref="H152">_xlfn.IFS(b.nike.views[[#This Row],[Review_Count]]&lt;=7, "Below Average",b.nike.views[[#This Row],[Review_Count]]&gt;=8, "Average +")</f>
        <v>Average +</v>
      </c>
      <c r="I152">
        <f>SUMIF(a.nike.original.man[Product_ID],b.nike.views[[#This Row],[product_ID]], a.nike.original.man[Reviews])</f>
        <v>78</v>
      </c>
      <c r="J152" s="41">
        <f>_xlfn.XLOOKUP(b.nike.views[[#This Row],[product_ID]],a.nike.original.man[Product_ID], a.nike.original.man[Discount %], "Not Found")</f>
        <v>0</v>
      </c>
      <c r="K152" s="41"/>
      <c r="L152" t="s">
        <v>1470</v>
      </c>
    </row>
    <row r="153" spans="1:12" x14ac:dyDescent="0.2">
      <c r="A153" t="s">
        <v>40</v>
      </c>
      <c r="B153" t="str">
        <f>_xlfn.XLOOKUP(b.nike.views[[#This Row],[product_ID]], a.nike.original.man[Product_ID], a.nike.original.man[Product Name], "Not Found")</f>
        <v>Nike Air Force 1 '07</v>
      </c>
      <c r="C153" s="5" t="str">
        <f>_xlfn.XLOOKUP(b.nike.views[[#This Row],[product_ID]], a.nike.original.man[Product_ID], a.nike.original.man[Rating_Group], "Not Found")</f>
        <v>4 - 5</v>
      </c>
      <c r="D153">
        <f>_xlfn.XLOOKUP(b.nike.views[[#This Row],[product_ID]], a.nike.original.man[Product_ID], a.nike.original.man[Rating], "Not Found")</f>
        <v>4.5</v>
      </c>
      <c r="E153" s="10">
        <f>ROUND(_xlfn.XLOOKUP(b.nike.views[[#This Row],[product_ID]], a.nike.original.man[Product_ID], a.nike.original.man[Sale Price], "Not Found"), 0)</f>
        <v>75</v>
      </c>
      <c r="F153" s="5" t="str" cm="1">
        <f t="array" ref="F153">_xlfn.IFS(b.nike.views[[#This Row],[Sales_Price]]&lt;=9, "under $10",b.nike.views[[#This Row],[Sales_Price]]&lt;=20, "$20 and under",b.nike.views[[#This Row],[Sales_Price]]&lt;=50, "$50 and under", b.nike.views[[#This Row],[Sales_Price]]&lt;=99, "under $100", b.nike.views[[#This Row],[Sales_Price]]&gt;=100, "$100 +")</f>
        <v>under $100</v>
      </c>
      <c r="G153">
        <f>COUNTIF(a.nike.original.man[Product_ID], A153)</f>
        <v>1</v>
      </c>
      <c r="H153" t="str" cm="1">
        <f t="array" ref="H153">_xlfn.IFS(b.nike.views[[#This Row],[Review_Count]]&lt;=7, "Below Average",b.nike.views[[#This Row],[Review_Count]]&gt;=8, "Average +")</f>
        <v>Average +</v>
      </c>
      <c r="I153">
        <f>SUMIF(a.nike.original.man[Product_ID],b.nike.views[[#This Row],[product_ID]], a.nike.original.man[Reviews])</f>
        <v>67</v>
      </c>
      <c r="J153" s="41">
        <f>_xlfn.XLOOKUP(b.nike.views[[#This Row],[product_ID]],a.nike.original.man[Product_ID], a.nike.original.man[Discount %], "Not Found")</f>
        <v>0</v>
      </c>
      <c r="K153" s="41"/>
      <c r="L153" t="s">
        <v>1470</v>
      </c>
    </row>
    <row r="154" spans="1:12" x14ac:dyDescent="0.2">
      <c r="A154" t="s">
        <v>1127</v>
      </c>
      <c r="B154" t="str">
        <f>_xlfn.XLOOKUP(b.nike.views[[#This Row],[product_ID]], a.nike.original.man[Product_ID], a.nike.original.man[Product Name], "Not Found")</f>
        <v>Nike Air Huarache</v>
      </c>
      <c r="C154" s="5" t="str">
        <f>_xlfn.XLOOKUP(b.nike.views[[#This Row],[product_ID]], a.nike.original.man[Product_ID], a.nike.original.man[Rating_Group], "Not Found")</f>
        <v>4 - 5</v>
      </c>
      <c r="D154">
        <f>_xlfn.XLOOKUP(b.nike.views[[#This Row],[product_ID]], a.nike.original.man[Product_ID], a.nike.original.man[Rating], "Not Found")</f>
        <v>4.5</v>
      </c>
      <c r="E154" s="10">
        <f>ROUND(_xlfn.XLOOKUP(b.nike.views[[#This Row],[product_ID]], a.nike.original.man[Product_ID], a.nike.original.man[Sale Price], "Not Found"), 0)</f>
        <v>90</v>
      </c>
      <c r="F154" s="5" t="str" cm="1">
        <f t="array" ref="F154">_xlfn.IFS(b.nike.views[[#This Row],[Sales_Price]]&lt;=9, "under $10",b.nike.views[[#This Row],[Sales_Price]]&lt;=20, "$20 and under",b.nike.views[[#This Row],[Sales_Price]]&lt;=50, "$50 and under", b.nike.views[[#This Row],[Sales_Price]]&lt;=99, "under $100", b.nike.views[[#This Row],[Sales_Price]]&gt;=100, "$100 +")</f>
        <v>under $100</v>
      </c>
      <c r="G154">
        <f>COUNTIF(a.nike.original.man[Product_ID], A154)</f>
        <v>1</v>
      </c>
      <c r="H154" t="str" cm="1">
        <f t="array" ref="H154">_xlfn.IFS(b.nike.views[[#This Row],[Review_Count]]&lt;=7, "Below Average",b.nike.views[[#This Row],[Review_Count]]&gt;=8, "Average +")</f>
        <v>Average +</v>
      </c>
      <c r="I154">
        <f>SUMIF(a.nike.original.man[Product_ID],b.nike.views[[#This Row],[product_ID]], a.nike.original.man[Reviews])</f>
        <v>63</v>
      </c>
      <c r="J154" s="41">
        <f>_xlfn.XLOOKUP(b.nike.views[[#This Row],[product_ID]],a.nike.original.man[Product_ID], a.nike.original.man[Discount %], "Not Found")</f>
        <v>0</v>
      </c>
      <c r="K154" s="41"/>
      <c r="L154" t="s">
        <v>1470</v>
      </c>
    </row>
    <row r="155" spans="1:12" x14ac:dyDescent="0.2">
      <c r="A155" t="s">
        <v>130</v>
      </c>
      <c r="B155" t="str">
        <f>_xlfn.XLOOKUP(b.nike.views[[#This Row],[product_ID]], a.nike.original.man[Product_ID], a.nike.original.man[Product Name], "Not Found")</f>
        <v>Air Jordan 1 Mid</v>
      </c>
      <c r="C155" s="5" t="str">
        <f>_xlfn.XLOOKUP(b.nike.views[[#This Row],[product_ID]], a.nike.original.man[Product_ID], a.nike.original.man[Rating_Group], "Not Found")</f>
        <v>4 - 5</v>
      </c>
      <c r="D155">
        <f>_xlfn.XLOOKUP(b.nike.views[[#This Row],[product_ID]], a.nike.original.man[Product_ID], a.nike.original.man[Rating], "Not Found")</f>
        <v>4.5</v>
      </c>
      <c r="E155" s="10">
        <f>ROUND(_xlfn.XLOOKUP(b.nike.views[[#This Row],[product_ID]], a.nike.original.man[Product_ID], a.nike.original.man[Sale Price], "Not Found"), 0)</f>
        <v>100</v>
      </c>
      <c r="F155" s="5" t="str" cm="1">
        <f t="array" ref="F155">_xlfn.IFS(b.nike.views[[#This Row],[Sales_Price]]&lt;=9, "under $10",b.nike.views[[#This Row],[Sales_Price]]&lt;=20, "$20 and under",b.nike.views[[#This Row],[Sales_Price]]&lt;=50, "$50 and under", b.nike.views[[#This Row],[Sales_Price]]&lt;=99, "under $100", b.nike.views[[#This Row],[Sales_Price]]&gt;=100, "$100 +")</f>
        <v>$100 +</v>
      </c>
      <c r="G155">
        <f>COUNTIF(a.nike.original.man[Product_ID], A155)</f>
        <v>1</v>
      </c>
      <c r="H155" t="str" cm="1">
        <f t="array" ref="H155">_xlfn.IFS(b.nike.views[[#This Row],[Review_Count]]&lt;=7, "Below Average",b.nike.views[[#This Row],[Review_Count]]&gt;=8, "Average +")</f>
        <v>Average +</v>
      </c>
      <c r="I155">
        <f>SUMIF(a.nike.original.man[Product_ID],b.nike.views[[#This Row],[product_ID]], a.nike.original.man[Reviews])</f>
        <v>61</v>
      </c>
      <c r="J155" s="41">
        <f>_xlfn.XLOOKUP(b.nike.views[[#This Row],[product_ID]],a.nike.original.man[Product_ID], a.nike.original.man[Discount %], "Not Found")</f>
        <v>0</v>
      </c>
      <c r="K155" s="41"/>
      <c r="L155" t="s">
        <v>1470</v>
      </c>
    </row>
    <row r="156" spans="1:12" x14ac:dyDescent="0.2">
      <c r="A156" t="s">
        <v>362</v>
      </c>
      <c r="B156" t="str">
        <f>_xlfn.XLOOKUP(b.nike.views[[#This Row],[product_ID]], a.nike.original.man[Product_ID], a.nike.original.man[Product Name], "Not Found")</f>
        <v>Air Jordan 12 Retro</v>
      </c>
      <c r="C156" s="5" t="str">
        <f>_xlfn.XLOOKUP(b.nike.views[[#This Row],[product_ID]], a.nike.original.man[Product_ID], a.nike.original.man[Rating_Group], "Not Found")</f>
        <v>4 - 5</v>
      </c>
      <c r="D156">
        <f>_xlfn.XLOOKUP(b.nike.views[[#This Row],[product_ID]], a.nike.original.man[Product_ID], a.nike.original.man[Rating], "Not Found")</f>
        <v>4.5</v>
      </c>
      <c r="E156" s="10">
        <f>ROUND(_xlfn.XLOOKUP(b.nike.views[[#This Row],[product_ID]], a.nike.original.man[Product_ID], a.nike.original.man[Sale Price], "Not Found"), 0)</f>
        <v>160</v>
      </c>
      <c r="F156" s="5" t="str" cm="1">
        <f t="array" ref="F156">_xlfn.IFS(b.nike.views[[#This Row],[Sales_Price]]&lt;=9, "under $10",b.nike.views[[#This Row],[Sales_Price]]&lt;=20, "$20 and under",b.nike.views[[#This Row],[Sales_Price]]&lt;=50, "$50 and under", b.nike.views[[#This Row],[Sales_Price]]&lt;=99, "under $100", b.nike.views[[#This Row],[Sales_Price]]&gt;=100, "$100 +")</f>
        <v>$100 +</v>
      </c>
      <c r="G156">
        <f>COUNTIF(a.nike.original.man[Product_ID], A156)</f>
        <v>2</v>
      </c>
      <c r="H156" t="str" cm="1">
        <f t="array" ref="H156">_xlfn.IFS(b.nike.views[[#This Row],[Review_Count]]&lt;=7, "Below Average",b.nike.views[[#This Row],[Review_Count]]&gt;=8, "Average +")</f>
        <v>Average +</v>
      </c>
      <c r="I156">
        <f>SUMIF(a.nike.original.man[Product_ID],b.nike.views[[#This Row],[product_ID]], a.nike.original.man[Reviews])</f>
        <v>48</v>
      </c>
      <c r="J156" s="41">
        <f>_xlfn.XLOOKUP(b.nike.views[[#This Row],[product_ID]],a.nike.original.man[Product_ID], a.nike.original.man[Discount %], "Not Found")</f>
        <v>0</v>
      </c>
      <c r="K156" s="41"/>
      <c r="L156" t="s">
        <v>1470</v>
      </c>
    </row>
    <row r="157" spans="1:12" x14ac:dyDescent="0.2">
      <c r="A157" t="s">
        <v>1274</v>
      </c>
      <c r="B157" t="str">
        <f>_xlfn.XLOOKUP(b.nike.views[[#This Row],[product_ID]], a.nike.original.man[Product_ID], a.nike.original.man[Product Name], "Not Found")</f>
        <v>Nike Air Force 1 Sage Low</v>
      </c>
      <c r="C157" s="5" t="str">
        <f>_xlfn.XLOOKUP(b.nike.views[[#This Row],[product_ID]], a.nike.original.man[Product_ID], a.nike.original.man[Rating_Group], "Not Found")</f>
        <v>4 - 5</v>
      </c>
      <c r="D157">
        <f>_xlfn.XLOOKUP(b.nike.views[[#This Row],[product_ID]], a.nike.original.man[Product_ID], a.nike.original.man[Rating], "Not Found")</f>
        <v>4.5</v>
      </c>
      <c r="E157" s="10">
        <f>ROUND(_xlfn.XLOOKUP(b.nike.views[[#This Row],[product_ID]], a.nike.original.man[Product_ID], a.nike.original.man[Sale Price], "Not Found"), 0)</f>
        <v>90</v>
      </c>
      <c r="F157" s="5" t="str" cm="1">
        <f t="array" ref="F157">_xlfn.IFS(b.nike.views[[#This Row],[Sales_Price]]&lt;=9, "under $10",b.nike.views[[#This Row],[Sales_Price]]&lt;=20, "$20 and under",b.nike.views[[#This Row],[Sales_Price]]&lt;=50, "$50 and under", b.nike.views[[#This Row],[Sales_Price]]&lt;=99, "under $100", b.nike.views[[#This Row],[Sales_Price]]&gt;=100, "$100 +")</f>
        <v>under $100</v>
      </c>
      <c r="G157">
        <f>COUNTIF(a.nike.original.man[Product_ID], A157)</f>
        <v>1</v>
      </c>
      <c r="H157" t="str" cm="1">
        <f t="array" ref="H157">_xlfn.IFS(b.nike.views[[#This Row],[Review_Count]]&lt;=7, "Below Average",b.nike.views[[#This Row],[Review_Count]]&gt;=8, "Average +")</f>
        <v>Average +</v>
      </c>
      <c r="I157">
        <f>SUMIF(a.nike.original.man[Product_ID],b.nike.views[[#This Row],[product_ID]], a.nike.original.man[Reviews])</f>
        <v>36</v>
      </c>
      <c r="J157" s="41">
        <f>_xlfn.XLOOKUP(b.nike.views[[#This Row],[product_ID]],a.nike.original.man[Product_ID], a.nike.original.man[Discount %], "Not Found")</f>
        <v>0</v>
      </c>
      <c r="K157" s="41"/>
      <c r="L157" t="s">
        <v>1470</v>
      </c>
    </row>
    <row r="158" spans="1:12" x14ac:dyDescent="0.2">
      <c r="A158" t="s">
        <v>1214</v>
      </c>
      <c r="B158" t="str">
        <f>_xlfn.XLOOKUP(b.nike.views[[#This Row],[product_ID]], a.nike.original.man[Product_ID], a.nike.original.man[Product Name], "Not Found")</f>
        <v>Nike Classic Cortez</v>
      </c>
      <c r="C158" s="5" t="str">
        <f>_xlfn.XLOOKUP(b.nike.views[[#This Row],[product_ID]], a.nike.original.man[Product_ID], a.nike.original.man[Rating_Group], "Not Found")</f>
        <v>4 - 5</v>
      </c>
      <c r="D158">
        <f>_xlfn.XLOOKUP(b.nike.views[[#This Row],[product_ID]], a.nike.original.man[Product_ID], a.nike.original.man[Rating], "Not Found")</f>
        <v>4.5</v>
      </c>
      <c r="E158" s="10">
        <f>ROUND(_xlfn.XLOOKUP(b.nike.views[[#This Row],[product_ID]], a.nike.original.man[Product_ID], a.nike.original.man[Sale Price], "Not Found"), 0)</f>
        <v>70</v>
      </c>
      <c r="F158" s="5" t="str" cm="1">
        <f t="array" ref="F158">_xlfn.IFS(b.nike.views[[#This Row],[Sales_Price]]&lt;=9, "under $10",b.nike.views[[#This Row],[Sales_Price]]&lt;=20, "$20 and under",b.nike.views[[#This Row],[Sales_Price]]&lt;=50, "$50 and under", b.nike.views[[#This Row],[Sales_Price]]&lt;=99, "under $100", b.nike.views[[#This Row],[Sales_Price]]&gt;=100, "$100 +")</f>
        <v>under $100</v>
      </c>
      <c r="G158">
        <f>COUNTIF(a.nike.original.man[Product_ID], A158)</f>
        <v>1</v>
      </c>
      <c r="H158" t="str" cm="1">
        <f t="array" ref="H158">_xlfn.IFS(b.nike.views[[#This Row],[Review_Count]]&lt;=7, "Below Average",b.nike.views[[#This Row],[Review_Count]]&gt;=8, "Average +")</f>
        <v>Average +</v>
      </c>
      <c r="I158">
        <f>SUMIF(a.nike.original.man[Product_ID],b.nike.views[[#This Row],[product_ID]], a.nike.original.man[Reviews])</f>
        <v>34</v>
      </c>
      <c r="J158" s="41">
        <f>_xlfn.XLOOKUP(b.nike.views[[#This Row],[product_ID]],a.nike.original.man[Product_ID], a.nike.original.man[Discount %], "Not Found")</f>
        <v>0</v>
      </c>
      <c r="K158" s="41"/>
      <c r="L158" t="s">
        <v>1470</v>
      </c>
    </row>
    <row r="159" spans="1:12" x14ac:dyDescent="0.2">
      <c r="A159" t="s">
        <v>1267</v>
      </c>
      <c r="B159" t="str">
        <f>_xlfn.XLOOKUP(b.nike.views[[#This Row],[product_ID]], a.nike.original.man[Product_ID], a.nike.original.man[Product Name], "Not Found")</f>
        <v>Nike Classic Cortez</v>
      </c>
      <c r="C159" s="5" t="str">
        <f>_xlfn.XLOOKUP(b.nike.views[[#This Row],[product_ID]], a.nike.original.man[Product_ID], a.nike.original.man[Rating_Group], "Not Found")</f>
        <v>4 - 5</v>
      </c>
      <c r="D159">
        <f>_xlfn.XLOOKUP(b.nike.views[[#This Row],[product_ID]], a.nike.original.man[Product_ID], a.nike.original.man[Rating], "Not Found")</f>
        <v>4.5</v>
      </c>
      <c r="E159" s="10">
        <f>ROUND(_xlfn.XLOOKUP(b.nike.views[[#This Row],[product_ID]], a.nike.original.man[Product_ID], a.nike.original.man[Sale Price], "Not Found"), 0)</f>
        <v>70</v>
      </c>
      <c r="F159" s="5" t="str" cm="1">
        <f t="array" ref="F159">_xlfn.IFS(b.nike.views[[#This Row],[Sales_Price]]&lt;=9, "under $10",b.nike.views[[#This Row],[Sales_Price]]&lt;=20, "$20 and under",b.nike.views[[#This Row],[Sales_Price]]&lt;=50, "$50 and under", b.nike.views[[#This Row],[Sales_Price]]&lt;=99, "under $100", b.nike.views[[#This Row],[Sales_Price]]&gt;=100, "$100 +")</f>
        <v>under $100</v>
      </c>
      <c r="G159">
        <f>COUNTIF(a.nike.original.man[Product_ID], A159)</f>
        <v>1</v>
      </c>
      <c r="H159" t="str" cm="1">
        <f t="array" ref="H159">_xlfn.IFS(b.nike.views[[#This Row],[Review_Count]]&lt;=7, "Below Average",b.nike.views[[#This Row],[Review_Count]]&gt;=8, "Average +")</f>
        <v>Average +</v>
      </c>
      <c r="I159">
        <f>SUMIF(a.nike.original.man[Product_ID],b.nike.views[[#This Row],[product_ID]], a.nike.original.man[Reviews])</f>
        <v>34</v>
      </c>
      <c r="J159" s="41">
        <f>_xlfn.XLOOKUP(b.nike.views[[#This Row],[product_ID]],a.nike.original.man[Product_ID], a.nike.original.man[Discount %], "Not Found")</f>
        <v>0</v>
      </c>
      <c r="K159" s="41"/>
      <c r="L159" t="s">
        <v>1470</v>
      </c>
    </row>
    <row r="160" spans="1:12" x14ac:dyDescent="0.2">
      <c r="A160" t="s">
        <v>161</v>
      </c>
      <c r="B160" t="str">
        <f>_xlfn.XLOOKUP(b.nike.views[[#This Row],[product_ID]], a.nike.original.man[Product_ID], a.nike.original.man[Product Name], "Not Found")</f>
        <v>Nike Air Zoom SuperRep</v>
      </c>
      <c r="C160" s="5" t="str">
        <f>_xlfn.XLOOKUP(b.nike.views[[#This Row],[product_ID]], a.nike.original.man[Product_ID], a.nike.original.man[Rating_Group], "Not Found")</f>
        <v>4 - 5</v>
      </c>
      <c r="D160">
        <f>_xlfn.XLOOKUP(b.nike.views[[#This Row],[product_ID]], a.nike.original.man[Product_ID], a.nike.original.man[Rating], "Not Found")</f>
        <v>4.5</v>
      </c>
      <c r="E160" s="10">
        <f>ROUND(_xlfn.XLOOKUP(b.nike.views[[#This Row],[product_ID]], a.nike.original.man[Product_ID], a.nike.original.man[Sale Price], "Not Found"), 0)</f>
        <v>100</v>
      </c>
      <c r="F160" s="5" t="str" cm="1">
        <f t="array" ref="F160">_xlfn.IFS(b.nike.views[[#This Row],[Sales_Price]]&lt;=9, "under $10",b.nike.views[[#This Row],[Sales_Price]]&lt;=20, "$20 and under",b.nike.views[[#This Row],[Sales_Price]]&lt;=50, "$50 and under", b.nike.views[[#This Row],[Sales_Price]]&lt;=99, "under $100", b.nike.views[[#This Row],[Sales_Price]]&gt;=100, "$100 +")</f>
        <v>$100 +</v>
      </c>
      <c r="G160">
        <f>COUNTIF(a.nike.original.man[Product_ID], A160)</f>
        <v>1</v>
      </c>
      <c r="H160" t="str" cm="1">
        <f t="array" ref="H160">_xlfn.IFS(b.nike.views[[#This Row],[Review_Count]]&lt;=7, "Below Average",b.nike.views[[#This Row],[Review_Count]]&gt;=8, "Average +")</f>
        <v>Average +</v>
      </c>
      <c r="I160">
        <f>SUMIF(a.nike.original.man[Product_ID],b.nike.views[[#This Row],[product_ID]], a.nike.original.man[Reviews])</f>
        <v>31</v>
      </c>
      <c r="J160" s="41">
        <f>_xlfn.XLOOKUP(b.nike.views[[#This Row],[product_ID]],a.nike.original.man[Product_ID], a.nike.original.man[Discount %], "Not Found")</f>
        <v>0</v>
      </c>
      <c r="K160" s="41"/>
      <c r="L160" t="s">
        <v>1470</v>
      </c>
    </row>
    <row r="161" spans="1:12" x14ac:dyDescent="0.2">
      <c r="A161" t="s">
        <v>608</v>
      </c>
      <c r="B161" t="str">
        <f>_xlfn.XLOOKUP(b.nike.views[[#This Row],[product_ID]], a.nike.original.man[Product_ID], a.nike.original.man[Product Name], "Not Found")</f>
        <v>Nike Air Max 200</v>
      </c>
      <c r="C161" s="5" t="str">
        <f>_xlfn.XLOOKUP(b.nike.views[[#This Row],[product_ID]], a.nike.original.man[Product_ID], a.nike.original.man[Rating_Group], "Not Found")</f>
        <v>4 - 5</v>
      </c>
      <c r="D161">
        <f>_xlfn.XLOOKUP(b.nike.views[[#This Row],[product_ID]], a.nike.original.man[Product_ID], a.nike.original.man[Rating], "Not Found")</f>
        <v>4.5</v>
      </c>
      <c r="E161" s="10">
        <f>ROUND(_xlfn.XLOOKUP(b.nike.views[[#This Row],[product_ID]], a.nike.original.man[Product_ID], a.nike.original.man[Sale Price], "Not Found"), 0)</f>
        <v>60</v>
      </c>
      <c r="F161" s="5" t="str" cm="1">
        <f t="array" ref="F161">_xlfn.IFS(b.nike.views[[#This Row],[Sales_Price]]&lt;=9, "under $10",b.nike.views[[#This Row],[Sales_Price]]&lt;=20, "$20 and under",b.nike.views[[#This Row],[Sales_Price]]&lt;=50, "$50 and under", b.nike.views[[#This Row],[Sales_Price]]&lt;=99, "under $100", b.nike.views[[#This Row],[Sales_Price]]&gt;=100, "$100 +")</f>
        <v>under $100</v>
      </c>
      <c r="G161">
        <f>COUNTIF(a.nike.original.man[Product_ID], A161)</f>
        <v>1</v>
      </c>
      <c r="H161" t="str" cm="1">
        <f t="array" ref="H161">_xlfn.IFS(b.nike.views[[#This Row],[Review_Count]]&lt;=7, "Below Average",b.nike.views[[#This Row],[Review_Count]]&gt;=8, "Average +")</f>
        <v>Average +</v>
      </c>
      <c r="I161">
        <f>SUMIF(a.nike.original.man[Product_ID],b.nike.views[[#This Row],[product_ID]], a.nike.original.man[Reviews])</f>
        <v>13</v>
      </c>
      <c r="J161" s="41">
        <f>_xlfn.XLOOKUP(b.nike.views[[#This Row],[product_ID]],a.nike.original.man[Product_ID], a.nike.original.man[Discount %], "Not Found")</f>
        <v>0.4</v>
      </c>
      <c r="K161" s="41"/>
      <c r="L161" t="s">
        <v>1470</v>
      </c>
    </row>
    <row r="162" spans="1:12" x14ac:dyDescent="0.2">
      <c r="A162" t="s">
        <v>861</v>
      </c>
      <c r="B162" t="str">
        <f>_xlfn.XLOOKUP(b.nike.views[[#This Row],[product_ID]], a.nike.original.man[Product_ID], a.nike.original.man[Product Name], "Not Found")</f>
        <v>Nike Air Force 1 Mid '07</v>
      </c>
      <c r="C162" s="5" t="str">
        <f>_xlfn.XLOOKUP(b.nike.views[[#This Row],[product_ID]], a.nike.original.man[Product_ID], a.nike.original.man[Rating_Group], "Not Found")</f>
        <v>4 - 5</v>
      </c>
      <c r="D162">
        <f>_xlfn.XLOOKUP(b.nike.views[[#This Row],[product_ID]], a.nike.original.man[Product_ID], a.nike.original.man[Rating], "Not Found")</f>
        <v>4.5</v>
      </c>
      <c r="E162" s="10">
        <f>ROUND(_xlfn.XLOOKUP(b.nike.views[[#This Row],[product_ID]], a.nike.original.man[Product_ID], a.nike.original.man[Sale Price], "Not Found"), 0)</f>
        <v>76</v>
      </c>
      <c r="F162" s="5" t="str" cm="1">
        <f t="array" ref="F162">_xlfn.IFS(b.nike.views[[#This Row],[Sales_Price]]&lt;=9, "under $10",b.nike.views[[#This Row],[Sales_Price]]&lt;=20, "$20 and under",b.nike.views[[#This Row],[Sales_Price]]&lt;=50, "$50 and under", b.nike.views[[#This Row],[Sales_Price]]&lt;=99, "under $100", b.nike.views[[#This Row],[Sales_Price]]&gt;=100, "$100 +")</f>
        <v>under $100</v>
      </c>
      <c r="G162">
        <f>COUNTIF(a.nike.original.man[Product_ID], A162)</f>
        <v>1</v>
      </c>
      <c r="H162" t="str" cm="1">
        <f t="array" ref="H162">_xlfn.IFS(b.nike.views[[#This Row],[Review_Count]]&lt;=7, "Below Average",b.nike.views[[#This Row],[Review_Count]]&gt;=8, "Average +")</f>
        <v>Average +</v>
      </c>
      <c r="I162">
        <f>SUMIF(a.nike.original.man[Product_ID],b.nike.views[[#This Row],[product_ID]], a.nike.original.man[Reviews])</f>
        <v>13</v>
      </c>
      <c r="J162" s="41">
        <f>_xlfn.XLOOKUP(b.nike.views[[#This Row],[product_ID]],a.nike.original.man[Product_ID], a.nike.original.man[Discount %], "Not Found")</f>
        <v>0</v>
      </c>
      <c r="K162" s="41"/>
      <c r="L162" t="s">
        <v>1470</v>
      </c>
    </row>
    <row r="163" spans="1:12" x14ac:dyDescent="0.2">
      <c r="A163" t="s">
        <v>433</v>
      </c>
      <c r="B163" t="str">
        <f>_xlfn.XLOOKUP(b.nike.views[[#This Row],[product_ID]], a.nike.original.man[Product_ID], a.nike.original.man[Product Name], "Not Found")</f>
        <v>Nike Kawa Shower</v>
      </c>
      <c r="C163" s="5" t="str">
        <f>_xlfn.XLOOKUP(b.nike.views[[#This Row],[product_ID]], a.nike.original.man[Product_ID], a.nike.original.man[Rating_Group], "Not Found")</f>
        <v>4 - 5</v>
      </c>
      <c r="D163">
        <f>_xlfn.XLOOKUP(b.nike.views[[#This Row],[product_ID]], a.nike.original.man[Product_ID], a.nike.original.man[Rating], "Not Found")</f>
        <v>4.5</v>
      </c>
      <c r="E163" s="10">
        <f>ROUND(_xlfn.XLOOKUP(b.nike.views[[#This Row],[product_ID]], a.nike.original.man[Product_ID], a.nike.original.man[Sale Price], "Not Found"), 0)</f>
        <v>16</v>
      </c>
      <c r="F163" s="5" t="str" cm="1">
        <f t="array" ref="F163">_xlfn.IFS(b.nike.views[[#This Row],[Sales_Price]]&lt;=9, "under $10",b.nike.views[[#This Row],[Sales_Price]]&lt;=20, "$20 and under",b.nike.views[[#This Row],[Sales_Price]]&lt;=50, "$50 and under", b.nike.views[[#This Row],[Sales_Price]]&lt;=99, "under $100", b.nike.views[[#This Row],[Sales_Price]]&gt;=100, "$100 +")</f>
        <v>$20 and under</v>
      </c>
      <c r="G163">
        <f>COUNTIF(a.nike.original.man[Product_ID], A163)</f>
        <v>1</v>
      </c>
      <c r="H163" t="str" cm="1">
        <f t="array" ref="H163">_xlfn.IFS(b.nike.views[[#This Row],[Review_Count]]&lt;=7, "Below Average",b.nike.views[[#This Row],[Review_Count]]&gt;=8, "Average +")</f>
        <v>Below Average</v>
      </c>
      <c r="I163">
        <f>SUMIF(a.nike.original.man[Product_ID],b.nike.views[[#This Row],[product_ID]], a.nike.original.man[Reviews])</f>
        <v>6</v>
      </c>
      <c r="J163" s="41">
        <f>_xlfn.XLOOKUP(b.nike.views[[#This Row],[product_ID]],a.nike.original.man[Product_ID], a.nike.original.man[Discount %], "Not Found")</f>
        <v>0</v>
      </c>
      <c r="K163" s="41"/>
      <c r="L163" t="s">
        <v>1470</v>
      </c>
    </row>
    <row r="164" spans="1:12" x14ac:dyDescent="0.2">
      <c r="A164" t="s">
        <v>1138</v>
      </c>
      <c r="B164" t="str">
        <f>_xlfn.XLOOKUP(b.nike.views[[#This Row],[product_ID]], a.nike.original.man[Product_ID], a.nike.original.man[Product Name], "Not Found")</f>
        <v>Nike Air Max 98 LX</v>
      </c>
      <c r="C164" s="5" t="str">
        <f>_xlfn.XLOOKUP(b.nike.views[[#This Row],[product_ID]], a.nike.original.man[Product_ID], a.nike.original.man[Rating_Group], "Not Found")</f>
        <v>4 - 5</v>
      </c>
      <c r="D164">
        <f>_xlfn.XLOOKUP(b.nike.views[[#This Row],[product_ID]], a.nike.original.man[Product_ID], a.nike.original.man[Rating], "Not Found")</f>
        <v>4.5</v>
      </c>
      <c r="E164" s="10">
        <f>ROUND(_xlfn.XLOOKUP(b.nike.views[[#This Row],[product_ID]], a.nike.original.man[Product_ID], a.nike.original.man[Sale Price], "Not Found"), 0)</f>
        <v>128</v>
      </c>
      <c r="F164" s="5" t="str" cm="1">
        <f t="array" ref="F164">_xlfn.IFS(b.nike.views[[#This Row],[Sales_Price]]&lt;=9, "under $10",b.nike.views[[#This Row],[Sales_Price]]&lt;=20, "$20 and under",b.nike.views[[#This Row],[Sales_Price]]&lt;=50, "$50 and under", b.nike.views[[#This Row],[Sales_Price]]&lt;=99, "under $100", b.nike.views[[#This Row],[Sales_Price]]&gt;=100, "$100 +")</f>
        <v>$100 +</v>
      </c>
      <c r="G164">
        <f>COUNTIF(a.nike.original.man[Product_ID], A164)</f>
        <v>1</v>
      </c>
      <c r="H164" t="str" cm="1">
        <f t="array" ref="H164">_xlfn.IFS(b.nike.views[[#This Row],[Review_Count]]&lt;=7, "Below Average",b.nike.views[[#This Row],[Review_Count]]&gt;=8, "Average +")</f>
        <v>Below Average</v>
      </c>
      <c r="I164">
        <f>SUMIF(a.nike.original.man[Product_ID],b.nike.views[[#This Row],[product_ID]], a.nike.original.man[Reviews])</f>
        <v>6</v>
      </c>
      <c r="J164" s="41">
        <f>_xlfn.XLOOKUP(b.nike.views[[#This Row],[product_ID]],a.nike.original.man[Product_ID], a.nike.original.man[Discount %], "Not Found")</f>
        <v>0.2</v>
      </c>
      <c r="K164" s="41"/>
      <c r="L164" t="s">
        <v>1470</v>
      </c>
    </row>
    <row r="165" spans="1:12" x14ac:dyDescent="0.2">
      <c r="A165" t="s">
        <v>1212</v>
      </c>
      <c r="B165" t="str">
        <f>_xlfn.XLOOKUP(b.nike.views[[#This Row],[product_ID]], a.nike.original.man[Product_ID], a.nike.original.man[Product Name], "Not Found")</f>
        <v>Nike Revolution 5 FlyEase</v>
      </c>
      <c r="C165" s="5" t="str">
        <f>_xlfn.XLOOKUP(b.nike.views[[#This Row],[product_ID]], a.nike.original.man[Product_ID], a.nike.original.man[Rating_Group], "Not Found")</f>
        <v>4 - 5</v>
      </c>
      <c r="D165">
        <f>_xlfn.XLOOKUP(b.nike.views[[#This Row],[product_ID]], a.nike.original.man[Product_ID], a.nike.original.man[Rating], "Not Found")</f>
        <v>4.5</v>
      </c>
      <c r="E165" s="10">
        <f>ROUND(_xlfn.XLOOKUP(b.nike.views[[#This Row],[product_ID]], a.nike.original.man[Product_ID], a.nike.original.man[Sale Price], "Not Found"), 0)</f>
        <v>37</v>
      </c>
      <c r="F165" s="5" t="str" cm="1">
        <f t="array" ref="F165">_xlfn.IFS(b.nike.views[[#This Row],[Sales_Price]]&lt;=9, "under $10",b.nike.views[[#This Row],[Sales_Price]]&lt;=20, "$20 and under",b.nike.views[[#This Row],[Sales_Price]]&lt;=50, "$50 and under", b.nike.views[[#This Row],[Sales_Price]]&lt;=99, "under $100", b.nike.views[[#This Row],[Sales_Price]]&gt;=100, "$100 +")</f>
        <v>$50 and under</v>
      </c>
      <c r="G165">
        <f>COUNTIF(a.nike.original.man[Product_ID], A165)</f>
        <v>1</v>
      </c>
      <c r="H165" t="str" cm="1">
        <f t="array" ref="H165">_xlfn.IFS(b.nike.views[[#This Row],[Review_Count]]&lt;=7, "Below Average",b.nike.views[[#This Row],[Review_Count]]&gt;=8, "Average +")</f>
        <v>Below Average</v>
      </c>
      <c r="I165">
        <f>SUMIF(a.nike.original.man[Product_ID],b.nike.views[[#This Row],[product_ID]], a.nike.original.man[Reviews])</f>
        <v>6</v>
      </c>
      <c r="J165" s="41">
        <f>_xlfn.XLOOKUP(b.nike.views[[#This Row],[product_ID]],a.nike.original.man[Product_ID], a.nike.original.man[Discount %], "Not Found")</f>
        <v>0</v>
      </c>
      <c r="K165" s="41"/>
      <c r="L165" t="s">
        <v>1470</v>
      </c>
    </row>
    <row r="166" spans="1:12" x14ac:dyDescent="0.2">
      <c r="A166" t="s">
        <v>1035</v>
      </c>
      <c r="B166" t="str">
        <f>_xlfn.XLOOKUP(b.nike.views[[#This Row],[product_ID]], a.nike.original.man[Product_ID], a.nike.original.man[Product Name], "Not Found")</f>
        <v>Nike Metcon 5 AMP</v>
      </c>
      <c r="C166" s="5" t="str">
        <f>_xlfn.XLOOKUP(b.nike.views[[#This Row],[product_ID]], a.nike.original.man[Product_ID], a.nike.original.man[Rating_Group], "Not Found")</f>
        <v>4 - 5</v>
      </c>
      <c r="D166">
        <f>_xlfn.XLOOKUP(b.nike.views[[#This Row],[product_ID]], a.nike.original.man[Product_ID], a.nike.original.man[Rating], "Not Found")</f>
        <v>4.5</v>
      </c>
      <c r="E166" s="10">
        <f>ROUND(_xlfn.XLOOKUP(b.nike.views[[#This Row],[product_ID]], a.nike.original.man[Product_ID], a.nike.original.man[Sale Price], "Not Found"), 0)</f>
        <v>120</v>
      </c>
      <c r="F166" s="5" t="str" cm="1">
        <f t="array" ref="F166">_xlfn.IFS(b.nike.views[[#This Row],[Sales_Price]]&lt;=9, "under $10",b.nike.views[[#This Row],[Sales_Price]]&lt;=20, "$20 and under",b.nike.views[[#This Row],[Sales_Price]]&lt;=50, "$50 and under", b.nike.views[[#This Row],[Sales_Price]]&lt;=99, "under $100", b.nike.views[[#This Row],[Sales_Price]]&gt;=100, "$100 +")</f>
        <v>$100 +</v>
      </c>
      <c r="G166">
        <f>COUNTIF(a.nike.original.man[Product_ID], A166)</f>
        <v>2</v>
      </c>
      <c r="H166" t="str" cm="1">
        <f t="array" ref="H166">_xlfn.IFS(b.nike.views[[#This Row],[Review_Count]]&lt;=7, "Below Average",b.nike.views[[#This Row],[Review_Count]]&gt;=8, "Average +")</f>
        <v>Below Average</v>
      </c>
      <c r="I166">
        <f>SUMIF(a.nike.original.man[Product_ID],b.nike.views[[#This Row],[product_ID]], a.nike.original.man[Reviews])</f>
        <v>4</v>
      </c>
      <c r="J166" s="41">
        <f>_xlfn.XLOOKUP(b.nike.views[[#This Row],[product_ID]],a.nike.original.man[Product_ID], a.nike.original.man[Discount %], "Not Found")</f>
        <v>0</v>
      </c>
      <c r="K166" s="41"/>
      <c r="L166" t="s">
        <v>1470</v>
      </c>
    </row>
    <row r="167" spans="1:12" x14ac:dyDescent="0.2">
      <c r="A167" t="s">
        <v>711</v>
      </c>
      <c r="B167" t="str">
        <f>_xlfn.XLOOKUP(b.nike.views[[#This Row],[product_ID]], a.nike.original.man[Product_ID], a.nike.original.man[Product Name], "Not Found")</f>
        <v>Kyrie Low 2</v>
      </c>
      <c r="C167" s="5" t="str">
        <f>_xlfn.XLOOKUP(b.nike.views[[#This Row],[product_ID]], a.nike.original.man[Product_ID], a.nike.original.man[Rating_Group], "Not Found")</f>
        <v>4 - 5</v>
      </c>
      <c r="D167">
        <f>_xlfn.XLOOKUP(b.nike.views[[#This Row],[product_ID]], a.nike.original.man[Product_ID], a.nike.original.man[Rating], "Not Found")</f>
        <v>4.5</v>
      </c>
      <c r="E167" s="10">
        <f>ROUND(_xlfn.XLOOKUP(b.nike.views[[#This Row],[product_ID]], a.nike.original.man[Product_ID], a.nike.original.man[Sale Price], "Not Found"), 0)</f>
        <v>95</v>
      </c>
      <c r="F167" s="5" t="str" cm="1">
        <f t="array" ref="F167">_xlfn.IFS(b.nike.views[[#This Row],[Sales_Price]]&lt;=9, "under $10",b.nike.views[[#This Row],[Sales_Price]]&lt;=20, "$20 and under",b.nike.views[[#This Row],[Sales_Price]]&lt;=50, "$50 and under", b.nike.views[[#This Row],[Sales_Price]]&lt;=99, "under $100", b.nike.views[[#This Row],[Sales_Price]]&gt;=100, "$100 +")</f>
        <v>under $100</v>
      </c>
      <c r="G167">
        <f>COUNTIF(a.nike.original.man[Product_ID], A167)</f>
        <v>1</v>
      </c>
      <c r="H167" t="str" cm="1">
        <f t="array" ref="H167">_xlfn.IFS(b.nike.views[[#This Row],[Review_Count]]&lt;=7, "Below Average",b.nike.views[[#This Row],[Review_Count]]&gt;=8, "Average +")</f>
        <v>Below Average</v>
      </c>
      <c r="I167">
        <f>SUMIF(a.nike.original.man[Product_ID],b.nike.views[[#This Row],[product_ID]], a.nike.original.man[Reviews])</f>
        <v>4</v>
      </c>
      <c r="J167" s="41">
        <f>_xlfn.XLOOKUP(b.nike.views[[#This Row],[product_ID]],a.nike.original.man[Product_ID], a.nike.original.man[Discount %], "Not Found")</f>
        <v>0</v>
      </c>
      <c r="K167" s="41"/>
      <c r="L167" t="s">
        <v>1470</v>
      </c>
    </row>
    <row r="168" spans="1:12" x14ac:dyDescent="0.2">
      <c r="A168" t="s">
        <v>1205</v>
      </c>
      <c r="B168" t="str">
        <f>_xlfn.XLOOKUP(b.nike.views[[#This Row],[product_ID]], a.nike.original.man[Product_ID], a.nike.original.man[Product Name], "Not Found")</f>
        <v>Nike Zoom Pegasus Turbo Shield</v>
      </c>
      <c r="C168" s="5" t="str">
        <f>_xlfn.XLOOKUP(b.nike.views[[#This Row],[product_ID]], a.nike.original.man[Product_ID], a.nike.original.man[Rating_Group], "Not Found")</f>
        <v>4 - 5</v>
      </c>
      <c r="D168">
        <f>_xlfn.XLOOKUP(b.nike.views[[#This Row],[product_ID]], a.nike.original.man[Product_ID], a.nike.original.man[Rating], "Not Found")</f>
        <v>4.5</v>
      </c>
      <c r="E168" s="10">
        <f>ROUND(_xlfn.XLOOKUP(b.nike.views[[#This Row],[product_ID]], a.nike.original.man[Product_ID], a.nike.original.man[Sale Price], "Not Found"), 0)</f>
        <v>126</v>
      </c>
      <c r="F168" s="5" t="str" cm="1">
        <f t="array" ref="F168">_xlfn.IFS(b.nike.views[[#This Row],[Sales_Price]]&lt;=9, "under $10",b.nike.views[[#This Row],[Sales_Price]]&lt;=20, "$20 and under",b.nike.views[[#This Row],[Sales_Price]]&lt;=50, "$50 and under", b.nike.views[[#This Row],[Sales_Price]]&lt;=99, "under $100", b.nike.views[[#This Row],[Sales_Price]]&gt;=100, "$100 +")</f>
        <v>$100 +</v>
      </c>
      <c r="G168">
        <f>COUNTIF(a.nike.original.man[Product_ID], A168)</f>
        <v>1</v>
      </c>
      <c r="H168" t="str" cm="1">
        <f t="array" ref="H168">_xlfn.IFS(b.nike.views[[#This Row],[Review_Count]]&lt;=7, "Below Average",b.nike.views[[#This Row],[Review_Count]]&gt;=8, "Average +")</f>
        <v>Below Average</v>
      </c>
      <c r="I168">
        <f>SUMIF(a.nike.original.man[Product_ID],b.nike.views[[#This Row],[product_ID]], a.nike.original.man[Reviews])</f>
        <v>4</v>
      </c>
      <c r="J168" s="41">
        <f>_xlfn.XLOOKUP(b.nike.views[[#This Row],[product_ID]],a.nike.original.man[Product_ID], a.nike.original.man[Discount %], "Not Found")</f>
        <v>0.3</v>
      </c>
      <c r="K168" s="41"/>
      <c r="L168" t="s">
        <v>1470</v>
      </c>
    </row>
    <row r="169" spans="1:12" x14ac:dyDescent="0.2">
      <c r="A169" t="s">
        <v>393</v>
      </c>
      <c r="B169" t="str">
        <f>_xlfn.XLOOKUP(b.nike.views[[#This Row],[product_ID]], a.nike.original.man[Product_ID], a.nike.original.man[Product Name], "Not Found")</f>
        <v>Nike ZoomX Vista Grind</v>
      </c>
      <c r="C169" s="5" t="str">
        <f>_xlfn.XLOOKUP(b.nike.views[[#This Row],[product_ID]], a.nike.original.man[Product_ID], a.nike.original.man[Rating_Group], "Not Found")</f>
        <v>4 - 5</v>
      </c>
      <c r="D169">
        <f>_xlfn.XLOOKUP(b.nike.views[[#This Row],[product_ID]], a.nike.original.man[Product_ID], a.nike.original.man[Rating], "Not Found")</f>
        <v>4.5</v>
      </c>
      <c r="E169" s="10">
        <f>ROUND(_xlfn.XLOOKUP(b.nike.views[[#This Row],[product_ID]], a.nike.original.man[Product_ID], a.nike.original.man[Sale Price], "Not Found"), 0)</f>
        <v>140</v>
      </c>
      <c r="F169" s="5" t="str" cm="1">
        <f t="array" ref="F169">_xlfn.IFS(b.nike.views[[#This Row],[Sales_Price]]&lt;=9, "under $10",b.nike.views[[#This Row],[Sales_Price]]&lt;=20, "$20 and under",b.nike.views[[#This Row],[Sales_Price]]&lt;=50, "$50 and under", b.nike.views[[#This Row],[Sales_Price]]&lt;=99, "under $100", b.nike.views[[#This Row],[Sales_Price]]&gt;=100, "$100 +")</f>
        <v>$100 +</v>
      </c>
      <c r="G169">
        <f>COUNTIF(a.nike.original.man[Product_ID], A169)</f>
        <v>1</v>
      </c>
      <c r="H169" t="str" cm="1">
        <f t="array" ref="H169">_xlfn.IFS(b.nike.views[[#This Row],[Review_Count]]&lt;=7, "Below Average",b.nike.views[[#This Row],[Review_Count]]&gt;=8, "Average +")</f>
        <v>Below Average</v>
      </c>
      <c r="I169">
        <f>SUMIF(a.nike.original.man[Product_ID],b.nike.views[[#This Row],[product_ID]], a.nike.original.man[Reviews])</f>
        <v>2</v>
      </c>
      <c r="J169" s="41">
        <f>_xlfn.XLOOKUP(b.nike.views[[#This Row],[product_ID]],a.nike.original.man[Product_ID], a.nike.original.man[Discount %], "Not Found")</f>
        <v>0</v>
      </c>
      <c r="K169" s="41"/>
      <c r="L169" t="s">
        <v>1470</v>
      </c>
    </row>
    <row r="170" spans="1:12" x14ac:dyDescent="0.2">
      <c r="A170" t="s">
        <v>398</v>
      </c>
      <c r="B170" t="str">
        <f>_xlfn.XLOOKUP(b.nike.views[[#This Row],[product_ID]], a.nike.original.man[Product_ID], a.nike.original.man[Product Name], "Not Found")</f>
        <v>PG 4 EP</v>
      </c>
      <c r="C170" s="5" t="str">
        <f>_xlfn.XLOOKUP(b.nike.views[[#This Row],[product_ID]], a.nike.original.man[Product_ID], a.nike.original.man[Rating_Group], "Not Found")</f>
        <v>4 - 5</v>
      </c>
      <c r="D170">
        <f>_xlfn.XLOOKUP(b.nike.views[[#This Row],[product_ID]], a.nike.original.man[Product_ID], a.nike.original.man[Rating], "Not Found")</f>
        <v>4.5</v>
      </c>
      <c r="E170" s="10">
        <f>ROUND(_xlfn.XLOOKUP(b.nike.views[[#This Row],[product_ID]], a.nike.original.man[Product_ID], a.nike.original.man[Sale Price], "Not Found"), 0)</f>
        <v>90</v>
      </c>
      <c r="F170" s="5" t="str" cm="1">
        <f t="array" ref="F170">_xlfn.IFS(b.nike.views[[#This Row],[Sales_Price]]&lt;=9, "under $10",b.nike.views[[#This Row],[Sales_Price]]&lt;=20, "$20 and under",b.nike.views[[#This Row],[Sales_Price]]&lt;=50, "$50 and under", b.nike.views[[#This Row],[Sales_Price]]&lt;=99, "under $100", b.nike.views[[#This Row],[Sales_Price]]&gt;=100, "$100 +")</f>
        <v>under $100</v>
      </c>
      <c r="G170">
        <f>COUNTIF(a.nike.original.man[Product_ID], A170)</f>
        <v>1</v>
      </c>
      <c r="H170" t="str" cm="1">
        <f t="array" ref="H170">_xlfn.IFS(b.nike.views[[#This Row],[Review_Count]]&lt;=7, "Below Average",b.nike.views[[#This Row],[Review_Count]]&gt;=8, "Average +")</f>
        <v>Below Average</v>
      </c>
      <c r="I170">
        <f>SUMIF(a.nike.original.man[Product_ID],b.nike.views[[#This Row],[product_ID]], a.nike.original.man[Reviews])</f>
        <v>2</v>
      </c>
      <c r="J170" s="41">
        <f>_xlfn.XLOOKUP(b.nike.views[[#This Row],[product_ID]],a.nike.original.man[Product_ID], a.nike.original.man[Discount %], "Not Found")</f>
        <v>0</v>
      </c>
      <c r="K170" s="41"/>
      <c r="L170" t="s">
        <v>1470</v>
      </c>
    </row>
    <row r="171" spans="1:12" x14ac:dyDescent="0.2">
      <c r="A171" t="s">
        <v>761</v>
      </c>
      <c r="B171" t="str">
        <f>_xlfn.XLOOKUP(b.nike.views[[#This Row],[product_ID]], a.nike.original.man[Product_ID], a.nike.original.man[Product Name], "Not Found")</f>
        <v>Nike Huarache Type</v>
      </c>
      <c r="C171" s="5" t="str">
        <f>_xlfn.XLOOKUP(b.nike.views[[#This Row],[product_ID]], a.nike.original.man[Product_ID], a.nike.original.man[Rating_Group], "Not Found")</f>
        <v>4 - 5</v>
      </c>
      <c r="D171">
        <f>_xlfn.XLOOKUP(b.nike.views[[#This Row],[product_ID]], a.nike.original.man[Product_ID], a.nike.original.man[Rating], "Not Found")</f>
        <v>4.5</v>
      </c>
      <c r="E171" s="10">
        <f>ROUND(_xlfn.XLOOKUP(b.nike.views[[#This Row],[product_ID]], a.nike.original.man[Product_ID], a.nike.original.man[Sale Price], "Not Found"), 0)</f>
        <v>66</v>
      </c>
      <c r="F171" s="5" t="str" cm="1">
        <f t="array" ref="F171">_xlfn.IFS(b.nike.views[[#This Row],[Sales_Price]]&lt;=9, "under $10",b.nike.views[[#This Row],[Sales_Price]]&lt;=20, "$20 and under",b.nike.views[[#This Row],[Sales_Price]]&lt;=50, "$50 and under", b.nike.views[[#This Row],[Sales_Price]]&lt;=99, "under $100", b.nike.views[[#This Row],[Sales_Price]]&gt;=100, "$100 +")</f>
        <v>under $100</v>
      </c>
      <c r="G171">
        <f>COUNTIF(a.nike.original.man[Product_ID], A171)</f>
        <v>1</v>
      </c>
      <c r="H171" t="str" cm="1">
        <f t="array" ref="H171">_xlfn.IFS(b.nike.views[[#This Row],[Review_Count]]&lt;=7, "Below Average",b.nike.views[[#This Row],[Review_Count]]&gt;=8, "Average +")</f>
        <v>Below Average</v>
      </c>
      <c r="I171">
        <f>SUMIF(a.nike.original.man[Product_ID],b.nike.views[[#This Row],[product_ID]], a.nike.original.man[Reviews])</f>
        <v>2</v>
      </c>
      <c r="J171" s="41">
        <f>_xlfn.XLOOKUP(b.nike.views[[#This Row],[product_ID]],a.nike.original.man[Product_ID], a.nike.original.man[Discount %], "Not Found")</f>
        <v>0.4</v>
      </c>
      <c r="K171" s="41"/>
      <c r="L171" t="s">
        <v>1470</v>
      </c>
    </row>
    <row r="172" spans="1:12" x14ac:dyDescent="0.2">
      <c r="A172" t="s">
        <v>260</v>
      </c>
      <c r="B172" t="str">
        <f>_xlfn.XLOOKUP(b.nike.views[[#This Row],[product_ID]], a.nike.original.man[Product_ID], a.nike.original.man[Product Name], "Not Found")</f>
        <v>Nike Air Ghost Racer</v>
      </c>
      <c r="C172" s="5" t="str">
        <f>_xlfn.XLOOKUP(b.nike.views[[#This Row],[product_ID]], a.nike.original.man[Product_ID], a.nike.original.man[Rating_Group], "Not Found")</f>
        <v>4 - 5</v>
      </c>
      <c r="D172">
        <f>_xlfn.XLOOKUP(b.nike.views[[#This Row],[product_ID]], a.nike.original.man[Product_ID], a.nike.original.man[Rating], "Not Found")</f>
        <v>4.5</v>
      </c>
      <c r="E172" s="10">
        <f>ROUND(_xlfn.XLOOKUP(b.nike.views[[#This Row],[product_ID]], a.nike.original.man[Product_ID], a.nike.original.man[Sale Price], "Not Found"), 0)</f>
        <v>70</v>
      </c>
      <c r="F172" s="5" t="str" cm="1">
        <f t="array" ref="F172">_xlfn.IFS(b.nike.views[[#This Row],[Sales_Price]]&lt;=9, "under $10",b.nike.views[[#This Row],[Sales_Price]]&lt;=20, "$20 and under",b.nike.views[[#This Row],[Sales_Price]]&lt;=50, "$50 and under", b.nike.views[[#This Row],[Sales_Price]]&lt;=99, "under $100", b.nike.views[[#This Row],[Sales_Price]]&gt;=100, "$100 +")</f>
        <v>under $100</v>
      </c>
      <c r="G172">
        <f>COUNTIF(a.nike.original.man[Product_ID], A172)</f>
        <v>1</v>
      </c>
      <c r="H172" t="str" cm="1">
        <f t="array" ref="H172">_xlfn.IFS(b.nike.views[[#This Row],[Review_Count]]&lt;=7, "Below Average",b.nike.views[[#This Row],[Review_Count]]&gt;=8, "Average +")</f>
        <v>Below Average</v>
      </c>
      <c r="I172">
        <f>SUMIF(a.nike.original.man[Product_ID],b.nike.views[[#This Row],[product_ID]], a.nike.original.man[Reviews])</f>
        <v>2</v>
      </c>
      <c r="J172" s="41">
        <f>_xlfn.XLOOKUP(b.nike.views[[#This Row],[product_ID]],a.nike.original.man[Product_ID], a.nike.original.man[Discount %], "Not Found")</f>
        <v>0.3</v>
      </c>
      <c r="K172" s="41"/>
      <c r="L172" t="s">
        <v>1470</v>
      </c>
    </row>
    <row r="173" spans="1:12" x14ac:dyDescent="0.2">
      <c r="A173" t="s">
        <v>815</v>
      </c>
      <c r="B173" t="str">
        <f>_xlfn.XLOOKUP(b.nike.views[[#This Row],[product_ID]], a.nike.original.man[Product_ID], a.nike.original.man[Product Name], "Not Found")</f>
        <v>Nike Air Force Max II</v>
      </c>
      <c r="C173" s="5" t="str">
        <f>_xlfn.XLOOKUP(b.nike.views[[#This Row],[product_ID]], a.nike.original.man[Product_ID], a.nike.original.man[Rating_Group], "Not Found")</f>
        <v>4 - 5</v>
      </c>
      <c r="D173">
        <f>_xlfn.XLOOKUP(b.nike.views[[#This Row],[product_ID]], a.nike.original.man[Product_ID], a.nike.original.man[Rating], "Not Found")</f>
        <v>4.5</v>
      </c>
      <c r="E173" s="10">
        <f>ROUND(_xlfn.XLOOKUP(b.nike.views[[#This Row],[product_ID]], a.nike.original.man[Product_ID], a.nike.original.man[Sale Price], "Not Found"), 0)</f>
        <v>140</v>
      </c>
      <c r="F173" s="5" t="str" cm="1">
        <f t="array" ref="F173">_xlfn.IFS(b.nike.views[[#This Row],[Sales_Price]]&lt;=9, "under $10",b.nike.views[[#This Row],[Sales_Price]]&lt;=20, "$20 and under",b.nike.views[[#This Row],[Sales_Price]]&lt;=50, "$50 and under", b.nike.views[[#This Row],[Sales_Price]]&lt;=99, "under $100", b.nike.views[[#This Row],[Sales_Price]]&gt;=100, "$100 +")</f>
        <v>$100 +</v>
      </c>
      <c r="G173">
        <f>COUNTIF(a.nike.original.man[Product_ID], A173)</f>
        <v>1</v>
      </c>
      <c r="H173" t="str" cm="1">
        <f t="array" ref="H173">_xlfn.IFS(b.nike.views[[#This Row],[Review_Count]]&lt;=7, "Below Average",b.nike.views[[#This Row],[Review_Count]]&gt;=8, "Average +")</f>
        <v>Below Average</v>
      </c>
      <c r="I173">
        <f>SUMIF(a.nike.original.man[Product_ID],b.nike.views[[#This Row],[product_ID]], a.nike.original.man[Reviews])</f>
        <v>2</v>
      </c>
      <c r="J173" s="41">
        <f>_xlfn.XLOOKUP(b.nike.views[[#This Row],[product_ID]],a.nike.original.man[Product_ID], a.nike.original.man[Discount %], "Not Found")</f>
        <v>0</v>
      </c>
      <c r="K173" s="41"/>
      <c r="L173" t="s">
        <v>1470</v>
      </c>
    </row>
    <row r="174" spans="1:12" x14ac:dyDescent="0.2">
      <c r="A174" t="s">
        <v>826</v>
      </c>
      <c r="B174" t="str">
        <f>_xlfn.XLOOKUP(b.nike.views[[#This Row],[product_ID]], a.nike.original.man[Product_ID], a.nike.original.man[Product Name], "Not Found")</f>
        <v>Nike Air Max 97 SE</v>
      </c>
      <c r="C174" s="5" t="str">
        <f>_xlfn.XLOOKUP(b.nike.views[[#This Row],[product_ID]], a.nike.original.man[Product_ID], a.nike.original.man[Rating_Group], "Not Found")</f>
        <v>4 - 5</v>
      </c>
      <c r="D174">
        <f>_xlfn.XLOOKUP(b.nike.views[[#This Row],[product_ID]], a.nike.original.man[Product_ID], a.nike.original.man[Rating], "Not Found")</f>
        <v>4.5</v>
      </c>
      <c r="E174" s="10">
        <f>ROUND(_xlfn.XLOOKUP(b.nike.views[[#This Row],[product_ID]], a.nike.original.man[Product_ID], a.nike.original.man[Sale Price], "Not Found"), 0)</f>
        <v>128</v>
      </c>
      <c r="F174" s="5" t="str" cm="1">
        <f t="array" ref="F174">_xlfn.IFS(b.nike.views[[#This Row],[Sales_Price]]&lt;=9, "under $10",b.nike.views[[#This Row],[Sales_Price]]&lt;=20, "$20 and under",b.nike.views[[#This Row],[Sales_Price]]&lt;=50, "$50 and under", b.nike.views[[#This Row],[Sales_Price]]&lt;=99, "under $100", b.nike.views[[#This Row],[Sales_Price]]&gt;=100, "$100 +")</f>
        <v>$100 +</v>
      </c>
      <c r="G174">
        <f>COUNTIF(a.nike.original.man[Product_ID], A174)</f>
        <v>1</v>
      </c>
      <c r="H174" t="str" cm="1">
        <f t="array" ref="H174">_xlfn.IFS(b.nike.views[[#This Row],[Review_Count]]&lt;=7, "Below Average",b.nike.views[[#This Row],[Review_Count]]&gt;=8, "Average +")</f>
        <v>Below Average</v>
      </c>
      <c r="I174">
        <f>SUMIF(a.nike.original.man[Product_ID],b.nike.views[[#This Row],[product_ID]], a.nike.original.man[Reviews])</f>
        <v>2</v>
      </c>
      <c r="J174" s="41">
        <f>_xlfn.XLOOKUP(b.nike.views[[#This Row],[product_ID]],a.nike.original.man[Product_ID], a.nike.original.man[Discount %], "Not Found")</f>
        <v>0.2</v>
      </c>
      <c r="K174" s="41"/>
      <c r="L174" t="s">
        <v>1470</v>
      </c>
    </row>
    <row r="175" spans="1:12" x14ac:dyDescent="0.2">
      <c r="A175" t="s">
        <v>480</v>
      </c>
      <c r="B175" t="str">
        <f>_xlfn.XLOOKUP(b.nike.views[[#This Row],[product_ID]], a.nike.original.man[Product_ID], a.nike.original.man[Product Name], "Not Found")</f>
        <v>Nike Air Force 1 Low Retro</v>
      </c>
      <c r="C175" s="5" t="str">
        <f>_xlfn.XLOOKUP(b.nike.views[[#This Row],[product_ID]], a.nike.original.man[Product_ID], a.nike.original.man[Rating_Group], "Not Found")</f>
        <v>4 - 5</v>
      </c>
      <c r="D175">
        <f>_xlfn.XLOOKUP(b.nike.views[[#This Row],[product_ID]], a.nike.original.man[Product_ID], a.nike.original.man[Rating], "Not Found")</f>
        <v>4.5</v>
      </c>
      <c r="E175" s="10">
        <f>ROUND(_xlfn.XLOOKUP(b.nike.views[[#This Row],[product_ID]], a.nike.original.man[Product_ID], a.nike.original.man[Sale Price], "Not Found"), 0)</f>
        <v>110</v>
      </c>
      <c r="F175" s="5" t="str" cm="1">
        <f t="array" ref="F175">_xlfn.IFS(b.nike.views[[#This Row],[Sales_Price]]&lt;=9, "under $10",b.nike.views[[#This Row],[Sales_Price]]&lt;=20, "$20 and under",b.nike.views[[#This Row],[Sales_Price]]&lt;=50, "$50 and under", b.nike.views[[#This Row],[Sales_Price]]&lt;=99, "under $100", b.nike.views[[#This Row],[Sales_Price]]&gt;=100, "$100 +")</f>
        <v>$100 +</v>
      </c>
      <c r="G175">
        <f>COUNTIF(a.nike.original.man[Product_ID], A175)</f>
        <v>1</v>
      </c>
      <c r="H175" t="str" cm="1">
        <f t="array" ref="H175">_xlfn.IFS(b.nike.views[[#This Row],[Review_Count]]&lt;=7, "Below Average",b.nike.views[[#This Row],[Review_Count]]&gt;=8, "Average +")</f>
        <v>Below Average</v>
      </c>
      <c r="I175">
        <f>SUMIF(a.nike.original.man[Product_ID],b.nike.views[[#This Row],[product_ID]], a.nike.original.man[Reviews])</f>
        <v>2</v>
      </c>
      <c r="J175" s="41">
        <f>_xlfn.XLOOKUP(b.nike.views[[#This Row],[product_ID]],a.nike.original.man[Product_ID], a.nike.original.man[Discount %], "Not Found")</f>
        <v>0</v>
      </c>
      <c r="K175" s="41"/>
      <c r="L175" t="s">
        <v>1470</v>
      </c>
    </row>
    <row r="176" spans="1:12" x14ac:dyDescent="0.2">
      <c r="A176" t="s">
        <v>743</v>
      </c>
      <c r="B176" t="str">
        <f>_xlfn.XLOOKUP(b.nike.views[[#This Row],[product_ID]], a.nike.original.man[Product_ID], a.nike.original.man[Product Name], "Not Found")</f>
        <v>Nike Air Skarn</v>
      </c>
      <c r="C176" s="5" t="str">
        <f>_xlfn.XLOOKUP(b.nike.views[[#This Row],[product_ID]], a.nike.original.man[Product_ID], a.nike.original.man[Rating_Group], "Not Found")</f>
        <v>4 - 5</v>
      </c>
      <c r="D176">
        <f>_xlfn.XLOOKUP(b.nike.views[[#This Row],[product_ID]], a.nike.original.man[Product_ID], a.nike.original.man[Rating], "Not Found")</f>
        <v>4.5</v>
      </c>
      <c r="E176" s="10">
        <f>ROUND(_xlfn.XLOOKUP(b.nike.views[[#This Row],[product_ID]], a.nike.original.man[Product_ID], a.nike.original.man[Sale Price], "Not Found"), 0)</f>
        <v>70</v>
      </c>
      <c r="F176" s="5" t="str" cm="1">
        <f t="array" ref="F176">_xlfn.IFS(b.nike.views[[#This Row],[Sales_Price]]&lt;=9, "under $10",b.nike.views[[#This Row],[Sales_Price]]&lt;=20, "$20 and under",b.nike.views[[#This Row],[Sales_Price]]&lt;=50, "$50 and under", b.nike.views[[#This Row],[Sales_Price]]&lt;=99, "under $100", b.nike.views[[#This Row],[Sales_Price]]&gt;=100, "$100 +")</f>
        <v>under $100</v>
      </c>
      <c r="G176">
        <f>COUNTIF(a.nike.original.man[Product_ID], A176)</f>
        <v>1</v>
      </c>
      <c r="H176" t="str" cm="1">
        <f t="array" ref="H176">_xlfn.IFS(b.nike.views[[#This Row],[Review_Count]]&lt;=7, "Below Average",b.nike.views[[#This Row],[Review_Count]]&gt;=8, "Average +")</f>
        <v>Below Average</v>
      </c>
      <c r="I176">
        <f>SUMIF(a.nike.original.man[Product_ID],b.nike.views[[#This Row],[product_ID]], a.nike.original.man[Reviews])</f>
        <v>2</v>
      </c>
      <c r="J176" s="41">
        <f>_xlfn.XLOOKUP(b.nike.views[[#This Row],[product_ID]],a.nike.original.man[Product_ID], a.nike.original.man[Discount %], "Not Found")</f>
        <v>0.3</v>
      </c>
      <c r="K176" s="41"/>
      <c r="L176" t="s">
        <v>1470</v>
      </c>
    </row>
    <row r="177" spans="1:12" x14ac:dyDescent="0.2">
      <c r="A177" t="s">
        <v>1121</v>
      </c>
      <c r="B177" t="str">
        <f>_xlfn.XLOOKUP(b.nike.views[[#This Row],[product_ID]], a.nike.original.man[Product_ID], a.nike.original.man[Product Name], "Not Found")</f>
        <v>Nike x Olivia Kim Air Max 98</v>
      </c>
      <c r="C177" s="5" t="str">
        <f>_xlfn.XLOOKUP(b.nike.views[[#This Row],[product_ID]], a.nike.original.man[Product_ID], a.nike.original.man[Rating_Group], "Not Found")</f>
        <v>4 - 5</v>
      </c>
      <c r="D177">
        <f>_xlfn.XLOOKUP(b.nike.views[[#This Row],[product_ID]], a.nike.original.man[Product_ID], a.nike.original.man[Rating], "Not Found")</f>
        <v>4.5</v>
      </c>
      <c r="E177" s="10">
        <f>ROUND(_xlfn.XLOOKUP(b.nike.views[[#This Row],[product_ID]], a.nike.original.man[Product_ID], a.nike.original.man[Sale Price], "Not Found"), 0)</f>
        <v>112</v>
      </c>
      <c r="F177" s="5" t="str" cm="1">
        <f t="array" ref="F177">_xlfn.IFS(b.nike.views[[#This Row],[Sales_Price]]&lt;=9, "under $10",b.nike.views[[#This Row],[Sales_Price]]&lt;=20, "$20 and under",b.nike.views[[#This Row],[Sales_Price]]&lt;=50, "$50 and under", b.nike.views[[#This Row],[Sales_Price]]&lt;=99, "under $100", b.nike.views[[#This Row],[Sales_Price]]&gt;=100, "$100 +")</f>
        <v>$100 +</v>
      </c>
      <c r="G177">
        <f>COUNTIF(a.nike.original.man[Product_ID], A177)</f>
        <v>1</v>
      </c>
      <c r="H177" t="str" cm="1">
        <f t="array" ref="H177">_xlfn.IFS(b.nike.views[[#This Row],[Review_Count]]&lt;=7, "Below Average",b.nike.views[[#This Row],[Review_Count]]&gt;=8, "Average +")</f>
        <v>Below Average</v>
      </c>
      <c r="I177">
        <f>SUMIF(a.nike.original.man[Product_ID],b.nike.views[[#This Row],[product_ID]], a.nike.original.man[Reviews])</f>
        <v>2</v>
      </c>
      <c r="J177" s="41">
        <f>_xlfn.XLOOKUP(b.nike.views[[#This Row],[product_ID]],a.nike.original.man[Product_ID], a.nike.original.man[Discount %], "Not Found")</f>
        <v>0.3</v>
      </c>
      <c r="K177" s="41"/>
      <c r="L177" t="s">
        <v>1470</v>
      </c>
    </row>
    <row r="178" spans="1:12" x14ac:dyDescent="0.2">
      <c r="A178" t="s">
        <v>1262</v>
      </c>
      <c r="B178" t="str">
        <f>_xlfn.XLOOKUP(b.nike.views[[#This Row],[product_ID]], a.nike.original.man[Product_ID], a.nike.original.man[Product Name], "Not Found")</f>
        <v>Nike Flex RN 2019</v>
      </c>
      <c r="C178" s="5" t="str">
        <f>_xlfn.XLOOKUP(b.nike.views[[#This Row],[product_ID]], a.nike.original.man[Product_ID], a.nike.original.man[Rating_Group], "Not Found")</f>
        <v>4 - 5</v>
      </c>
      <c r="D178">
        <f>_xlfn.XLOOKUP(b.nike.views[[#This Row],[product_ID]], a.nike.original.man[Product_ID], a.nike.original.man[Rating], "Not Found")</f>
        <v>4.5</v>
      </c>
      <c r="E178" s="10">
        <f>ROUND(_xlfn.XLOOKUP(b.nike.views[[#This Row],[product_ID]], a.nike.original.man[Product_ID], a.nike.original.man[Sale Price], "Not Found"), 0)</f>
        <v>70</v>
      </c>
      <c r="F178" s="5" t="str" cm="1">
        <f t="array" ref="F178">_xlfn.IFS(b.nike.views[[#This Row],[Sales_Price]]&lt;=9, "under $10",b.nike.views[[#This Row],[Sales_Price]]&lt;=20, "$20 and under",b.nike.views[[#This Row],[Sales_Price]]&lt;=50, "$50 and under", b.nike.views[[#This Row],[Sales_Price]]&lt;=99, "under $100", b.nike.views[[#This Row],[Sales_Price]]&gt;=100, "$100 +")</f>
        <v>under $100</v>
      </c>
      <c r="G178">
        <f>COUNTIF(a.nike.original.man[Product_ID], A178)</f>
        <v>1</v>
      </c>
      <c r="H178" t="str" cm="1">
        <f t="array" ref="H178">_xlfn.IFS(b.nike.views[[#This Row],[Review_Count]]&lt;=7, "Below Average",b.nike.views[[#This Row],[Review_Count]]&gt;=8, "Average +")</f>
        <v>Below Average</v>
      </c>
      <c r="I178">
        <f>SUMIF(a.nike.original.man[Product_ID],b.nike.views[[#This Row],[product_ID]], a.nike.original.man[Reviews])</f>
        <v>2</v>
      </c>
      <c r="J178" s="41">
        <f>_xlfn.XLOOKUP(b.nike.views[[#This Row],[product_ID]],a.nike.original.man[Product_ID], a.nike.original.man[Discount %], "Not Found")</f>
        <v>0</v>
      </c>
      <c r="K178" s="41"/>
      <c r="L178" t="s">
        <v>1470</v>
      </c>
    </row>
    <row r="179" spans="1:12" x14ac:dyDescent="0.2">
      <c r="A179" t="s">
        <v>1312</v>
      </c>
      <c r="B179" t="str">
        <f>_xlfn.XLOOKUP(b.nike.views[[#This Row],[product_ID]], a.nike.original.man[Product_ID], a.nike.original.man[Product Name], "Not Found")</f>
        <v>Nike Wildhorse 6</v>
      </c>
      <c r="C179" s="5" t="str">
        <f>_xlfn.XLOOKUP(b.nike.views[[#This Row],[product_ID]], a.nike.original.man[Product_ID], a.nike.original.man[Rating_Group], "Not Found")</f>
        <v>4 - 5</v>
      </c>
      <c r="D179">
        <f>_xlfn.XLOOKUP(b.nike.views[[#This Row],[product_ID]], a.nike.original.man[Product_ID], a.nike.original.man[Rating], "Not Found")</f>
        <v>4.5</v>
      </c>
      <c r="E179" s="10">
        <f>ROUND(_xlfn.XLOOKUP(b.nike.views[[#This Row],[product_ID]], a.nike.original.man[Product_ID], a.nike.original.man[Sale Price], "Not Found"), 0)</f>
        <v>100</v>
      </c>
      <c r="F179" s="5" t="str" cm="1">
        <f t="array" ref="F179">_xlfn.IFS(b.nike.views[[#This Row],[Sales_Price]]&lt;=9, "under $10",b.nike.views[[#This Row],[Sales_Price]]&lt;=20, "$20 and under",b.nike.views[[#This Row],[Sales_Price]]&lt;=50, "$50 and under", b.nike.views[[#This Row],[Sales_Price]]&lt;=99, "under $100", b.nike.views[[#This Row],[Sales_Price]]&gt;=100, "$100 +")</f>
        <v>$100 +</v>
      </c>
      <c r="G179">
        <f>COUNTIF(a.nike.original.man[Product_ID], A179)</f>
        <v>1</v>
      </c>
      <c r="H179" t="str" cm="1">
        <f t="array" ref="H179">_xlfn.IFS(b.nike.views[[#This Row],[Review_Count]]&lt;=7, "Below Average",b.nike.views[[#This Row],[Review_Count]]&gt;=8, "Average +")</f>
        <v>Below Average</v>
      </c>
      <c r="I179">
        <f>SUMIF(a.nike.original.man[Product_ID],b.nike.views[[#This Row],[product_ID]], a.nike.original.man[Reviews])</f>
        <v>2</v>
      </c>
      <c r="J179" s="41">
        <f>_xlfn.XLOOKUP(b.nike.views[[#This Row],[product_ID]],a.nike.original.man[Product_ID], a.nike.original.man[Discount %], "Not Found")</f>
        <v>0</v>
      </c>
      <c r="K179" s="41"/>
      <c r="L179" t="s">
        <v>1470</v>
      </c>
    </row>
    <row r="180" spans="1:12" x14ac:dyDescent="0.2">
      <c r="A180" t="s">
        <v>1400</v>
      </c>
      <c r="B180" t="str">
        <f>_xlfn.XLOOKUP(b.nike.views[[#This Row],[product_ID]], a.nike.original.man[Product_ID], a.nike.original.man[Product Name], "Not Found")</f>
        <v>NikeCourt Air Max Wildcard</v>
      </c>
      <c r="C180" s="5" t="str">
        <f>_xlfn.XLOOKUP(b.nike.views[[#This Row],[product_ID]], a.nike.original.man[Product_ID], a.nike.original.man[Rating_Group], "Not Found")</f>
        <v>4 - 5</v>
      </c>
      <c r="D180">
        <f>_xlfn.XLOOKUP(b.nike.views[[#This Row],[product_ID]], a.nike.original.man[Product_ID], a.nike.original.man[Rating], "Not Found")</f>
        <v>4.5</v>
      </c>
      <c r="E180" s="10">
        <f>ROUND(_xlfn.XLOOKUP(b.nike.views[[#This Row],[product_ID]], a.nike.original.man[Product_ID], a.nike.original.man[Sale Price], "Not Found"), 0)</f>
        <v>80</v>
      </c>
      <c r="F180" s="5" t="str" cm="1">
        <f t="array" ref="F180">_xlfn.IFS(b.nike.views[[#This Row],[Sales_Price]]&lt;=9, "under $10",b.nike.views[[#This Row],[Sales_Price]]&lt;=20, "$20 and under",b.nike.views[[#This Row],[Sales_Price]]&lt;=50, "$50 and under", b.nike.views[[#This Row],[Sales_Price]]&lt;=99, "under $100", b.nike.views[[#This Row],[Sales_Price]]&gt;=100, "$100 +")</f>
        <v>under $100</v>
      </c>
      <c r="G180">
        <f>COUNTIF(a.nike.original.man[Product_ID], A180)</f>
        <v>1</v>
      </c>
      <c r="H180" t="str" cm="1">
        <f t="array" ref="H180">_xlfn.IFS(b.nike.views[[#This Row],[Review_Count]]&lt;=7, "Below Average",b.nike.views[[#This Row],[Review_Count]]&gt;=8, "Average +")</f>
        <v>Below Average</v>
      </c>
      <c r="I180">
        <f>SUMIF(a.nike.original.man[Product_ID],b.nike.views[[#This Row],[product_ID]], a.nike.original.man[Reviews])</f>
        <v>2</v>
      </c>
      <c r="J180" s="41">
        <f>_xlfn.XLOOKUP(b.nike.views[[#This Row],[product_ID]],a.nike.original.man[Product_ID], a.nike.original.man[Discount %], "Not Found")</f>
        <v>0</v>
      </c>
      <c r="K180" s="41"/>
      <c r="L180" t="s">
        <v>1470</v>
      </c>
    </row>
    <row r="181" spans="1:12" x14ac:dyDescent="0.2">
      <c r="A181" t="s">
        <v>49</v>
      </c>
      <c r="B181" t="str">
        <f>_xlfn.XLOOKUP(b.nike.views[[#This Row],[product_ID]], a.nike.original.man[Product_ID], a.nike.original.man[Product Name], "Not Found")</f>
        <v>Nike Air VaporMax Flyknit 3</v>
      </c>
      <c r="C181" s="5" t="str">
        <f>_xlfn.XLOOKUP(b.nike.views[[#This Row],[product_ID]], a.nike.original.man[Product_ID], a.nike.original.man[Rating_Group], "Not Found")</f>
        <v>4 - 5</v>
      </c>
      <c r="D181">
        <f>_xlfn.XLOOKUP(b.nike.views[[#This Row],[product_ID]], a.nike.original.man[Product_ID], a.nike.original.man[Rating], "Not Found")</f>
        <v>4.4000000000000004</v>
      </c>
      <c r="E181" s="10">
        <f>ROUND(_xlfn.XLOOKUP(b.nike.views[[#This Row],[product_ID]], a.nike.original.man[Product_ID], a.nike.original.man[Sale Price], "Not Found"), 0)</f>
        <v>170</v>
      </c>
      <c r="F181" s="5" t="str" cm="1">
        <f t="array" ref="F181">_xlfn.IFS(b.nike.views[[#This Row],[Sales_Price]]&lt;=9, "under $10",b.nike.views[[#This Row],[Sales_Price]]&lt;=20, "$20 and under",b.nike.views[[#This Row],[Sales_Price]]&lt;=50, "$50 and under", b.nike.views[[#This Row],[Sales_Price]]&lt;=99, "under $100", b.nike.views[[#This Row],[Sales_Price]]&gt;=100, "$100 +")</f>
        <v>$100 +</v>
      </c>
      <c r="G181">
        <f>COUNTIF(a.nike.original.man[Product_ID], A181)</f>
        <v>1</v>
      </c>
      <c r="H181" t="str" cm="1">
        <f t="array" ref="H181">_xlfn.IFS(b.nike.views[[#This Row],[Review_Count]]&lt;=7, "Below Average",b.nike.views[[#This Row],[Review_Count]]&gt;=8, "Average +")</f>
        <v>Average +</v>
      </c>
      <c r="I181">
        <f>SUMIF(a.nike.original.man[Product_ID],b.nike.views[[#This Row],[product_ID]], a.nike.original.man[Reviews])</f>
        <v>48</v>
      </c>
      <c r="J181" s="41">
        <f>_xlfn.XLOOKUP(b.nike.views[[#This Row],[product_ID]],a.nike.original.man[Product_ID], a.nike.original.man[Discount %], "Not Found")</f>
        <v>0</v>
      </c>
      <c r="K181" s="41"/>
      <c r="L181" t="s">
        <v>1470</v>
      </c>
    </row>
    <row r="182" spans="1:12" x14ac:dyDescent="0.2">
      <c r="A182" t="s">
        <v>302</v>
      </c>
      <c r="B182" t="str">
        <f>_xlfn.XLOOKUP(b.nike.views[[#This Row],[product_ID]], a.nike.original.man[Product_ID], a.nike.original.man[Product Name], "Not Found")</f>
        <v>Jordan Proto-Max 720</v>
      </c>
      <c r="C182" s="5" t="str">
        <f>_xlfn.XLOOKUP(b.nike.views[[#This Row],[product_ID]], a.nike.original.man[Product_ID], a.nike.original.man[Rating_Group], "Not Found")</f>
        <v>4 - 5</v>
      </c>
      <c r="D182">
        <f>_xlfn.XLOOKUP(b.nike.views[[#This Row],[product_ID]], a.nike.original.man[Product_ID], a.nike.original.man[Rating], "Not Found")</f>
        <v>4.4000000000000004</v>
      </c>
      <c r="E182" s="10">
        <f>ROUND(_xlfn.XLOOKUP(b.nike.views[[#This Row],[product_ID]], a.nike.original.man[Product_ID], a.nike.original.man[Sale Price], "Not Found"), 0)</f>
        <v>128</v>
      </c>
      <c r="F182" s="5" t="str" cm="1">
        <f t="array" ref="F182">_xlfn.IFS(b.nike.views[[#This Row],[Sales_Price]]&lt;=9, "under $10",b.nike.views[[#This Row],[Sales_Price]]&lt;=20, "$20 and under",b.nike.views[[#This Row],[Sales_Price]]&lt;=50, "$50 and under", b.nike.views[[#This Row],[Sales_Price]]&lt;=99, "under $100", b.nike.views[[#This Row],[Sales_Price]]&gt;=100, "$100 +")</f>
        <v>$100 +</v>
      </c>
      <c r="G182">
        <f>COUNTIF(a.nike.original.man[Product_ID], A182)</f>
        <v>2</v>
      </c>
      <c r="H182" t="str" cm="1">
        <f t="array" ref="H182">_xlfn.IFS(b.nike.views[[#This Row],[Review_Count]]&lt;=7, "Below Average",b.nike.views[[#This Row],[Review_Count]]&gt;=8, "Average +")</f>
        <v>Average +</v>
      </c>
      <c r="I182">
        <f>SUMIF(a.nike.original.man[Product_ID],b.nike.views[[#This Row],[product_ID]], a.nike.original.man[Reviews])</f>
        <v>36</v>
      </c>
      <c r="J182" s="41">
        <f>_xlfn.XLOOKUP(b.nike.views[[#This Row],[product_ID]],a.nike.original.man[Product_ID], a.nike.original.man[Discount %], "Not Found")</f>
        <v>0.2</v>
      </c>
      <c r="K182" s="41"/>
      <c r="L182" t="s">
        <v>1470</v>
      </c>
    </row>
    <row r="183" spans="1:12" x14ac:dyDescent="0.2">
      <c r="A183" t="s">
        <v>52</v>
      </c>
      <c r="B183" t="str">
        <f>_xlfn.XLOOKUP(b.nike.views[[#This Row],[product_ID]], a.nike.original.man[Product_ID], a.nike.original.man[Product Name], "Not Found")</f>
        <v>Nike Air Zoom SuperRep</v>
      </c>
      <c r="C183" s="5" t="str">
        <f>_xlfn.XLOOKUP(b.nike.views[[#This Row],[product_ID]], a.nike.original.man[Product_ID], a.nike.original.man[Rating_Group], "Not Found")</f>
        <v>4 - 5</v>
      </c>
      <c r="D183">
        <f>_xlfn.XLOOKUP(b.nike.views[[#This Row],[product_ID]], a.nike.original.man[Product_ID], a.nike.original.man[Rating], "Not Found")</f>
        <v>4.4000000000000004</v>
      </c>
      <c r="E183" s="10">
        <f>ROUND(_xlfn.XLOOKUP(b.nike.views[[#This Row],[product_ID]], a.nike.original.man[Product_ID], a.nike.original.man[Sale Price], "Not Found"), 0)</f>
        <v>100</v>
      </c>
      <c r="F183" s="5" t="str" cm="1">
        <f t="array" ref="F183">_xlfn.IFS(b.nike.views[[#This Row],[Sales_Price]]&lt;=9, "under $10",b.nike.views[[#This Row],[Sales_Price]]&lt;=20, "$20 and under",b.nike.views[[#This Row],[Sales_Price]]&lt;=50, "$50 and under", b.nike.views[[#This Row],[Sales_Price]]&lt;=99, "under $100", b.nike.views[[#This Row],[Sales_Price]]&gt;=100, "$100 +")</f>
        <v>$100 +</v>
      </c>
      <c r="G183">
        <f>COUNTIF(a.nike.original.man[Product_ID], A183)</f>
        <v>1</v>
      </c>
      <c r="H183" t="str" cm="1">
        <f t="array" ref="H183">_xlfn.IFS(b.nike.views[[#This Row],[Review_Count]]&lt;=7, "Below Average",b.nike.views[[#This Row],[Review_Count]]&gt;=8, "Average +")</f>
        <v>Average +</v>
      </c>
      <c r="I183">
        <f>SUMIF(a.nike.original.man[Product_ID],b.nike.views[[#This Row],[product_ID]], a.nike.original.man[Reviews])</f>
        <v>34</v>
      </c>
      <c r="J183" s="41">
        <f>_xlfn.XLOOKUP(b.nike.views[[#This Row],[product_ID]],a.nike.original.man[Product_ID], a.nike.original.man[Discount %], "Not Found")</f>
        <v>0</v>
      </c>
      <c r="K183" s="41"/>
      <c r="L183" t="s">
        <v>1470</v>
      </c>
    </row>
    <row r="184" spans="1:12" x14ac:dyDescent="0.2">
      <c r="A184" t="s">
        <v>441</v>
      </c>
      <c r="B184" t="str">
        <f>_xlfn.XLOOKUP(b.nike.views[[#This Row],[product_ID]], a.nike.original.man[Product_ID], a.nike.original.man[Product Name], "Not Found")</f>
        <v>Nike Odyssey React</v>
      </c>
      <c r="C184" s="5" t="str">
        <f>_xlfn.XLOOKUP(b.nike.views[[#This Row],[product_ID]], a.nike.original.man[Product_ID], a.nike.original.man[Rating_Group], "Not Found")</f>
        <v>4 - 5</v>
      </c>
      <c r="D184">
        <f>_xlfn.XLOOKUP(b.nike.views[[#This Row],[product_ID]], a.nike.original.man[Product_ID], a.nike.original.man[Rating], "Not Found")</f>
        <v>4.4000000000000004</v>
      </c>
      <c r="E184" s="10">
        <f>ROUND(_xlfn.XLOOKUP(b.nike.views[[#This Row],[product_ID]], a.nike.original.man[Product_ID], a.nike.original.man[Sale Price], "Not Found"), 0)</f>
        <v>96</v>
      </c>
      <c r="F184" s="5" t="str" cm="1">
        <f t="array" ref="F184">_xlfn.IFS(b.nike.views[[#This Row],[Sales_Price]]&lt;=9, "under $10",b.nike.views[[#This Row],[Sales_Price]]&lt;=20, "$20 and under",b.nike.views[[#This Row],[Sales_Price]]&lt;=50, "$50 and under", b.nike.views[[#This Row],[Sales_Price]]&lt;=99, "under $100", b.nike.views[[#This Row],[Sales_Price]]&gt;=100, "$100 +")</f>
        <v>under $100</v>
      </c>
      <c r="G184">
        <f>COUNTIF(a.nike.original.man[Product_ID], A184)</f>
        <v>1</v>
      </c>
      <c r="H184" t="str" cm="1">
        <f t="array" ref="H184">_xlfn.IFS(b.nike.views[[#This Row],[Review_Count]]&lt;=7, "Below Average",b.nike.views[[#This Row],[Review_Count]]&gt;=8, "Average +")</f>
        <v>Average +</v>
      </c>
      <c r="I184">
        <f>SUMIF(a.nike.original.man[Product_ID],b.nike.views[[#This Row],[product_ID]], a.nike.original.man[Reviews])</f>
        <v>27</v>
      </c>
      <c r="J184" s="41">
        <f>_xlfn.XLOOKUP(b.nike.views[[#This Row],[product_ID]],a.nike.original.man[Product_ID], a.nike.original.man[Discount %], "Not Found")</f>
        <v>0.2</v>
      </c>
      <c r="K184" s="41"/>
      <c r="L184" t="s">
        <v>1470</v>
      </c>
    </row>
    <row r="185" spans="1:12" x14ac:dyDescent="0.2">
      <c r="A185" t="s">
        <v>1081</v>
      </c>
      <c r="B185" t="str">
        <f>_xlfn.XLOOKUP(b.nike.views[[#This Row],[product_ID]], a.nike.original.man[Product_ID], a.nike.original.man[Product Name], "Not Found")</f>
        <v>Nike Joyride Run Flyknit</v>
      </c>
      <c r="C185" s="5" t="str">
        <f>_xlfn.XLOOKUP(b.nike.views[[#This Row],[product_ID]], a.nike.original.man[Product_ID], a.nike.original.man[Rating_Group], "Not Found")</f>
        <v>4 - 5</v>
      </c>
      <c r="D185">
        <f>_xlfn.XLOOKUP(b.nike.views[[#This Row],[product_ID]], a.nike.original.man[Product_ID], a.nike.original.man[Rating], "Not Found")</f>
        <v>4.4000000000000004</v>
      </c>
      <c r="E185" s="10">
        <f>ROUND(_xlfn.XLOOKUP(b.nike.views[[#This Row],[product_ID]], a.nike.original.man[Product_ID], a.nike.original.man[Sale Price], "Not Found"), 0)</f>
        <v>120</v>
      </c>
      <c r="F185" s="5" t="str" cm="1">
        <f t="array" ref="F185">_xlfn.IFS(b.nike.views[[#This Row],[Sales_Price]]&lt;=9, "under $10",b.nike.views[[#This Row],[Sales_Price]]&lt;=20, "$20 and under",b.nike.views[[#This Row],[Sales_Price]]&lt;=50, "$50 and under", b.nike.views[[#This Row],[Sales_Price]]&lt;=99, "under $100", b.nike.views[[#This Row],[Sales_Price]]&gt;=100, "$100 +")</f>
        <v>$100 +</v>
      </c>
      <c r="G185">
        <f>COUNTIF(a.nike.original.man[Product_ID], A185)</f>
        <v>1</v>
      </c>
      <c r="H185" t="str" cm="1">
        <f t="array" ref="H185">_xlfn.IFS(b.nike.views[[#This Row],[Review_Count]]&lt;=7, "Below Average",b.nike.views[[#This Row],[Review_Count]]&gt;=8, "Average +")</f>
        <v>Average +</v>
      </c>
      <c r="I185">
        <f>SUMIF(a.nike.original.man[Product_ID],b.nike.views[[#This Row],[product_ID]], a.nike.original.man[Reviews])</f>
        <v>26</v>
      </c>
      <c r="J185" s="41">
        <f>_xlfn.XLOOKUP(b.nike.views[[#This Row],[product_ID]],a.nike.original.man[Product_ID], a.nike.original.man[Discount %], "Not Found")</f>
        <v>0.2</v>
      </c>
      <c r="K185" s="41"/>
      <c r="L185" t="s">
        <v>1470</v>
      </c>
    </row>
    <row r="186" spans="1:12" x14ac:dyDescent="0.2">
      <c r="A186" t="s">
        <v>846</v>
      </c>
      <c r="B186" t="str">
        <f>_xlfn.XLOOKUP(b.nike.views[[#This Row],[product_ID]], a.nike.original.man[Product_ID], a.nike.original.man[Product Name], "Not Found")</f>
        <v>Air Jordan 11 Retro Low</v>
      </c>
      <c r="C186" s="5" t="str">
        <f>_xlfn.XLOOKUP(b.nike.views[[#This Row],[product_ID]], a.nike.original.man[Product_ID], a.nike.original.man[Rating_Group], "Not Found")</f>
        <v>4 - 5</v>
      </c>
      <c r="D186">
        <f>_xlfn.XLOOKUP(b.nike.views[[#This Row],[product_ID]], a.nike.original.man[Product_ID], a.nike.original.man[Rating], "Not Found")</f>
        <v>4.4000000000000004</v>
      </c>
      <c r="E186" s="10">
        <f>ROUND(_xlfn.XLOOKUP(b.nike.views[[#This Row],[product_ID]], a.nike.original.man[Product_ID], a.nike.original.man[Sale Price], "Not Found"), 0)</f>
        <v>119</v>
      </c>
      <c r="F186" s="5" t="str" cm="1">
        <f t="array" ref="F186">_xlfn.IFS(b.nike.views[[#This Row],[Sales_Price]]&lt;=9, "under $10",b.nike.views[[#This Row],[Sales_Price]]&lt;=20, "$20 and under",b.nike.views[[#This Row],[Sales_Price]]&lt;=50, "$50 and under", b.nike.views[[#This Row],[Sales_Price]]&lt;=99, "under $100", b.nike.views[[#This Row],[Sales_Price]]&gt;=100, "$100 +")</f>
        <v>$100 +</v>
      </c>
      <c r="G186">
        <f>COUNTIF(a.nike.original.man[Product_ID], A186)</f>
        <v>1</v>
      </c>
      <c r="H186" t="str" cm="1">
        <f t="array" ref="H186">_xlfn.IFS(b.nike.views[[#This Row],[Review_Count]]&lt;=7, "Below Average",b.nike.views[[#This Row],[Review_Count]]&gt;=8, "Average +")</f>
        <v>Average +</v>
      </c>
      <c r="I186">
        <f>SUMIF(a.nike.original.man[Product_ID],b.nike.views[[#This Row],[product_ID]], a.nike.original.man[Reviews])</f>
        <v>25</v>
      </c>
      <c r="J186" s="41">
        <f>_xlfn.XLOOKUP(b.nike.views[[#This Row],[product_ID]],a.nike.original.man[Product_ID], a.nike.original.man[Discount %], "Not Found")</f>
        <v>0.3</v>
      </c>
      <c r="K186" s="41"/>
      <c r="L186" t="s">
        <v>1470</v>
      </c>
    </row>
    <row r="187" spans="1:12" x14ac:dyDescent="0.2">
      <c r="A187" t="s">
        <v>73</v>
      </c>
      <c r="B187" t="str">
        <f>_xlfn.XLOOKUP(b.nike.views[[#This Row],[product_ID]], a.nike.original.man[Product_ID], a.nike.original.man[Product Name], "Not Found")</f>
        <v>Nike Metcon 5</v>
      </c>
      <c r="C187" s="5" t="str">
        <f>_xlfn.XLOOKUP(b.nike.views[[#This Row],[product_ID]], a.nike.original.man[Product_ID], a.nike.original.man[Rating_Group], "Not Found")</f>
        <v>4 - 5</v>
      </c>
      <c r="D187">
        <f>_xlfn.XLOOKUP(b.nike.views[[#This Row],[product_ID]], a.nike.original.man[Product_ID], a.nike.original.man[Rating], "Not Found")</f>
        <v>4.4000000000000004</v>
      </c>
      <c r="E187" s="10">
        <f>ROUND(_xlfn.XLOOKUP(b.nike.views[[#This Row],[product_ID]], a.nike.original.man[Product_ID], a.nike.original.man[Sale Price], "Not Found"), 0)</f>
        <v>110</v>
      </c>
      <c r="F187" s="5" t="str" cm="1">
        <f t="array" ref="F187">_xlfn.IFS(b.nike.views[[#This Row],[Sales_Price]]&lt;=9, "under $10",b.nike.views[[#This Row],[Sales_Price]]&lt;=20, "$20 and under",b.nike.views[[#This Row],[Sales_Price]]&lt;=50, "$50 and under", b.nike.views[[#This Row],[Sales_Price]]&lt;=99, "under $100", b.nike.views[[#This Row],[Sales_Price]]&gt;=100, "$100 +")</f>
        <v>$100 +</v>
      </c>
      <c r="G187">
        <f>COUNTIF(a.nike.original.man[Product_ID], A187)</f>
        <v>1</v>
      </c>
      <c r="H187" t="str" cm="1">
        <f t="array" ref="H187">_xlfn.IFS(b.nike.views[[#This Row],[Review_Count]]&lt;=7, "Below Average",b.nike.views[[#This Row],[Review_Count]]&gt;=8, "Average +")</f>
        <v>Average +</v>
      </c>
      <c r="I187">
        <f>SUMIF(a.nike.original.man[Product_ID],b.nike.views[[#This Row],[product_ID]], a.nike.original.man[Reviews])</f>
        <v>22</v>
      </c>
      <c r="J187" s="41">
        <f>_xlfn.XLOOKUP(b.nike.views[[#This Row],[product_ID]],a.nike.original.man[Product_ID], a.nike.original.man[Discount %], "Not Found")</f>
        <v>0</v>
      </c>
      <c r="K187" s="41"/>
      <c r="L187" t="s">
        <v>1470</v>
      </c>
    </row>
    <row r="188" spans="1:12" x14ac:dyDescent="0.2">
      <c r="A188" t="s">
        <v>776</v>
      </c>
      <c r="B188" t="str">
        <f>_xlfn.XLOOKUP(b.nike.views[[#This Row],[product_ID]], a.nike.original.man[Product_ID], a.nike.original.man[Product Name], "Not Found")</f>
        <v>Kyrie 6 'Enlightenment'</v>
      </c>
      <c r="C188" s="5" t="str">
        <f>_xlfn.XLOOKUP(b.nike.views[[#This Row],[product_ID]], a.nike.original.man[Product_ID], a.nike.original.man[Rating_Group], "Not Found")</f>
        <v>4 - 5</v>
      </c>
      <c r="D188">
        <f>_xlfn.XLOOKUP(b.nike.views[[#This Row],[product_ID]], a.nike.original.man[Product_ID], a.nike.original.man[Rating], "Not Found")</f>
        <v>4.4000000000000004</v>
      </c>
      <c r="E188" s="10">
        <f>ROUND(_xlfn.XLOOKUP(b.nike.views[[#This Row],[product_ID]], a.nike.original.man[Product_ID], a.nike.original.man[Sale Price], "Not Found"), 0)</f>
        <v>88</v>
      </c>
      <c r="F188" s="5" t="str" cm="1">
        <f t="array" ref="F188">_xlfn.IFS(b.nike.views[[#This Row],[Sales_Price]]&lt;=9, "under $10",b.nike.views[[#This Row],[Sales_Price]]&lt;=20, "$20 and under",b.nike.views[[#This Row],[Sales_Price]]&lt;=50, "$50 and under", b.nike.views[[#This Row],[Sales_Price]]&lt;=99, "under $100", b.nike.views[[#This Row],[Sales_Price]]&gt;=100, "$100 +")</f>
        <v>under $100</v>
      </c>
      <c r="G188">
        <f>COUNTIF(a.nike.original.man[Product_ID], A188)</f>
        <v>2</v>
      </c>
      <c r="H188" t="str" cm="1">
        <f t="array" ref="H188">_xlfn.IFS(b.nike.views[[#This Row],[Review_Count]]&lt;=7, "Below Average",b.nike.views[[#This Row],[Review_Count]]&gt;=8, "Average +")</f>
        <v>Average +</v>
      </c>
      <c r="I188">
        <f>SUMIF(a.nike.original.man[Product_ID],b.nike.views[[#This Row],[product_ID]], a.nike.original.man[Reviews])</f>
        <v>20</v>
      </c>
      <c r="J188" s="41">
        <f>_xlfn.XLOOKUP(b.nike.views[[#This Row],[product_ID]],a.nike.original.man[Product_ID], a.nike.original.man[Discount %], "Not Found")</f>
        <v>0.2</v>
      </c>
      <c r="K188" s="41"/>
      <c r="L188" t="s">
        <v>1470</v>
      </c>
    </row>
    <row r="189" spans="1:12" x14ac:dyDescent="0.2">
      <c r="A189" t="s">
        <v>917</v>
      </c>
      <c r="B189" t="str">
        <f>_xlfn.XLOOKUP(b.nike.views[[#This Row],[product_ID]], a.nike.original.man[Product_ID], a.nike.original.man[Product Name], "Not Found")</f>
        <v>Nike Air Zoom Pegasus 36</v>
      </c>
      <c r="C189" s="5" t="str">
        <f>_xlfn.XLOOKUP(b.nike.views[[#This Row],[product_ID]], a.nike.original.man[Product_ID], a.nike.original.man[Rating_Group], "Not Found")</f>
        <v>4 - 5</v>
      </c>
      <c r="D189">
        <f>_xlfn.XLOOKUP(b.nike.views[[#This Row],[product_ID]], a.nike.original.man[Product_ID], a.nike.original.man[Rating], "Not Found")</f>
        <v>4.4000000000000004</v>
      </c>
      <c r="E189" s="10">
        <f>ROUND(_xlfn.XLOOKUP(b.nike.views[[#This Row],[product_ID]], a.nike.original.man[Product_ID], a.nike.original.man[Sale Price], "Not Found"), 0)</f>
        <v>100</v>
      </c>
      <c r="F189" s="5" t="str" cm="1">
        <f t="array" ref="F189">_xlfn.IFS(b.nike.views[[#This Row],[Sales_Price]]&lt;=9, "under $10",b.nike.views[[#This Row],[Sales_Price]]&lt;=20, "$20 and under",b.nike.views[[#This Row],[Sales_Price]]&lt;=50, "$50 and under", b.nike.views[[#This Row],[Sales_Price]]&lt;=99, "under $100", b.nike.views[[#This Row],[Sales_Price]]&gt;=100, "$100 +")</f>
        <v>$100 +</v>
      </c>
      <c r="G189">
        <f>COUNTIF(a.nike.original.man[Product_ID], A189)</f>
        <v>1</v>
      </c>
      <c r="H189" t="str" cm="1">
        <f t="array" ref="H189">_xlfn.IFS(b.nike.views[[#This Row],[Review_Count]]&lt;=7, "Below Average",b.nike.views[[#This Row],[Review_Count]]&gt;=8, "Average +")</f>
        <v>Average +</v>
      </c>
      <c r="I189">
        <f>SUMIF(a.nike.original.man[Product_ID],b.nike.views[[#This Row],[product_ID]], a.nike.original.man[Reviews])</f>
        <v>19</v>
      </c>
      <c r="J189" s="41">
        <f>_xlfn.XLOOKUP(b.nike.views[[#This Row],[product_ID]],a.nike.original.man[Product_ID], a.nike.original.man[Discount %], "Not Found")</f>
        <v>0</v>
      </c>
      <c r="K189" s="41"/>
      <c r="L189" t="s">
        <v>1470</v>
      </c>
    </row>
    <row r="190" spans="1:12" x14ac:dyDescent="0.2">
      <c r="A190" t="s">
        <v>587</v>
      </c>
      <c r="B190" t="str">
        <f>_xlfn.XLOOKUP(b.nike.views[[#This Row],[product_ID]], a.nike.original.man[Product_ID], a.nike.original.man[Product Name], "Not Found")</f>
        <v>Nike Epic Phantom React Flyknit</v>
      </c>
      <c r="C190" s="5" t="str">
        <f>_xlfn.XLOOKUP(b.nike.views[[#This Row],[product_ID]], a.nike.original.man[Product_ID], a.nike.original.man[Rating_Group], "Not Found")</f>
        <v>4 - 5</v>
      </c>
      <c r="D190">
        <f>_xlfn.XLOOKUP(b.nike.views[[#This Row],[product_ID]], a.nike.original.man[Product_ID], a.nike.original.man[Rating], "Not Found")</f>
        <v>4.4000000000000004</v>
      </c>
      <c r="E190" s="10">
        <f>ROUND(_xlfn.XLOOKUP(b.nike.views[[#This Row],[product_ID]], a.nike.original.man[Product_ID], a.nike.original.man[Sale Price], "Not Found"), 0)</f>
        <v>78</v>
      </c>
      <c r="F190" s="5" t="str" cm="1">
        <f t="array" ref="F190">_xlfn.IFS(b.nike.views[[#This Row],[Sales_Price]]&lt;=9, "under $10",b.nike.views[[#This Row],[Sales_Price]]&lt;=20, "$20 and under",b.nike.views[[#This Row],[Sales_Price]]&lt;=50, "$50 and under", b.nike.views[[#This Row],[Sales_Price]]&lt;=99, "under $100", b.nike.views[[#This Row],[Sales_Price]]&gt;=100, "$100 +")</f>
        <v>under $100</v>
      </c>
      <c r="G190">
        <f>COUNTIF(a.nike.original.man[Product_ID], A190)</f>
        <v>1</v>
      </c>
      <c r="H190" t="str" cm="1">
        <f t="array" ref="H190">_xlfn.IFS(b.nike.views[[#This Row],[Review_Count]]&lt;=7, "Below Average",b.nike.views[[#This Row],[Review_Count]]&gt;=8, "Average +")</f>
        <v>Average +</v>
      </c>
      <c r="I190">
        <f>SUMIF(a.nike.original.man[Product_ID],b.nike.views[[#This Row],[product_ID]], a.nike.original.man[Reviews])</f>
        <v>12</v>
      </c>
      <c r="J190" s="41">
        <f>_xlfn.XLOOKUP(b.nike.views[[#This Row],[product_ID]],a.nike.original.man[Product_ID], a.nike.original.man[Discount %], "Not Found")</f>
        <v>0.4</v>
      </c>
      <c r="K190" s="41"/>
      <c r="L190" t="s">
        <v>1470</v>
      </c>
    </row>
    <row r="191" spans="1:12" x14ac:dyDescent="0.2">
      <c r="A191" t="s">
        <v>1001</v>
      </c>
      <c r="B191" t="str">
        <f>_xlfn.XLOOKUP(b.nike.views[[#This Row],[product_ID]], a.nike.original.man[Product_ID], a.nike.original.man[Product Name], "Not Found")</f>
        <v>Nike Air Max 270 Flyknit</v>
      </c>
      <c r="C191" s="5" t="str">
        <f>_xlfn.XLOOKUP(b.nike.views[[#This Row],[product_ID]], a.nike.original.man[Product_ID], a.nike.original.man[Rating_Group], "Not Found")</f>
        <v>4 - 5</v>
      </c>
      <c r="D191">
        <f>_xlfn.XLOOKUP(b.nike.views[[#This Row],[product_ID]], a.nike.original.man[Product_ID], a.nike.original.man[Rating], "Not Found")</f>
        <v>4.4000000000000004</v>
      </c>
      <c r="E191" s="10">
        <f>ROUND(_xlfn.XLOOKUP(b.nike.views[[#This Row],[product_ID]], a.nike.original.man[Product_ID], a.nike.original.man[Sale Price], "Not Found"), 0)</f>
        <v>160</v>
      </c>
      <c r="F191" s="5" t="str" cm="1">
        <f t="array" ref="F191">_xlfn.IFS(b.nike.views[[#This Row],[Sales_Price]]&lt;=9, "under $10",b.nike.views[[#This Row],[Sales_Price]]&lt;=20, "$20 and under",b.nike.views[[#This Row],[Sales_Price]]&lt;=50, "$50 and under", b.nike.views[[#This Row],[Sales_Price]]&lt;=99, "under $100", b.nike.views[[#This Row],[Sales_Price]]&gt;=100, "$100 +")</f>
        <v>$100 +</v>
      </c>
      <c r="G191">
        <f>COUNTIF(a.nike.original.man[Product_ID], A191)</f>
        <v>1</v>
      </c>
      <c r="H191" t="str" cm="1">
        <f t="array" ref="H191">_xlfn.IFS(b.nike.views[[#This Row],[Review_Count]]&lt;=7, "Below Average",b.nike.views[[#This Row],[Review_Count]]&gt;=8, "Average +")</f>
        <v>Average +</v>
      </c>
      <c r="I191">
        <f>SUMIF(a.nike.original.man[Product_ID],b.nike.views[[#This Row],[product_ID]], a.nike.original.man[Reviews])</f>
        <v>10</v>
      </c>
      <c r="J191" s="41">
        <f>_xlfn.XLOOKUP(b.nike.views[[#This Row],[product_ID]],a.nike.original.man[Product_ID], a.nike.original.man[Discount %], "Not Found")</f>
        <v>0</v>
      </c>
      <c r="K191" s="41"/>
      <c r="L191" t="s">
        <v>1470</v>
      </c>
    </row>
    <row r="192" spans="1:12" x14ac:dyDescent="0.2">
      <c r="A192" t="s">
        <v>882</v>
      </c>
      <c r="B192" t="str">
        <f>_xlfn.XLOOKUP(b.nike.views[[#This Row],[product_ID]], a.nike.original.man[Product_ID], a.nike.original.man[Product Name], "Not Found")</f>
        <v>Nike Cortez '72 S.D.</v>
      </c>
      <c r="C192" s="5" t="str">
        <f>_xlfn.XLOOKUP(b.nike.views[[#This Row],[product_ID]], a.nike.original.man[Product_ID], a.nike.original.man[Rating_Group], "Not Found")</f>
        <v>4 - 5</v>
      </c>
      <c r="D192">
        <f>_xlfn.XLOOKUP(b.nike.views[[#This Row],[product_ID]], a.nike.original.man[Product_ID], a.nike.original.man[Rating], "Not Found")</f>
        <v>4.4000000000000004</v>
      </c>
      <c r="E192" s="10">
        <f>ROUND(_xlfn.XLOOKUP(b.nike.views[[#This Row],[product_ID]], a.nike.original.man[Product_ID], a.nike.original.man[Sale Price], "Not Found"), 0)</f>
        <v>48</v>
      </c>
      <c r="F192" s="5" t="str" cm="1">
        <f t="array" ref="F192">_xlfn.IFS(b.nike.views[[#This Row],[Sales_Price]]&lt;=9, "under $10",b.nike.views[[#This Row],[Sales_Price]]&lt;=20, "$20 and under",b.nike.views[[#This Row],[Sales_Price]]&lt;=50, "$50 and under", b.nike.views[[#This Row],[Sales_Price]]&lt;=99, "under $100", b.nike.views[[#This Row],[Sales_Price]]&gt;=100, "$100 +")</f>
        <v>$50 and under</v>
      </c>
      <c r="G192">
        <f>COUNTIF(a.nike.original.man[Product_ID], A192)</f>
        <v>1</v>
      </c>
      <c r="H192" t="str" cm="1">
        <f t="array" ref="H192">_xlfn.IFS(b.nike.views[[#This Row],[Review_Count]]&lt;=7, "Below Average",b.nike.views[[#This Row],[Review_Count]]&gt;=8, "Average +")</f>
        <v>Average +</v>
      </c>
      <c r="I192">
        <f>SUMIF(a.nike.original.man[Product_ID],b.nike.views[[#This Row],[product_ID]], a.nike.original.man[Reviews])</f>
        <v>9</v>
      </c>
      <c r="J192" s="41">
        <f>_xlfn.XLOOKUP(b.nike.views[[#This Row],[product_ID]],a.nike.original.man[Product_ID], a.nike.original.man[Discount %], "Not Found")</f>
        <v>0.4</v>
      </c>
      <c r="K192" s="41"/>
      <c r="L192" t="s">
        <v>1470</v>
      </c>
    </row>
    <row r="193" spans="1:12" x14ac:dyDescent="0.2">
      <c r="A193" t="s">
        <v>469</v>
      </c>
      <c r="B193" t="str">
        <f>_xlfn.XLOOKUP(b.nike.views[[#This Row],[product_ID]], a.nike.original.man[Product_ID], a.nike.original.man[Product Name], "Not Found")</f>
        <v>Nike M2K Tekno</v>
      </c>
      <c r="C193" s="5" t="str">
        <f>_xlfn.XLOOKUP(b.nike.views[[#This Row],[product_ID]], a.nike.original.man[Product_ID], a.nike.original.man[Rating_Group], "Not Found")</f>
        <v>4 - 5</v>
      </c>
      <c r="D193">
        <f>_xlfn.XLOOKUP(b.nike.views[[#This Row],[product_ID]], a.nike.original.man[Product_ID], a.nike.original.man[Rating], "Not Found")</f>
        <v>4.4000000000000004</v>
      </c>
      <c r="E193" s="10">
        <f>ROUND(_xlfn.XLOOKUP(b.nike.views[[#This Row],[product_ID]], a.nike.original.man[Product_ID], a.nike.original.man[Sale Price], "Not Found"), 0)</f>
        <v>72</v>
      </c>
      <c r="F193" s="5" t="str" cm="1">
        <f t="array" ref="F193">_xlfn.IFS(b.nike.views[[#This Row],[Sales_Price]]&lt;=9, "under $10",b.nike.views[[#This Row],[Sales_Price]]&lt;=20, "$20 and under",b.nike.views[[#This Row],[Sales_Price]]&lt;=50, "$50 and under", b.nike.views[[#This Row],[Sales_Price]]&lt;=99, "under $100", b.nike.views[[#This Row],[Sales_Price]]&gt;=100, "$100 +")</f>
        <v>under $100</v>
      </c>
      <c r="G193">
        <f>COUNTIF(a.nike.original.man[Product_ID], A193)</f>
        <v>1</v>
      </c>
      <c r="H193" t="str" cm="1">
        <f t="array" ref="H193">_xlfn.IFS(b.nike.views[[#This Row],[Review_Count]]&lt;=7, "Below Average",b.nike.views[[#This Row],[Review_Count]]&gt;=8, "Average +")</f>
        <v>Below Average</v>
      </c>
      <c r="I193">
        <f>SUMIF(a.nike.original.man[Product_ID],b.nike.views[[#This Row],[product_ID]], a.nike.original.man[Reviews])</f>
        <v>7</v>
      </c>
      <c r="J193" s="41">
        <f>_xlfn.XLOOKUP(b.nike.views[[#This Row],[product_ID]],a.nike.original.man[Product_ID], a.nike.original.man[Discount %], "Not Found")</f>
        <v>0.2</v>
      </c>
      <c r="K193" s="41"/>
      <c r="L193" t="s">
        <v>1470</v>
      </c>
    </row>
    <row r="194" spans="1:12" x14ac:dyDescent="0.2">
      <c r="A194" t="s">
        <v>455</v>
      </c>
      <c r="B194" t="str">
        <f>_xlfn.XLOOKUP(b.nike.views[[#This Row],[product_ID]], a.nike.original.man[Product_ID], a.nike.original.man[Product Name], "Not Found")</f>
        <v>LeBron 7</v>
      </c>
      <c r="C194" s="5" t="str">
        <f>_xlfn.XLOOKUP(b.nike.views[[#This Row],[product_ID]], a.nike.original.man[Product_ID], a.nike.original.man[Rating_Group], "Not Found")</f>
        <v>4 - 5</v>
      </c>
      <c r="D194">
        <f>_xlfn.XLOOKUP(b.nike.views[[#This Row],[product_ID]], a.nike.original.man[Product_ID], a.nike.original.man[Rating], "Not Found")</f>
        <v>4.4000000000000004</v>
      </c>
      <c r="E194" s="10">
        <f>ROUND(_xlfn.XLOOKUP(b.nike.views[[#This Row],[product_ID]], a.nike.original.man[Product_ID], a.nike.original.man[Sale Price], "Not Found"), 0)</f>
        <v>136</v>
      </c>
      <c r="F194" s="5" t="str" cm="1">
        <f t="array" ref="F194">_xlfn.IFS(b.nike.views[[#This Row],[Sales_Price]]&lt;=9, "under $10",b.nike.views[[#This Row],[Sales_Price]]&lt;=20, "$20 and under",b.nike.views[[#This Row],[Sales_Price]]&lt;=50, "$50 and under", b.nike.views[[#This Row],[Sales_Price]]&lt;=99, "under $100", b.nike.views[[#This Row],[Sales_Price]]&gt;=100, "$100 +")</f>
        <v>$100 +</v>
      </c>
      <c r="G194">
        <f>COUNTIF(a.nike.original.man[Product_ID], A194)</f>
        <v>1</v>
      </c>
      <c r="H194" t="str" cm="1">
        <f t="array" ref="H194">_xlfn.IFS(b.nike.views[[#This Row],[Review_Count]]&lt;=7, "Below Average",b.nike.views[[#This Row],[Review_Count]]&gt;=8, "Average +")</f>
        <v>Below Average</v>
      </c>
      <c r="I194">
        <f>SUMIF(a.nike.original.man[Product_ID],b.nike.views[[#This Row],[product_ID]], a.nike.original.man[Reviews])</f>
        <v>7</v>
      </c>
      <c r="J194" s="41">
        <f>_xlfn.XLOOKUP(b.nike.views[[#This Row],[product_ID]],a.nike.original.man[Product_ID], a.nike.original.man[Discount %], "Not Found")</f>
        <v>0.2</v>
      </c>
      <c r="K194" s="41"/>
      <c r="L194" t="s">
        <v>1470</v>
      </c>
    </row>
    <row r="195" spans="1:12" x14ac:dyDescent="0.2">
      <c r="A195" t="s">
        <v>335</v>
      </c>
      <c r="B195" t="str">
        <f>_xlfn.XLOOKUP(b.nike.views[[#This Row],[product_ID]], a.nike.original.man[Product_ID], a.nike.original.man[Product Name], "Not Found")</f>
        <v>Nike Air DSVM</v>
      </c>
      <c r="C195" s="5" t="str">
        <f>_xlfn.XLOOKUP(b.nike.views[[#This Row],[product_ID]], a.nike.original.man[Product_ID], a.nike.original.man[Rating_Group], "Not Found")</f>
        <v>4 - 5</v>
      </c>
      <c r="D195">
        <f>_xlfn.XLOOKUP(b.nike.views[[#This Row],[product_ID]], a.nike.original.man[Product_ID], a.nike.original.man[Rating], "Not Found")</f>
        <v>4.4000000000000004</v>
      </c>
      <c r="E195" s="10">
        <f>ROUND(_xlfn.XLOOKUP(b.nike.views[[#This Row],[product_ID]], a.nike.original.man[Product_ID], a.nike.original.man[Sale Price], "Not Found"), 0)</f>
        <v>96</v>
      </c>
      <c r="F195" s="5" t="str" cm="1">
        <f t="array" ref="F195">_xlfn.IFS(b.nike.views[[#This Row],[Sales_Price]]&lt;=9, "under $10",b.nike.views[[#This Row],[Sales_Price]]&lt;=20, "$20 and under",b.nike.views[[#This Row],[Sales_Price]]&lt;=50, "$50 and under", b.nike.views[[#This Row],[Sales_Price]]&lt;=99, "under $100", b.nike.views[[#This Row],[Sales_Price]]&gt;=100, "$100 +")</f>
        <v>under $100</v>
      </c>
      <c r="G195">
        <f>COUNTIF(a.nike.original.man[Product_ID], A195)</f>
        <v>1</v>
      </c>
      <c r="H195" t="str" cm="1">
        <f t="array" ref="H195">_xlfn.IFS(b.nike.views[[#This Row],[Review_Count]]&lt;=7, "Below Average",b.nike.views[[#This Row],[Review_Count]]&gt;=8, "Average +")</f>
        <v>Below Average</v>
      </c>
      <c r="I195">
        <f>SUMIF(a.nike.original.man[Product_ID],b.nike.views[[#This Row],[product_ID]], a.nike.original.man[Reviews])</f>
        <v>7</v>
      </c>
      <c r="J195" s="41">
        <f>_xlfn.XLOOKUP(b.nike.views[[#This Row],[product_ID]],a.nike.original.man[Product_ID], a.nike.original.man[Discount %], "Not Found")</f>
        <v>0.4</v>
      </c>
      <c r="K195" s="41"/>
      <c r="L195" t="s">
        <v>1470</v>
      </c>
    </row>
    <row r="196" spans="1:12" x14ac:dyDescent="0.2">
      <c r="A196" t="s">
        <v>384</v>
      </c>
      <c r="B196" t="str">
        <f>_xlfn.XLOOKUP(b.nike.views[[#This Row],[product_ID]], a.nike.original.man[Product_ID], a.nike.original.man[Product Name], "Not Found")</f>
        <v>Nike MX-720-818</v>
      </c>
      <c r="C196" s="5" t="str">
        <f>_xlfn.XLOOKUP(b.nike.views[[#This Row],[product_ID]], a.nike.original.man[Product_ID], a.nike.original.man[Rating_Group], "Not Found")</f>
        <v>4 - 5</v>
      </c>
      <c r="D196">
        <f>_xlfn.XLOOKUP(b.nike.views[[#This Row],[product_ID]], a.nike.original.man[Product_ID], a.nike.original.man[Rating], "Not Found")</f>
        <v>4.4000000000000004</v>
      </c>
      <c r="E196" s="10">
        <f>ROUND(_xlfn.XLOOKUP(b.nike.views[[#This Row],[product_ID]], a.nike.original.man[Product_ID], a.nike.original.man[Sale Price], "Not Found"), 0)</f>
        <v>160</v>
      </c>
      <c r="F196" s="5" t="str" cm="1">
        <f t="array" ref="F196">_xlfn.IFS(b.nike.views[[#This Row],[Sales_Price]]&lt;=9, "under $10",b.nike.views[[#This Row],[Sales_Price]]&lt;=20, "$20 and under",b.nike.views[[#This Row],[Sales_Price]]&lt;=50, "$50 and under", b.nike.views[[#This Row],[Sales_Price]]&lt;=99, "under $100", b.nike.views[[#This Row],[Sales_Price]]&gt;=100, "$100 +")</f>
        <v>$100 +</v>
      </c>
      <c r="G196">
        <f>COUNTIF(a.nike.original.man[Product_ID], A196)</f>
        <v>1</v>
      </c>
      <c r="H196" t="str" cm="1">
        <f t="array" ref="H196">_xlfn.IFS(b.nike.views[[#This Row],[Review_Count]]&lt;=7, "Below Average",b.nike.views[[#This Row],[Review_Count]]&gt;=8, "Average +")</f>
        <v>Below Average</v>
      </c>
      <c r="I196">
        <f>SUMIF(a.nike.original.man[Product_ID],b.nike.views[[#This Row],[product_ID]], a.nike.original.man[Reviews])</f>
        <v>5</v>
      </c>
      <c r="J196" s="41">
        <f>_xlfn.XLOOKUP(b.nike.views[[#This Row],[product_ID]],a.nike.original.man[Product_ID], a.nike.original.man[Discount %], "Not Found")</f>
        <v>0</v>
      </c>
      <c r="K196" s="41"/>
      <c r="L196" t="s">
        <v>1470</v>
      </c>
    </row>
    <row r="197" spans="1:12" x14ac:dyDescent="0.2">
      <c r="A197" t="s">
        <v>635</v>
      </c>
      <c r="B197" t="str">
        <f>_xlfn.XLOOKUP(b.nike.views[[#This Row],[product_ID]], a.nike.original.man[Product_ID], a.nike.original.man[Product Name], "Not Found")</f>
        <v>Nike Air Force 1 '07 Essential</v>
      </c>
      <c r="C197" s="5" t="str">
        <f>_xlfn.XLOOKUP(b.nike.views[[#This Row],[product_ID]], a.nike.original.man[Product_ID], a.nike.original.man[Rating_Group], "Not Found")</f>
        <v>4 - 5</v>
      </c>
      <c r="D197">
        <f>_xlfn.XLOOKUP(b.nike.views[[#This Row],[product_ID]], a.nike.original.man[Product_ID], a.nike.original.man[Rating], "Not Found")</f>
        <v>4.4000000000000004</v>
      </c>
      <c r="E197" s="10">
        <f>ROUND(_xlfn.XLOOKUP(b.nike.views[[#This Row],[product_ID]], a.nike.original.man[Product_ID], a.nike.original.man[Sale Price], "Not Found"), 0)</f>
        <v>56</v>
      </c>
      <c r="F197" s="5" t="str" cm="1">
        <f t="array" ref="F197">_xlfn.IFS(b.nike.views[[#This Row],[Sales_Price]]&lt;=9, "under $10",b.nike.views[[#This Row],[Sales_Price]]&lt;=20, "$20 and under",b.nike.views[[#This Row],[Sales_Price]]&lt;=50, "$50 and under", b.nike.views[[#This Row],[Sales_Price]]&lt;=99, "under $100", b.nike.views[[#This Row],[Sales_Price]]&gt;=100, "$100 +")</f>
        <v>under $100</v>
      </c>
      <c r="G197">
        <f>COUNTIF(a.nike.original.man[Product_ID], A197)</f>
        <v>1</v>
      </c>
      <c r="H197" t="str" cm="1">
        <f t="array" ref="H197">_xlfn.IFS(b.nike.views[[#This Row],[Review_Count]]&lt;=7, "Below Average",b.nike.views[[#This Row],[Review_Count]]&gt;=8, "Average +")</f>
        <v>Below Average</v>
      </c>
      <c r="I197">
        <f>SUMIF(a.nike.original.man[Product_ID],b.nike.views[[#This Row],[product_ID]], a.nike.original.man[Reviews])</f>
        <v>5</v>
      </c>
      <c r="J197" s="41">
        <f>_xlfn.XLOOKUP(b.nike.views[[#This Row],[product_ID]],a.nike.original.man[Product_ID], a.nike.original.man[Discount %], "Not Found")</f>
        <v>0.3</v>
      </c>
      <c r="K197" s="41"/>
      <c r="L197" t="s">
        <v>1470</v>
      </c>
    </row>
    <row r="198" spans="1:12" x14ac:dyDescent="0.2">
      <c r="A198" t="s">
        <v>1071</v>
      </c>
      <c r="B198" t="str">
        <f>_xlfn.XLOOKUP(b.nike.views[[#This Row],[product_ID]], a.nike.original.man[Product_ID], a.nike.original.man[Product Name], "Not Found")</f>
        <v>Nike Air Max Dia Winter</v>
      </c>
      <c r="C198" s="5" t="str">
        <f>_xlfn.XLOOKUP(b.nike.views[[#This Row],[product_ID]], a.nike.original.man[Product_ID], a.nike.original.man[Rating_Group], "Not Found")</f>
        <v>4 - 5</v>
      </c>
      <c r="D198">
        <f>_xlfn.XLOOKUP(b.nike.views[[#This Row],[product_ID]], a.nike.original.man[Product_ID], a.nike.original.man[Rating], "Not Found")</f>
        <v>4.4000000000000004</v>
      </c>
      <c r="E198" s="10">
        <f>ROUND(_xlfn.XLOOKUP(b.nike.views[[#This Row],[product_ID]], a.nike.original.man[Product_ID], a.nike.original.man[Sale Price], "Not Found"), 0)</f>
        <v>110</v>
      </c>
      <c r="F198" s="5" t="str" cm="1">
        <f t="array" ref="F198">_xlfn.IFS(b.nike.views[[#This Row],[Sales_Price]]&lt;=9, "under $10",b.nike.views[[#This Row],[Sales_Price]]&lt;=20, "$20 and under",b.nike.views[[#This Row],[Sales_Price]]&lt;=50, "$50 and under", b.nike.views[[#This Row],[Sales_Price]]&lt;=99, "under $100", b.nike.views[[#This Row],[Sales_Price]]&gt;=100, "$100 +")</f>
        <v>$100 +</v>
      </c>
      <c r="G198">
        <f>COUNTIF(a.nike.original.man[Product_ID], A198)</f>
        <v>1</v>
      </c>
      <c r="H198" t="str" cm="1">
        <f t="array" ref="H198">_xlfn.IFS(b.nike.views[[#This Row],[Review_Count]]&lt;=7, "Below Average",b.nike.views[[#This Row],[Review_Count]]&gt;=8, "Average +")</f>
        <v>Below Average</v>
      </c>
      <c r="I198">
        <f>SUMIF(a.nike.original.man[Product_ID],b.nike.views[[#This Row],[product_ID]], a.nike.original.man[Reviews])</f>
        <v>5</v>
      </c>
      <c r="J198" s="41">
        <f>_xlfn.XLOOKUP(b.nike.views[[#This Row],[product_ID]],a.nike.original.man[Product_ID], a.nike.original.man[Discount %], "Not Found")</f>
        <v>0</v>
      </c>
      <c r="K198" s="41"/>
      <c r="L198" t="s">
        <v>1470</v>
      </c>
    </row>
    <row r="199" spans="1:12" x14ac:dyDescent="0.2">
      <c r="A199" t="s">
        <v>503</v>
      </c>
      <c r="B199" t="str">
        <f>_xlfn.XLOOKUP(b.nike.views[[#This Row],[product_ID]], a.nike.original.man[Product_ID], a.nike.original.man[Product Name], "Not Found")</f>
        <v>Nike Zoom Fly</v>
      </c>
      <c r="C199" s="5" t="str">
        <f>_xlfn.XLOOKUP(b.nike.views[[#This Row],[product_ID]], a.nike.original.man[Product_ID], a.nike.original.man[Rating_Group], "Not Found")</f>
        <v>4 - 5</v>
      </c>
      <c r="D199">
        <f>_xlfn.XLOOKUP(b.nike.views[[#This Row],[product_ID]], a.nike.original.man[Product_ID], a.nike.original.man[Rating], "Not Found")</f>
        <v>4.3</v>
      </c>
      <c r="E199" s="10">
        <f>ROUND(_xlfn.XLOOKUP(b.nike.views[[#This Row],[product_ID]], a.nike.original.man[Product_ID], a.nike.original.man[Sale Price], "Not Found"), 0)</f>
        <v>145</v>
      </c>
      <c r="F199" s="5" t="str" cm="1">
        <f t="array" ref="F199">_xlfn.IFS(b.nike.views[[#This Row],[Sales_Price]]&lt;=9, "under $10",b.nike.views[[#This Row],[Sales_Price]]&lt;=20, "$20 and under",b.nike.views[[#This Row],[Sales_Price]]&lt;=50, "$50 and under", b.nike.views[[#This Row],[Sales_Price]]&lt;=99, "under $100", b.nike.views[[#This Row],[Sales_Price]]&gt;=100, "$100 +")</f>
        <v>$100 +</v>
      </c>
      <c r="G199">
        <f>COUNTIF(a.nike.original.man[Product_ID], A199)</f>
        <v>1</v>
      </c>
      <c r="H199" t="str" cm="1">
        <f t="array" ref="H199">_xlfn.IFS(b.nike.views[[#This Row],[Review_Count]]&lt;=7, "Below Average",b.nike.views[[#This Row],[Review_Count]]&gt;=8, "Average +")</f>
        <v>Average +</v>
      </c>
      <c r="I199">
        <f>SUMIF(a.nike.original.man[Product_ID],b.nike.views[[#This Row],[product_ID]], a.nike.original.man[Reviews])</f>
        <v>105</v>
      </c>
      <c r="J199" s="41">
        <f>_xlfn.XLOOKUP(b.nike.views[[#This Row],[product_ID]],a.nike.original.man[Product_ID], a.nike.original.man[Discount %], "Not Found")</f>
        <v>0</v>
      </c>
      <c r="K199" s="41"/>
      <c r="L199" t="s">
        <v>1470</v>
      </c>
    </row>
    <row r="200" spans="1:12" x14ac:dyDescent="0.2">
      <c r="A200" t="s">
        <v>1162</v>
      </c>
      <c r="B200" t="str">
        <f>_xlfn.XLOOKUP(b.nike.views[[#This Row],[product_ID]], a.nike.original.man[Product_ID], a.nike.original.man[Product Name], "Not Found")</f>
        <v>Nike Air Max 97</v>
      </c>
      <c r="C200" s="5" t="str">
        <f>_xlfn.XLOOKUP(b.nike.views[[#This Row],[product_ID]], a.nike.original.man[Product_ID], a.nike.original.man[Rating_Group], "Not Found")</f>
        <v>4 - 5</v>
      </c>
      <c r="D200">
        <f>_xlfn.XLOOKUP(b.nike.views[[#This Row],[product_ID]], a.nike.original.man[Product_ID], a.nike.original.man[Rating], "Not Found")</f>
        <v>4.3</v>
      </c>
      <c r="E200" s="10">
        <f>ROUND(_xlfn.XLOOKUP(b.nike.views[[#This Row],[product_ID]], a.nike.original.man[Product_ID], a.nike.original.man[Sale Price], "Not Found"), 0)</f>
        <v>119</v>
      </c>
      <c r="F200" s="5" t="str" cm="1">
        <f t="array" ref="F200">_xlfn.IFS(b.nike.views[[#This Row],[Sales_Price]]&lt;=9, "under $10",b.nike.views[[#This Row],[Sales_Price]]&lt;=20, "$20 and under",b.nike.views[[#This Row],[Sales_Price]]&lt;=50, "$50 and under", b.nike.views[[#This Row],[Sales_Price]]&lt;=99, "under $100", b.nike.views[[#This Row],[Sales_Price]]&gt;=100, "$100 +")</f>
        <v>$100 +</v>
      </c>
      <c r="G200">
        <f>COUNTIF(a.nike.original.man[Product_ID], A200)</f>
        <v>1</v>
      </c>
      <c r="H200" t="str" cm="1">
        <f t="array" ref="H200">_xlfn.IFS(b.nike.views[[#This Row],[Review_Count]]&lt;=7, "Below Average",b.nike.views[[#This Row],[Review_Count]]&gt;=8, "Average +")</f>
        <v>Average +</v>
      </c>
      <c r="I200">
        <f>SUMIF(a.nike.original.man[Product_ID],b.nike.views[[#This Row],[product_ID]], a.nike.original.man[Reviews])</f>
        <v>17</v>
      </c>
      <c r="J200" s="41">
        <f>_xlfn.XLOOKUP(b.nike.views[[#This Row],[product_ID]],a.nike.original.man[Product_ID], a.nike.original.man[Discount %], "Not Found")</f>
        <v>0.3</v>
      </c>
      <c r="K200" s="41"/>
      <c r="L200" t="s">
        <v>1470</v>
      </c>
    </row>
    <row r="201" spans="1:12" x14ac:dyDescent="0.2">
      <c r="A201" t="s">
        <v>57</v>
      </c>
      <c r="B201" t="str">
        <f>_xlfn.XLOOKUP(b.nike.views[[#This Row],[product_ID]], a.nike.original.man[Product_ID], a.nike.original.man[Product Name], "Not Found")</f>
        <v>Nike Air Max 97</v>
      </c>
      <c r="C201" s="5" t="str">
        <f>_xlfn.XLOOKUP(b.nike.views[[#This Row],[product_ID]], a.nike.original.man[Product_ID], a.nike.original.man[Rating_Group], "Not Found")</f>
        <v>4 - 5</v>
      </c>
      <c r="D201">
        <f>_xlfn.XLOOKUP(b.nike.views[[#This Row],[product_ID]], a.nike.original.man[Product_ID], a.nike.original.man[Rating], "Not Found")</f>
        <v>4.3</v>
      </c>
      <c r="E201" s="10">
        <f>ROUND(_xlfn.XLOOKUP(b.nike.views[[#This Row],[product_ID]], a.nike.original.man[Product_ID], a.nike.original.man[Sale Price], "Not Found"), 0)</f>
        <v>170</v>
      </c>
      <c r="F201" s="5" t="str" cm="1">
        <f t="array" ref="F201">_xlfn.IFS(b.nike.views[[#This Row],[Sales_Price]]&lt;=9, "under $10",b.nike.views[[#This Row],[Sales_Price]]&lt;=20, "$20 and under",b.nike.views[[#This Row],[Sales_Price]]&lt;=50, "$50 and under", b.nike.views[[#This Row],[Sales_Price]]&lt;=99, "under $100", b.nike.views[[#This Row],[Sales_Price]]&gt;=100, "$100 +")</f>
        <v>$100 +</v>
      </c>
      <c r="G201">
        <f>COUNTIF(a.nike.original.man[Product_ID], A201)</f>
        <v>1</v>
      </c>
      <c r="H201" t="str" cm="1">
        <f t="array" ref="H201">_xlfn.IFS(b.nike.views[[#This Row],[Review_Count]]&lt;=7, "Below Average",b.nike.views[[#This Row],[Review_Count]]&gt;=8, "Average +")</f>
        <v>Average +</v>
      </c>
      <c r="I201">
        <f>SUMIF(a.nike.original.man[Product_ID],b.nike.views[[#This Row],[product_ID]], a.nike.original.man[Reviews])</f>
        <v>16</v>
      </c>
      <c r="J201" s="41">
        <f>_xlfn.XLOOKUP(b.nike.views[[#This Row],[product_ID]],a.nike.original.man[Product_ID], a.nike.original.man[Discount %], "Not Found")</f>
        <v>0</v>
      </c>
      <c r="K201" s="41"/>
      <c r="L201" t="s">
        <v>1470</v>
      </c>
    </row>
    <row r="202" spans="1:12" x14ac:dyDescent="0.2">
      <c r="A202" t="s">
        <v>1180</v>
      </c>
      <c r="B202" t="str">
        <f>_xlfn.XLOOKUP(b.nike.views[[#This Row],[product_ID]], a.nike.original.man[Product_ID], a.nike.original.man[Product Name], "Not Found")</f>
        <v>Nike Mercurial Superfly 7 Elite FG</v>
      </c>
      <c r="C202" s="5" t="str">
        <f>_xlfn.XLOOKUP(b.nike.views[[#This Row],[product_ID]], a.nike.original.man[Product_ID], a.nike.original.man[Rating_Group], "Not Found")</f>
        <v>4 - 5</v>
      </c>
      <c r="D202">
        <f>_xlfn.XLOOKUP(b.nike.views[[#This Row],[product_ID]], a.nike.original.man[Product_ID], a.nike.original.man[Rating], "Not Found")</f>
        <v>4.3</v>
      </c>
      <c r="E202" s="10">
        <f>ROUND(_xlfn.XLOOKUP(b.nike.views[[#This Row],[product_ID]], a.nike.original.man[Product_ID], a.nike.original.man[Sale Price], "Not Found"), 0)</f>
        <v>230</v>
      </c>
      <c r="F202" s="5" t="str" cm="1">
        <f t="array" ref="F202">_xlfn.IFS(b.nike.views[[#This Row],[Sales_Price]]&lt;=9, "under $10",b.nike.views[[#This Row],[Sales_Price]]&lt;=20, "$20 and under",b.nike.views[[#This Row],[Sales_Price]]&lt;=50, "$50 and under", b.nike.views[[#This Row],[Sales_Price]]&lt;=99, "under $100", b.nike.views[[#This Row],[Sales_Price]]&gt;=100, "$100 +")</f>
        <v>$100 +</v>
      </c>
      <c r="G202">
        <f>COUNTIF(a.nike.original.man[Product_ID], A202)</f>
        <v>2</v>
      </c>
      <c r="H202" t="str" cm="1">
        <f t="array" ref="H202">_xlfn.IFS(b.nike.views[[#This Row],[Review_Count]]&lt;=7, "Below Average",b.nike.views[[#This Row],[Review_Count]]&gt;=8, "Average +")</f>
        <v>Average +</v>
      </c>
      <c r="I202">
        <f>SUMIF(a.nike.original.man[Product_ID],b.nike.views[[#This Row],[product_ID]], a.nike.original.man[Reviews])</f>
        <v>16</v>
      </c>
      <c r="J202" s="41">
        <f>_xlfn.XLOOKUP(b.nike.views[[#This Row],[product_ID]],a.nike.original.man[Product_ID], a.nike.original.man[Discount %], "Not Found")</f>
        <v>0</v>
      </c>
      <c r="K202" s="41"/>
      <c r="L202" t="s">
        <v>1470</v>
      </c>
    </row>
    <row r="203" spans="1:12" x14ac:dyDescent="0.2">
      <c r="A203" t="s">
        <v>1332</v>
      </c>
      <c r="B203" t="str">
        <f>_xlfn.XLOOKUP(b.nike.views[[#This Row],[product_ID]], a.nike.original.man[Product_ID], a.nike.original.man[Product Name], "Not Found")</f>
        <v>Nike Air Zoom Structure 22</v>
      </c>
      <c r="C203" s="5" t="str">
        <f>_xlfn.XLOOKUP(b.nike.views[[#This Row],[product_ID]], a.nike.original.man[Product_ID], a.nike.original.man[Rating_Group], "Not Found")</f>
        <v>4 - 5</v>
      </c>
      <c r="D203">
        <f>_xlfn.XLOOKUP(b.nike.views[[#This Row],[product_ID]], a.nike.original.man[Product_ID], a.nike.original.man[Rating], "Not Found")</f>
        <v>4.3</v>
      </c>
      <c r="E203" s="10">
        <f>ROUND(_xlfn.XLOOKUP(b.nike.views[[#This Row],[product_ID]], a.nike.original.man[Product_ID], a.nike.original.man[Sale Price], "Not Found"), 0)</f>
        <v>100</v>
      </c>
      <c r="F203" s="5" t="str" cm="1">
        <f t="array" ref="F203">_xlfn.IFS(b.nike.views[[#This Row],[Sales_Price]]&lt;=9, "under $10",b.nike.views[[#This Row],[Sales_Price]]&lt;=20, "$20 and under",b.nike.views[[#This Row],[Sales_Price]]&lt;=50, "$50 and under", b.nike.views[[#This Row],[Sales_Price]]&lt;=99, "under $100", b.nike.views[[#This Row],[Sales_Price]]&gt;=100, "$100 +")</f>
        <v>$100 +</v>
      </c>
      <c r="G203">
        <f>COUNTIF(a.nike.original.man[Product_ID], A203)</f>
        <v>1</v>
      </c>
      <c r="H203" t="str" cm="1">
        <f t="array" ref="H203">_xlfn.IFS(b.nike.views[[#This Row],[Review_Count]]&lt;=7, "Below Average",b.nike.views[[#This Row],[Review_Count]]&gt;=8, "Average +")</f>
        <v>Average +</v>
      </c>
      <c r="I203">
        <f>SUMIF(a.nike.original.man[Product_ID],b.nike.views[[#This Row],[product_ID]], a.nike.original.man[Reviews])</f>
        <v>14</v>
      </c>
      <c r="J203" s="41">
        <f>_xlfn.XLOOKUP(b.nike.views[[#This Row],[product_ID]],a.nike.original.man[Product_ID], a.nike.original.man[Discount %], "Not Found")</f>
        <v>0</v>
      </c>
      <c r="K203" s="41"/>
      <c r="L203" t="s">
        <v>1470</v>
      </c>
    </row>
    <row r="204" spans="1:12" x14ac:dyDescent="0.2">
      <c r="A204" t="s">
        <v>353</v>
      </c>
      <c r="B204" t="str">
        <f>_xlfn.XLOOKUP(b.nike.views[[#This Row],[product_ID]], a.nike.original.man[Product_ID], a.nike.original.man[Product Name], "Not Found")</f>
        <v>Nike Renew Run</v>
      </c>
      <c r="C204" s="5" t="str">
        <f>_xlfn.XLOOKUP(b.nike.views[[#This Row],[product_ID]], a.nike.original.man[Product_ID], a.nike.original.man[Rating_Group], "Not Found")</f>
        <v>4 - 5</v>
      </c>
      <c r="D204">
        <f>_xlfn.XLOOKUP(b.nike.views[[#This Row],[product_ID]], a.nike.original.man[Product_ID], a.nike.original.man[Rating], "Not Found")</f>
        <v>4.3</v>
      </c>
      <c r="E204" s="10">
        <f>ROUND(_xlfn.XLOOKUP(b.nike.views[[#This Row],[product_ID]], a.nike.original.man[Product_ID], a.nike.original.man[Sale Price], "Not Found"), 0)</f>
        <v>70</v>
      </c>
      <c r="F204" s="5" t="str" cm="1">
        <f t="array" ref="F204">_xlfn.IFS(b.nike.views[[#This Row],[Sales_Price]]&lt;=9, "under $10",b.nike.views[[#This Row],[Sales_Price]]&lt;=20, "$20 and under",b.nike.views[[#This Row],[Sales_Price]]&lt;=50, "$50 and under", b.nike.views[[#This Row],[Sales_Price]]&lt;=99, "under $100", b.nike.views[[#This Row],[Sales_Price]]&gt;=100, "$100 +")</f>
        <v>under $100</v>
      </c>
      <c r="G204">
        <f>COUNTIF(a.nike.original.man[Product_ID], A204)</f>
        <v>1</v>
      </c>
      <c r="H204" t="str" cm="1">
        <f t="array" ref="H204">_xlfn.IFS(b.nike.views[[#This Row],[Review_Count]]&lt;=7, "Below Average",b.nike.views[[#This Row],[Review_Count]]&gt;=8, "Average +")</f>
        <v>Average +</v>
      </c>
      <c r="I204">
        <f>SUMIF(a.nike.original.man[Product_ID],b.nike.views[[#This Row],[product_ID]], a.nike.original.man[Reviews])</f>
        <v>12</v>
      </c>
      <c r="J204" s="41">
        <f>_xlfn.XLOOKUP(b.nike.views[[#This Row],[product_ID]],a.nike.original.man[Product_ID], a.nike.original.man[Discount %], "Not Found")</f>
        <v>0</v>
      </c>
      <c r="K204" s="41"/>
      <c r="L204" t="s">
        <v>1470</v>
      </c>
    </row>
    <row r="205" spans="1:12" x14ac:dyDescent="0.2">
      <c r="A205" t="s">
        <v>659</v>
      </c>
      <c r="B205" t="str">
        <f>_xlfn.XLOOKUP(b.nike.views[[#This Row],[product_ID]], a.nike.original.man[Product_ID], a.nike.original.man[Product Name], "Not Found")</f>
        <v>Nike Benassi</v>
      </c>
      <c r="C205" s="5" t="str">
        <f>_xlfn.XLOOKUP(b.nike.views[[#This Row],[product_ID]], a.nike.original.man[Product_ID], a.nike.original.man[Rating_Group], "Not Found")</f>
        <v>4 - 5</v>
      </c>
      <c r="D205">
        <f>_xlfn.XLOOKUP(b.nike.views[[#This Row],[product_ID]], a.nike.original.man[Product_ID], a.nike.original.man[Rating], "Not Found")</f>
        <v>4.3</v>
      </c>
      <c r="E205" s="10">
        <f>ROUND(_xlfn.XLOOKUP(b.nike.views[[#This Row],[product_ID]], a.nike.original.man[Product_ID], a.nike.original.man[Sale Price], "Not Found"), 0)</f>
        <v>25</v>
      </c>
      <c r="F205" s="5" t="str" cm="1">
        <f t="array" ref="F205">_xlfn.IFS(b.nike.views[[#This Row],[Sales_Price]]&lt;=9, "under $10",b.nike.views[[#This Row],[Sales_Price]]&lt;=20, "$20 and under",b.nike.views[[#This Row],[Sales_Price]]&lt;=50, "$50 and under", b.nike.views[[#This Row],[Sales_Price]]&lt;=99, "under $100", b.nike.views[[#This Row],[Sales_Price]]&gt;=100, "$100 +")</f>
        <v>$50 and under</v>
      </c>
      <c r="G205">
        <f>COUNTIF(a.nike.original.man[Product_ID], A205)</f>
        <v>1</v>
      </c>
      <c r="H205" t="str" cm="1">
        <f t="array" ref="H205">_xlfn.IFS(b.nike.views[[#This Row],[Review_Count]]&lt;=7, "Below Average",b.nike.views[[#This Row],[Review_Count]]&gt;=8, "Average +")</f>
        <v>Average +</v>
      </c>
      <c r="I205">
        <f>SUMIF(a.nike.original.man[Product_ID],b.nike.views[[#This Row],[product_ID]], a.nike.original.man[Reviews])</f>
        <v>12</v>
      </c>
      <c r="J205" s="41">
        <f>_xlfn.XLOOKUP(b.nike.views[[#This Row],[product_ID]],a.nike.original.man[Product_ID], a.nike.original.man[Discount %], "Not Found")</f>
        <v>0</v>
      </c>
      <c r="K205" s="41"/>
      <c r="L205" t="s">
        <v>1470</v>
      </c>
    </row>
    <row r="206" spans="1:12" x14ac:dyDescent="0.2">
      <c r="A206" t="s">
        <v>1236</v>
      </c>
      <c r="B206" t="str">
        <f>_xlfn.XLOOKUP(b.nike.views[[#This Row],[product_ID]], a.nike.original.man[Product_ID], a.nike.original.man[Product Name], "Not Found")</f>
        <v>Nike Air Max Bella TR 2</v>
      </c>
      <c r="C206" s="5" t="str">
        <f>_xlfn.XLOOKUP(b.nike.views[[#This Row],[product_ID]], a.nike.original.man[Product_ID], a.nike.original.man[Rating_Group], "Not Found")</f>
        <v>4 - 5</v>
      </c>
      <c r="D206">
        <f>_xlfn.XLOOKUP(b.nike.views[[#This Row],[product_ID]], a.nike.original.man[Product_ID], a.nike.original.man[Rating], "Not Found")</f>
        <v>4.3</v>
      </c>
      <c r="E206" s="10">
        <f>ROUND(_xlfn.XLOOKUP(b.nike.views[[#This Row],[product_ID]], a.nike.original.man[Product_ID], a.nike.original.man[Sale Price], "Not Found"), 0)</f>
        <v>65</v>
      </c>
      <c r="F206" s="5" t="str" cm="1">
        <f t="array" ref="F206">_xlfn.IFS(b.nike.views[[#This Row],[Sales_Price]]&lt;=9, "under $10",b.nike.views[[#This Row],[Sales_Price]]&lt;=20, "$20 and under",b.nike.views[[#This Row],[Sales_Price]]&lt;=50, "$50 and under", b.nike.views[[#This Row],[Sales_Price]]&lt;=99, "under $100", b.nike.views[[#This Row],[Sales_Price]]&gt;=100, "$100 +")</f>
        <v>under $100</v>
      </c>
      <c r="G206">
        <f>COUNTIF(a.nike.original.man[Product_ID], A206)</f>
        <v>1</v>
      </c>
      <c r="H206" t="str" cm="1">
        <f t="array" ref="H206">_xlfn.IFS(b.nike.views[[#This Row],[Review_Count]]&lt;=7, "Below Average",b.nike.views[[#This Row],[Review_Count]]&gt;=8, "Average +")</f>
        <v>Average +</v>
      </c>
      <c r="I206">
        <f>SUMIF(a.nike.original.man[Product_ID],b.nike.views[[#This Row],[product_ID]], a.nike.original.man[Reviews])</f>
        <v>12</v>
      </c>
      <c r="J206" s="41">
        <f>_xlfn.XLOOKUP(b.nike.views[[#This Row],[product_ID]],a.nike.original.man[Product_ID], a.nike.original.man[Discount %], "Not Found")</f>
        <v>0</v>
      </c>
      <c r="K206" s="41"/>
      <c r="L206" t="s">
        <v>1470</v>
      </c>
    </row>
    <row r="207" spans="1:12" x14ac:dyDescent="0.2">
      <c r="A207" t="s">
        <v>812</v>
      </c>
      <c r="B207" t="str">
        <f>_xlfn.XLOOKUP(b.nike.views[[#This Row],[product_ID]], a.nike.original.man[Product_ID], a.nike.original.man[Product Name], "Not Found")</f>
        <v>NikeCourt Air Zoom Zero</v>
      </c>
      <c r="C207" s="5" t="str">
        <f>_xlfn.XLOOKUP(b.nike.views[[#This Row],[product_ID]], a.nike.original.man[Product_ID], a.nike.original.man[Rating_Group], "Not Found")</f>
        <v>4 - 5</v>
      </c>
      <c r="D207">
        <f>_xlfn.XLOOKUP(b.nike.views[[#This Row],[product_ID]], a.nike.original.man[Product_ID], a.nike.original.man[Rating], "Not Found")</f>
        <v>4.3</v>
      </c>
      <c r="E207" s="10">
        <f>ROUND(_xlfn.XLOOKUP(b.nike.views[[#This Row],[product_ID]], a.nike.original.man[Product_ID], a.nike.original.man[Sale Price], "Not Found"), 0)</f>
        <v>120</v>
      </c>
      <c r="F207" s="5" t="str" cm="1">
        <f t="array" ref="F207">_xlfn.IFS(b.nike.views[[#This Row],[Sales_Price]]&lt;=9, "under $10",b.nike.views[[#This Row],[Sales_Price]]&lt;=20, "$20 and under",b.nike.views[[#This Row],[Sales_Price]]&lt;=50, "$50 and under", b.nike.views[[#This Row],[Sales_Price]]&lt;=99, "under $100", b.nike.views[[#This Row],[Sales_Price]]&gt;=100, "$100 +")</f>
        <v>$100 +</v>
      </c>
      <c r="G207">
        <f>COUNTIF(a.nike.original.man[Product_ID], A207)</f>
        <v>1</v>
      </c>
      <c r="H207" t="str" cm="1">
        <f t="array" ref="H207">_xlfn.IFS(b.nike.views[[#This Row],[Review_Count]]&lt;=7, "Below Average",b.nike.views[[#This Row],[Review_Count]]&gt;=8, "Average +")</f>
        <v>Average +</v>
      </c>
      <c r="I207">
        <f>SUMIF(a.nike.original.man[Product_ID],b.nike.views[[#This Row],[product_ID]], a.nike.original.man[Reviews])</f>
        <v>10</v>
      </c>
      <c r="J207" s="41">
        <f>_xlfn.XLOOKUP(b.nike.views[[#This Row],[product_ID]],a.nike.original.man[Product_ID], a.nike.original.man[Discount %], "Not Found")</f>
        <v>0</v>
      </c>
      <c r="K207" s="41"/>
      <c r="L207" t="s">
        <v>1470</v>
      </c>
    </row>
    <row r="208" spans="1:12" x14ac:dyDescent="0.2">
      <c r="A208" t="s">
        <v>356</v>
      </c>
      <c r="B208" t="str">
        <f>_xlfn.XLOOKUP(b.nike.views[[#This Row],[product_ID]], a.nike.original.man[Product_ID], a.nike.original.man[Product Name], "Not Found")</f>
        <v>Nike React Ianga</v>
      </c>
      <c r="C208" s="5" t="str">
        <f>_xlfn.XLOOKUP(b.nike.views[[#This Row],[product_ID]], a.nike.original.man[Product_ID], a.nike.original.man[Rating_Group], "Not Found")</f>
        <v>4 - 5</v>
      </c>
      <c r="D208">
        <f>_xlfn.XLOOKUP(b.nike.views[[#This Row],[product_ID]], a.nike.original.man[Product_ID], a.nike.original.man[Rating], "Not Found")</f>
        <v>4.3</v>
      </c>
      <c r="E208" s="10">
        <f>ROUND(_xlfn.XLOOKUP(b.nike.views[[#This Row],[product_ID]], a.nike.original.man[Product_ID], a.nike.original.man[Sale Price], "Not Found"), 0)</f>
        <v>88</v>
      </c>
      <c r="F208" s="5" t="str" cm="1">
        <f t="array" ref="F208">_xlfn.IFS(b.nike.views[[#This Row],[Sales_Price]]&lt;=9, "under $10",b.nike.views[[#This Row],[Sales_Price]]&lt;=20, "$20 and under",b.nike.views[[#This Row],[Sales_Price]]&lt;=50, "$50 and under", b.nike.views[[#This Row],[Sales_Price]]&lt;=99, "under $100", b.nike.views[[#This Row],[Sales_Price]]&gt;=100, "$100 +")</f>
        <v>under $100</v>
      </c>
      <c r="G208">
        <f>COUNTIF(a.nike.original.man[Product_ID], A208)</f>
        <v>1</v>
      </c>
      <c r="H208" t="str" cm="1">
        <f t="array" ref="H208">_xlfn.IFS(b.nike.views[[#This Row],[Review_Count]]&lt;=7, "Below Average",b.nike.views[[#This Row],[Review_Count]]&gt;=8, "Average +")</f>
        <v>Average +</v>
      </c>
      <c r="I208">
        <f>SUMIF(a.nike.original.man[Product_ID],b.nike.views[[#This Row],[product_ID]], a.nike.original.man[Reviews])</f>
        <v>9</v>
      </c>
      <c r="J208" s="41">
        <f>_xlfn.XLOOKUP(b.nike.views[[#This Row],[product_ID]],a.nike.original.man[Product_ID], a.nike.original.man[Discount %], "Not Found")</f>
        <v>0.2</v>
      </c>
      <c r="K208" s="41"/>
      <c r="L208" t="s">
        <v>1470</v>
      </c>
    </row>
    <row r="209" spans="1:12" x14ac:dyDescent="0.2">
      <c r="A209" t="s">
        <v>284</v>
      </c>
      <c r="B209" t="str">
        <f>_xlfn.XLOOKUP(b.nike.views[[#This Row],[product_ID]], a.nike.original.man[Product_ID], a.nike.original.man[Product Name], "Not Found")</f>
        <v>Nike SB Blazer Low GT</v>
      </c>
      <c r="C209" s="5" t="str">
        <f>_xlfn.XLOOKUP(b.nike.views[[#This Row],[product_ID]], a.nike.original.man[Product_ID], a.nike.original.man[Rating_Group], "Not Found")</f>
        <v>4 - 5</v>
      </c>
      <c r="D209">
        <f>_xlfn.XLOOKUP(b.nike.views[[#This Row],[product_ID]], a.nike.original.man[Product_ID], a.nike.original.man[Rating], "Not Found")</f>
        <v>4.3</v>
      </c>
      <c r="E209" s="10">
        <f>ROUND(_xlfn.XLOOKUP(b.nike.views[[#This Row],[product_ID]], a.nike.original.man[Product_ID], a.nike.original.man[Sale Price], "Not Found"), 0)</f>
        <v>70</v>
      </c>
      <c r="F209" s="5" t="str" cm="1">
        <f t="array" ref="F209">_xlfn.IFS(b.nike.views[[#This Row],[Sales_Price]]&lt;=9, "under $10",b.nike.views[[#This Row],[Sales_Price]]&lt;=20, "$20 and under",b.nike.views[[#This Row],[Sales_Price]]&lt;=50, "$50 and under", b.nike.views[[#This Row],[Sales_Price]]&lt;=99, "under $100", b.nike.views[[#This Row],[Sales_Price]]&gt;=100, "$100 +")</f>
        <v>under $100</v>
      </c>
      <c r="G209">
        <f>COUNTIF(a.nike.original.man[Product_ID], A209)</f>
        <v>1</v>
      </c>
      <c r="H209" t="str" cm="1">
        <f t="array" ref="H209">_xlfn.IFS(b.nike.views[[#This Row],[Review_Count]]&lt;=7, "Below Average",b.nike.views[[#This Row],[Review_Count]]&gt;=8, "Average +")</f>
        <v>Average +</v>
      </c>
      <c r="I209">
        <f>SUMIF(a.nike.original.man[Product_ID],b.nike.views[[#This Row],[product_ID]], a.nike.original.man[Reviews])</f>
        <v>8</v>
      </c>
      <c r="J209" s="41">
        <f>_xlfn.XLOOKUP(b.nike.views[[#This Row],[product_ID]],a.nike.original.man[Product_ID], a.nike.original.man[Discount %], "Not Found")</f>
        <v>0</v>
      </c>
      <c r="K209" s="41"/>
      <c r="L209" t="s">
        <v>1470</v>
      </c>
    </row>
    <row r="210" spans="1:12" x14ac:dyDescent="0.2">
      <c r="A210" t="s">
        <v>926</v>
      </c>
      <c r="B210" t="str">
        <f>_xlfn.XLOOKUP(b.nike.views[[#This Row],[product_ID]], a.nike.original.man[Product_ID], a.nike.original.man[Product Name], "Not Found")</f>
        <v>Nike Benassi JDI BETRUE</v>
      </c>
      <c r="C210" s="5" t="str">
        <f>_xlfn.XLOOKUP(b.nike.views[[#This Row],[product_ID]], a.nike.original.man[Product_ID], a.nike.original.man[Rating_Group], "Not Found")</f>
        <v>4 - 5</v>
      </c>
      <c r="D210">
        <f>_xlfn.XLOOKUP(b.nike.views[[#This Row],[product_ID]], a.nike.original.man[Product_ID], a.nike.original.man[Rating], "Not Found")</f>
        <v>4.3</v>
      </c>
      <c r="E210" s="10">
        <f>ROUND(_xlfn.XLOOKUP(b.nike.views[[#This Row],[product_ID]], a.nike.original.man[Product_ID], a.nike.original.man[Sale Price], "Not Found"), 0)</f>
        <v>45</v>
      </c>
      <c r="F210" s="5" t="str" cm="1">
        <f t="array" ref="F210">_xlfn.IFS(b.nike.views[[#This Row],[Sales_Price]]&lt;=9, "under $10",b.nike.views[[#This Row],[Sales_Price]]&lt;=20, "$20 and under",b.nike.views[[#This Row],[Sales_Price]]&lt;=50, "$50 and under", b.nike.views[[#This Row],[Sales_Price]]&lt;=99, "under $100", b.nike.views[[#This Row],[Sales_Price]]&gt;=100, "$100 +")</f>
        <v>$50 and under</v>
      </c>
      <c r="G210">
        <f>COUNTIF(a.nike.original.man[Product_ID], A210)</f>
        <v>2</v>
      </c>
      <c r="H210" t="str" cm="1">
        <f t="array" ref="H210">_xlfn.IFS(b.nike.views[[#This Row],[Review_Count]]&lt;=7, "Below Average",b.nike.views[[#This Row],[Review_Count]]&gt;=8, "Average +")</f>
        <v>Below Average</v>
      </c>
      <c r="I210">
        <f>SUMIF(a.nike.original.man[Product_ID],b.nike.views[[#This Row],[product_ID]], a.nike.original.man[Reviews])</f>
        <v>6</v>
      </c>
      <c r="J210" s="41">
        <f>_xlfn.XLOOKUP(b.nike.views[[#This Row],[product_ID]],a.nike.original.man[Product_ID], a.nike.original.man[Discount %], "Not Found")</f>
        <v>0</v>
      </c>
      <c r="K210" s="41"/>
      <c r="L210" t="s">
        <v>1470</v>
      </c>
    </row>
    <row r="211" spans="1:12" x14ac:dyDescent="0.2">
      <c r="A211" t="s">
        <v>1360</v>
      </c>
      <c r="B211" t="str">
        <f>_xlfn.XLOOKUP(b.nike.views[[#This Row],[product_ID]], a.nike.original.man[Product_ID], a.nike.original.man[Product Name], "Not Found")</f>
        <v>Nike Air Max 270 React</v>
      </c>
      <c r="C211" s="5" t="str">
        <f>_xlfn.XLOOKUP(b.nike.views[[#This Row],[product_ID]], a.nike.original.man[Product_ID], a.nike.original.man[Rating_Group], "Not Found")</f>
        <v>4 - 5</v>
      </c>
      <c r="D211">
        <f>_xlfn.XLOOKUP(b.nike.views[[#This Row],[product_ID]], a.nike.original.man[Product_ID], a.nike.original.man[Rating], "Not Found")</f>
        <v>4.3</v>
      </c>
      <c r="E211" s="10">
        <f>ROUND(_xlfn.XLOOKUP(b.nike.views[[#This Row],[product_ID]], a.nike.original.man[Product_ID], a.nike.original.man[Sale Price], "Not Found"), 0)</f>
        <v>130</v>
      </c>
      <c r="F211" s="5" t="str" cm="1">
        <f t="array" ref="F211">_xlfn.IFS(b.nike.views[[#This Row],[Sales_Price]]&lt;=9, "under $10",b.nike.views[[#This Row],[Sales_Price]]&lt;=20, "$20 and under",b.nike.views[[#This Row],[Sales_Price]]&lt;=50, "$50 and under", b.nike.views[[#This Row],[Sales_Price]]&lt;=99, "under $100", b.nike.views[[#This Row],[Sales_Price]]&gt;=100, "$100 +")</f>
        <v>$100 +</v>
      </c>
      <c r="G211">
        <f>COUNTIF(a.nike.original.man[Product_ID], A211)</f>
        <v>1</v>
      </c>
      <c r="H211" t="str" cm="1">
        <f t="array" ref="H211">_xlfn.IFS(b.nike.views[[#This Row],[Review_Count]]&lt;=7, "Below Average",b.nike.views[[#This Row],[Review_Count]]&gt;=8, "Average +")</f>
        <v>Below Average</v>
      </c>
      <c r="I211">
        <f>SUMIF(a.nike.original.man[Product_ID],b.nike.views[[#This Row],[product_ID]], a.nike.original.man[Reviews])</f>
        <v>6</v>
      </c>
      <c r="J211" s="41">
        <f>_xlfn.XLOOKUP(b.nike.views[[#This Row],[product_ID]],a.nike.original.man[Product_ID], a.nike.original.man[Discount %], "Not Found")</f>
        <v>0</v>
      </c>
      <c r="K211" s="41"/>
      <c r="L211" t="s">
        <v>1470</v>
      </c>
    </row>
    <row r="212" spans="1:12" x14ac:dyDescent="0.2">
      <c r="A212" t="s">
        <v>87</v>
      </c>
      <c r="B212" t="str">
        <f>_xlfn.XLOOKUP(b.nike.views[[#This Row],[product_ID]], a.nike.original.man[Product_ID], a.nike.original.man[Product Name], "Not Found")</f>
        <v>Nike Offcourt</v>
      </c>
      <c r="C212" s="5" t="str">
        <f>_xlfn.XLOOKUP(b.nike.views[[#This Row],[product_ID]], a.nike.original.man[Product_ID], a.nike.original.man[Rating_Group], "Not Found")</f>
        <v>4 - 5</v>
      </c>
      <c r="D212">
        <f>_xlfn.XLOOKUP(b.nike.views[[#This Row],[product_ID]], a.nike.original.man[Product_ID], a.nike.original.man[Rating], "Not Found")</f>
        <v>4.3</v>
      </c>
      <c r="E212" s="10">
        <f>ROUND(_xlfn.XLOOKUP(b.nike.views[[#This Row],[product_ID]], a.nike.original.man[Product_ID], a.nike.original.man[Sale Price], "Not Found"), 0)</f>
        <v>25</v>
      </c>
      <c r="F212" s="5" t="str" cm="1">
        <f t="array" ref="F212">_xlfn.IFS(b.nike.views[[#This Row],[Sales_Price]]&lt;=9, "under $10",b.nike.views[[#This Row],[Sales_Price]]&lt;=20, "$20 and under",b.nike.views[[#This Row],[Sales_Price]]&lt;=50, "$50 and under", b.nike.views[[#This Row],[Sales_Price]]&lt;=99, "under $100", b.nike.views[[#This Row],[Sales_Price]]&gt;=100, "$100 +")</f>
        <v>$50 and under</v>
      </c>
      <c r="G212">
        <f>COUNTIF(a.nike.original.man[Product_ID], A212)</f>
        <v>1</v>
      </c>
      <c r="H212" t="str" cm="1">
        <f t="array" ref="H212">_xlfn.IFS(b.nike.views[[#This Row],[Review_Count]]&lt;=7, "Below Average",b.nike.views[[#This Row],[Review_Count]]&gt;=8, "Average +")</f>
        <v>Below Average</v>
      </c>
      <c r="I212">
        <f>SUMIF(a.nike.original.man[Product_ID],b.nike.views[[#This Row],[product_ID]], a.nike.original.man[Reviews])</f>
        <v>4</v>
      </c>
      <c r="J212" s="41">
        <f>_xlfn.XLOOKUP(b.nike.views[[#This Row],[product_ID]],a.nike.original.man[Product_ID], a.nike.original.man[Discount %], "Not Found")</f>
        <v>0</v>
      </c>
      <c r="K212" s="41"/>
      <c r="L212" t="s">
        <v>1470</v>
      </c>
    </row>
    <row r="213" spans="1:12" x14ac:dyDescent="0.2">
      <c r="A213" t="s">
        <v>945</v>
      </c>
      <c r="B213" t="str">
        <f>_xlfn.XLOOKUP(b.nike.views[[#This Row],[product_ID]], a.nike.original.man[Product_ID], a.nike.original.man[Product Name], "Not Found")</f>
        <v>Nike Joyride Dual Run</v>
      </c>
      <c r="C213" s="5" t="str">
        <f>_xlfn.XLOOKUP(b.nike.views[[#This Row],[product_ID]], a.nike.original.man[Product_ID], a.nike.original.man[Rating_Group], "Not Found")</f>
        <v>4 - 5</v>
      </c>
      <c r="D213">
        <f>_xlfn.XLOOKUP(b.nike.views[[#This Row],[product_ID]], a.nike.original.man[Product_ID], a.nike.original.man[Rating], "Not Found")</f>
        <v>4.3</v>
      </c>
      <c r="E213" s="10">
        <f>ROUND(_xlfn.XLOOKUP(b.nike.views[[#This Row],[product_ID]], a.nike.original.man[Product_ID], a.nike.original.man[Sale Price], "Not Found"), 0)</f>
        <v>77</v>
      </c>
      <c r="F213" s="5" t="str" cm="1">
        <f t="array" ref="F213">_xlfn.IFS(b.nike.views[[#This Row],[Sales_Price]]&lt;=9, "under $10",b.nike.views[[#This Row],[Sales_Price]]&lt;=20, "$20 and under",b.nike.views[[#This Row],[Sales_Price]]&lt;=50, "$50 and under", b.nike.views[[#This Row],[Sales_Price]]&lt;=99, "under $100", b.nike.views[[#This Row],[Sales_Price]]&gt;=100, "$100 +")</f>
        <v>under $100</v>
      </c>
      <c r="G213">
        <f>COUNTIF(a.nike.original.man[Product_ID], A213)</f>
        <v>1</v>
      </c>
      <c r="H213" t="str" cm="1">
        <f t="array" ref="H213">_xlfn.IFS(b.nike.views[[#This Row],[Review_Count]]&lt;=7, "Below Average",b.nike.views[[#This Row],[Review_Count]]&gt;=8, "Average +")</f>
        <v>Below Average</v>
      </c>
      <c r="I213">
        <f>SUMIF(a.nike.original.man[Product_ID],b.nike.views[[#This Row],[product_ID]], a.nike.original.man[Reviews])</f>
        <v>3</v>
      </c>
      <c r="J213" s="41">
        <f>_xlfn.XLOOKUP(b.nike.views[[#This Row],[product_ID]],a.nike.original.man[Product_ID], a.nike.original.man[Discount %], "Not Found")</f>
        <v>0.3</v>
      </c>
      <c r="K213" s="41"/>
      <c r="L213" t="s">
        <v>1470</v>
      </c>
    </row>
    <row r="214" spans="1:12" x14ac:dyDescent="0.2">
      <c r="A214" t="s">
        <v>1067</v>
      </c>
      <c r="B214" t="str">
        <f>_xlfn.XLOOKUP(b.nike.views[[#This Row],[product_ID]], a.nike.original.man[Product_ID], a.nike.original.man[Product Name], "Not Found")</f>
        <v>Nike React Vision</v>
      </c>
      <c r="C214" s="5" t="str">
        <f>_xlfn.XLOOKUP(b.nike.views[[#This Row],[product_ID]], a.nike.original.man[Product_ID], a.nike.original.man[Rating_Group], "Not Found")</f>
        <v>4 - 5</v>
      </c>
      <c r="D214">
        <f>_xlfn.XLOOKUP(b.nike.views[[#This Row],[product_ID]], a.nike.original.man[Product_ID], a.nike.original.man[Rating], "Not Found")</f>
        <v>4.3</v>
      </c>
      <c r="E214" s="10">
        <f>ROUND(_xlfn.XLOOKUP(b.nike.views[[#This Row],[product_ID]], a.nike.original.man[Product_ID], a.nike.original.man[Sale Price], "Not Found"), 0)</f>
        <v>110</v>
      </c>
      <c r="F214" s="5" t="str" cm="1">
        <f t="array" ref="F214">_xlfn.IFS(b.nike.views[[#This Row],[Sales_Price]]&lt;=9, "under $10",b.nike.views[[#This Row],[Sales_Price]]&lt;=20, "$20 and under",b.nike.views[[#This Row],[Sales_Price]]&lt;=50, "$50 and under", b.nike.views[[#This Row],[Sales_Price]]&lt;=99, "under $100", b.nike.views[[#This Row],[Sales_Price]]&gt;=100, "$100 +")</f>
        <v>$100 +</v>
      </c>
      <c r="G214">
        <f>COUNTIF(a.nike.original.man[Product_ID], A214)</f>
        <v>1</v>
      </c>
      <c r="H214" t="str" cm="1">
        <f t="array" ref="H214">_xlfn.IFS(b.nike.views[[#This Row],[Review_Count]]&lt;=7, "Below Average",b.nike.views[[#This Row],[Review_Count]]&gt;=8, "Average +")</f>
        <v>Below Average</v>
      </c>
      <c r="I214">
        <f>SUMIF(a.nike.original.man[Product_ID],b.nike.views[[#This Row],[product_ID]], a.nike.original.man[Reviews])</f>
        <v>3</v>
      </c>
      <c r="J214" s="41">
        <f>_xlfn.XLOOKUP(b.nike.views[[#This Row],[product_ID]],a.nike.original.man[Product_ID], a.nike.original.man[Discount %], "Not Found")</f>
        <v>0</v>
      </c>
      <c r="K214" s="41"/>
      <c r="L214" t="s">
        <v>1470</v>
      </c>
    </row>
    <row r="215" spans="1:12" x14ac:dyDescent="0.2">
      <c r="A215" t="s">
        <v>1412</v>
      </c>
      <c r="B215" t="str">
        <f>_xlfn.XLOOKUP(b.nike.views[[#This Row],[product_ID]], a.nike.original.man[Product_ID], a.nike.original.man[Product Name], "Not Found")</f>
        <v>Nike Air Max Dia NRG</v>
      </c>
      <c r="C215" s="5" t="str">
        <f>_xlfn.XLOOKUP(b.nike.views[[#This Row],[product_ID]], a.nike.original.man[Product_ID], a.nike.original.man[Rating_Group], "Not Found")</f>
        <v>4 - 5</v>
      </c>
      <c r="D215">
        <f>_xlfn.XLOOKUP(b.nike.views[[#This Row],[product_ID]], a.nike.original.man[Product_ID], a.nike.original.man[Rating], "Not Found")</f>
        <v>4.3</v>
      </c>
      <c r="E215" s="10">
        <f>ROUND(_xlfn.XLOOKUP(b.nike.views[[#This Row],[product_ID]], a.nike.original.man[Product_ID], a.nike.original.man[Sale Price], "Not Found"), 0)</f>
        <v>77</v>
      </c>
      <c r="F215" s="5" t="str" cm="1">
        <f t="array" ref="F215">_xlfn.IFS(b.nike.views[[#This Row],[Sales_Price]]&lt;=9, "under $10",b.nike.views[[#This Row],[Sales_Price]]&lt;=20, "$20 and under",b.nike.views[[#This Row],[Sales_Price]]&lt;=50, "$50 and under", b.nike.views[[#This Row],[Sales_Price]]&lt;=99, "under $100", b.nike.views[[#This Row],[Sales_Price]]&gt;=100, "$100 +")</f>
        <v>under $100</v>
      </c>
      <c r="G215">
        <f>COUNTIF(a.nike.original.man[Product_ID], A215)</f>
        <v>1</v>
      </c>
      <c r="H215" t="str" cm="1">
        <f t="array" ref="H215">_xlfn.IFS(b.nike.views[[#This Row],[Review_Count]]&lt;=7, "Below Average",b.nike.views[[#This Row],[Review_Count]]&gt;=8, "Average +")</f>
        <v>Below Average</v>
      </c>
      <c r="I215">
        <f>SUMIF(a.nike.original.man[Product_ID],b.nike.views[[#This Row],[product_ID]], a.nike.original.man[Reviews])</f>
        <v>3</v>
      </c>
      <c r="J215" s="41">
        <f>_xlfn.XLOOKUP(b.nike.views[[#This Row],[product_ID]],a.nike.original.man[Product_ID], a.nike.original.man[Discount %], "Not Found")</f>
        <v>0.3</v>
      </c>
      <c r="K215" s="41"/>
      <c r="L215" t="s">
        <v>1470</v>
      </c>
    </row>
    <row r="216" spans="1:12" x14ac:dyDescent="0.2">
      <c r="A216" t="s">
        <v>546</v>
      </c>
      <c r="B216" t="str">
        <f>_xlfn.XLOOKUP(b.nike.views[[#This Row],[product_ID]], a.nike.original.man[Product_ID], a.nike.original.man[Product Name], "Not Found")</f>
        <v>Nike Air Max 720</v>
      </c>
      <c r="C216" s="5" t="str">
        <f>_xlfn.XLOOKUP(b.nike.views[[#This Row],[product_ID]], a.nike.original.man[Product_ID], a.nike.original.man[Rating_Group], "Not Found")</f>
        <v>4 - 5</v>
      </c>
      <c r="D216">
        <f>_xlfn.XLOOKUP(b.nike.views[[#This Row],[product_ID]], a.nike.original.man[Product_ID], a.nike.original.man[Rating], "Not Found")</f>
        <v>4.2</v>
      </c>
      <c r="E216" s="10">
        <f>ROUND(_xlfn.XLOOKUP(b.nike.views[[#This Row],[product_ID]], a.nike.original.man[Product_ID], a.nike.original.man[Sale Price], "Not Found"), 0)</f>
        <v>128</v>
      </c>
      <c r="F216" s="5" t="str" cm="1">
        <f t="array" ref="F216">_xlfn.IFS(b.nike.views[[#This Row],[Sales_Price]]&lt;=9, "under $10",b.nike.views[[#This Row],[Sales_Price]]&lt;=20, "$20 and under",b.nike.views[[#This Row],[Sales_Price]]&lt;=50, "$50 and under", b.nike.views[[#This Row],[Sales_Price]]&lt;=99, "under $100", b.nike.views[[#This Row],[Sales_Price]]&gt;=100, "$100 +")</f>
        <v>$100 +</v>
      </c>
      <c r="G216">
        <f>COUNTIF(a.nike.original.man[Product_ID], A216)</f>
        <v>1</v>
      </c>
      <c r="H216" t="str" cm="1">
        <f t="array" ref="H216">_xlfn.IFS(b.nike.views[[#This Row],[Review_Count]]&lt;=7, "Below Average",b.nike.views[[#This Row],[Review_Count]]&gt;=8, "Average +")</f>
        <v>Average +</v>
      </c>
      <c r="I216">
        <f>SUMIF(a.nike.original.man[Product_ID],b.nike.views[[#This Row],[product_ID]], a.nike.original.man[Reviews])</f>
        <v>62</v>
      </c>
      <c r="J216" s="41">
        <f>_xlfn.XLOOKUP(b.nike.views[[#This Row],[product_ID]],a.nike.original.man[Product_ID], a.nike.original.man[Discount %], "Not Found")</f>
        <v>0.2</v>
      </c>
      <c r="K216" s="41"/>
      <c r="L216" t="s">
        <v>1470</v>
      </c>
    </row>
    <row r="217" spans="1:12" x14ac:dyDescent="0.2">
      <c r="A217" t="s">
        <v>1161</v>
      </c>
      <c r="B217" t="str">
        <f>_xlfn.XLOOKUP(b.nike.views[[#This Row],[product_ID]], a.nike.original.man[Product_ID], a.nike.original.man[Product Name], "Not Found")</f>
        <v>Nike Epic React Flyknit 2</v>
      </c>
      <c r="C217" s="5" t="str">
        <f>_xlfn.XLOOKUP(b.nike.views[[#This Row],[product_ID]], a.nike.original.man[Product_ID], a.nike.original.man[Rating_Group], "Not Found")</f>
        <v>4 - 5</v>
      </c>
      <c r="D217">
        <f>_xlfn.XLOOKUP(b.nike.views[[#This Row],[product_ID]], a.nike.original.man[Product_ID], a.nike.original.man[Rating], "Not Found")</f>
        <v>4.2</v>
      </c>
      <c r="E217" s="10">
        <f>ROUND(_xlfn.XLOOKUP(b.nike.views[[#This Row],[product_ID]], a.nike.original.man[Product_ID], a.nike.original.man[Sale Price], "Not Found"), 0)</f>
        <v>104</v>
      </c>
      <c r="F217" s="5" t="str" cm="1">
        <f t="array" ref="F217">_xlfn.IFS(b.nike.views[[#This Row],[Sales_Price]]&lt;=9, "under $10",b.nike.views[[#This Row],[Sales_Price]]&lt;=20, "$20 and under",b.nike.views[[#This Row],[Sales_Price]]&lt;=50, "$50 and under", b.nike.views[[#This Row],[Sales_Price]]&lt;=99, "under $100", b.nike.views[[#This Row],[Sales_Price]]&gt;=100, "$100 +")</f>
        <v>$100 +</v>
      </c>
      <c r="G217">
        <f>COUNTIF(a.nike.original.man[Product_ID], A217)</f>
        <v>1</v>
      </c>
      <c r="H217" t="str" cm="1">
        <f t="array" ref="H217">_xlfn.IFS(b.nike.views[[#This Row],[Review_Count]]&lt;=7, "Below Average",b.nike.views[[#This Row],[Review_Count]]&gt;=8, "Average +")</f>
        <v>Average +</v>
      </c>
      <c r="I217">
        <f>SUMIF(a.nike.original.man[Product_ID],b.nike.views[[#This Row],[product_ID]], a.nike.original.man[Reviews])</f>
        <v>45</v>
      </c>
      <c r="J217" s="41">
        <f>_xlfn.XLOOKUP(b.nike.views[[#This Row],[product_ID]],a.nike.original.man[Product_ID], a.nike.original.man[Discount %], "Not Found")</f>
        <v>0.2</v>
      </c>
      <c r="K217" s="41"/>
      <c r="L217" t="s">
        <v>1470</v>
      </c>
    </row>
    <row r="218" spans="1:12" x14ac:dyDescent="0.2">
      <c r="A218" t="s">
        <v>969</v>
      </c>
      <c r="B218" t="str">
        <f>_xlfn.XLOOKUP(b.nike.views[[#This Row],[product_ID]], a.nike.original.man[Product_ID], a.nike.original.man[Product Name], "Not Found")</f>
        <v>Nike Zoom Fly Flyknit</v>
      </c>
      <c r="C218" s="5" t="str">
        <f>_xlfn.XLOOKUP(b.nike.views[[#This Row],[product_ID]], a.nike.original.man[Product_ID], a.nike.original.man[Rating_Group], "Not Found")</f>
        <v>4 - 5</v>
      </c>
      <c r="D218">
        <f>_xlfn.XLOOKUP(b.nike.views[[#This Row],[product_ID]], a.nike.original.man[Product_ID], a.nike.original.man[Rating], "Not Found")</f>
        <v>4.2</v>
      </c>
      <c r="E218" s="10">
        <f>ROUND(_xlfn.XLOOKUP(b.nike.views[[#This Row],[product_ID]], a.nike.original.man[Product_ID], a.nike.original.man[Sale Price], "Not Found"), 0)</f>
        <v>160</v>
      </c>
      <c r="F218" s="5" t="str" cm="1">
        <f t="array" ref="F218">_xlfn.IFS(b.nike.views[[#This Row],[Sales_Price]]&lt;=9, "under $10",b.nike.views[[#This Row],[Sales_Price]]&lt;=20, "$20 and under",b.nike.views[[#This Row],[Sales_Price]]&lt;=50, "$50 and under", b.nike.views[[#This Row],[Sales_Price]]&lt;=99, "under $100", b.nike.views[[#This Row],[Sales_Price]]&gt;=100, "$100 +")</f>
        <v>$100 +</v>
      </c>
      <c r="G218">
        <f>COUNTIF(a.nike.original.man[Product_ID], A218)</f>
        <v>1</v>
      </c>
      <c r="H218" t="str" cm="1">
        <f t="array" ref="H218">_xlfn.IFS(b.nike.views[[#This Row],[Review_Count]]&lt;=7, "Below Average",b.nike.views[[#This Row],[Review_Count]]&gt;=8, "Average +")</f>
        <v>Average +</v>
      </c>
      <c r="I218">
        <f>SUMIF(a.nike.original.man[Product_ID],b.nike.views[[#This Row],[product_ID]], a.nike.original.man[Reviews])</f>
        <v>42</v>
      </c>
      <c r="J218" s="41">
        <f>_xlfn.XLOOKUP(b.nike.views[[#This Row],[product_ID]],a.nike.original.man[Product_ID], a.nike.original.man[Discount %], "Not Found")</f>
        <v>0</v>
      </c>
      <c r="K218" s="41"/>
      <c r="L218" t="s">
        <v>1470</v>
      </c>
    </row>
    <row r="219" spans="1:12" x14ac:dyDescent="0.2">
      <c r="A219" t="s">
        <v>524</v>
      </c>
      <c r="B219" t="str">
        <f>_xlfn.XLOOKUP(b.nike.views[[#This Row],[product_ID]], a.nike.original.man[Product_ID], a.nike.original.man[Product Name], "Not Found")</f>
        <v>Zoom Freak 1</v>
      </c>
      <c r="C219" s="5" t="str">
        <f>_xlfn.XLOOKUP(b.nike.views[[#This Row],[product_ID]], a.nike.original.man[Product_ID], a.nike.original.man[Rating_Group], "Not Found")</f>
        <v>4 - 5</v>
      </c>
      <c r="D219">
        <f>_xlfn.XLOOKUP(b.nike.views[[#This Row],[product_ID]], a.nike.original.man[Product_ID], a.nike.original.man[Rating], "Not Found")</f>
        <v>4.2</v>
      </c>
      <c r="E219" s="10">
        <f>ROUND(_xlfn.XLOOKUP(b.nike.views[[#This Row],[product_ID]], a.nike.original.man[Product_ID], a.nike.original.man[Sale Price], "Not Found"), 0)</f>
        <v>100</v>
      </c>
      <c r="F219" s="5" t="str" cm="1">
        <f t="array" ref="F219">_xlfn.IFS(b.nike.views[[#This Row],[Sales_Price]]&lt;=9, "under $10",b.nike.views[[#This Row],[Sales_Price]]&lt;=20, "$20 and under",b.nike.views[[#This Row],[Sales_Price]]&lt;=50, "$50 and under", b.nike.views[[#This Row],[Sales_Price]]&lt;=99, "under $100", b.nike.views[[#This Row],[Sales_Price]]&gt;=100, "$100 +")</f>
        <v>$100 +</v>
      </c>
      <c r="G219">
        <f>COUNTIF(a.nike.original.man[Product_ID], A219)</f>
        <v>1</v>
      </c>
      <c r="H219" t="str" cm="1">
        <f t="array" ref="H219">_xlfn.IFS(b.nike.views[[#This Row],[Review_Count]]&lt;=7, "Below Average",b.nike.views[[#This Row],[Review_Count]]&gt;=8, "Average +")</f>
        <v>Average +</v>
      </c>
      <c r="I219">
        <f>SUMIF(a.nike.original.man[Product_ID],b.nike.views[[#This Row],[product_ID]], a.nike.original.man[Reviews])</f>
        <v>30</v>
      </c>
      <c r="J219" s="41">
        <f>_xlfn.XLOOKUP(b.nike.views[[#This Row],[product_ID]],a.nike.original.man[Product_ID], a.nike.original.man[Discount %], "Not Found")</f>
        <v>0</v>
      </c>
      <c r="K219" s="41"/>
      <c r="L219" t="s">
        <v>1470</v>
      </c>
    </row>
    <row r="220" spans="1:12" x14ac:dyDescent="0.2">
      <c r="A220" t="s">
        <v>1143</v>
      </c>
      <c r="B220" t="str">
        <f>_xlfn.XLOOKUP(b.nike.views[[#This Row],[product_ID]], a.nike.original.man[Product_ID], a.nike.original.man[Product Name], "Not Found")</f>
        <v>Nike Air Max 270 React</v>
      </c>
      <c r="C220" s="5" t="str">
        <f>_xlfn.XLOOKUP(b.nike.views[[#This Row],[product_ID]], a.nike.original.man[Product_ID], a.nike.original.man[Rating_Group], "Not Found")</f>
        <v>4 - 5</v>
      </c>
      <c r="D220">
        <f>_xlfn.XLOOKUP(b.nike.views[[#This Row],[product_ID]], a.nike.original.man[Product_ID], a.nike.original.man[Rating], "Not Found")</f>
        <v>4.2</v>
      </c>
      <c r="E220" s="10">
        <f>ROUND(_xlfn.XLOOKUP(b.nike.views[[#This Row],[product_ID]], a.nike.original.man[Product_ID], a.nike.original.man[Sale Price], "Not Found"), 0)</f>
        <v>78</v>
      </c>
      <c r="F220" s="5" t="str" cm="1">
        <f t="array" ref="F220">_xlfn.IFS(b.nike.views[[#This Row],[Sales_Price]]&lt;=9, "under $10",b.nike.views[[#This Row],[Sales_Price]]&lt;=20, "$20 and under",b.nike.views[[#This Row],[Sales_Price]]&lt;=50, "$50 and under", b.nike.views[[#This Row],[Sales_Price]]&lt;=99, "under $100", b.nike.views[[#This Row],[Sales_Price]]&gt;=100, "$100 +")</f>
        <v>under $100</v>
      </c>
      <c r="G220">
        <f>COUNTIF(a.nike.original.man[Product_ID], A220)</f>
        <v>1</v>
      </c>
      <c r="H220" t="str" cm="1">
        <f t="array" ref="H220">_xlfn.IFS(b.nike.views[[#This Row],[Review_Count]]&lt;=7, "Below Average",b.nike.views[[#This Row],[Review_Count]]&gt;=8, "Average +")</f>
        <v>Average +</v>
      </c>
      <c r="I220">
        <f>SUMIF(a.nike.original.man[Product_ID],b.nike.views[[#This Row],[product_ID]], a.nike.original.man[Reviews])</f>
        <v>30</v>
      </c>
      <c r="J220" s="41">
        <f>_xlfn.XLOOKUP(b.nike.views[[#This Row],[product_ID]],a.nike.original.man[Product_ID], a.nike.original.man[Discount %], "Not Found")</f>
        <v>0.4</v>
      </c>
      <c r="K220" s="41"/>
      <c r="L220" t="s">
        <v>1470</v>
      </c>
    </row>
    <row r="221" spans="1:12" x14ac:dyDescent="0.2">
      <c r="A221" t="s">
        <v>715</v>
      </c>
      <c r="B221" t="str">
        <f>_xlfn.XLOOKUP(b.nike.views[[#This Row],[product_ID]], a.nike.original.man[Product_ID], a.nike.original.man[Product Name], "Not Found")</f>
        <v>Nike React Infinity Run Flyknit</v>
      </c>
      <c r="C221" s="5" t="str">
        <f>_xlfn.XLOOKUP(b.nike.views[[#This Row],[product_ID]], a.nike.original.man[Product_ID], a.nike.original.man[Rating_Group], "Not Found")</f>
        <v>4 - 5</v>
      </c>
      <c r="D221">
        <f>_xlfn.XLOOKUP(b.nike.views[[#This Row],[product_ID]], a.nike.original.man[Product_ID], a.nike.original.man[Rating], "Not Found")</f>
        <v>4.2</v>
      </c>
      <c r="E221" s="10">
        <f>ROUND(_xlfn.XLOOKUP(b.nike.views[[#This Row],[product_ID]], a.nike.original.man[Product_ID], a.nike.original.man[Sale Price], "Not Found"), 0)</f>
        <v>140</v>
      </c>
      <c r="F221" s="5" t="str" cm="1">
        <f t="array" ref="F221">_xlfn.IFS(b.nike.views[[#This Row],[Sales_Price]]&lt;=9, "under $10",b.nike.views[[#This Row],[Sales_Price]]&lt;=20, "$20 and under",b.nike.views[[#This Row],[Sales_Price]]&lt;=50, "$50 and under", b.nike.views[[#This Row],[Sales_Price]]&lt;=99, "under $100", b.nike.views[[#This Row],[Sales_Price]]&gt;=100, "$100 +")</f>
        <v>$100 +</v>
      </c>
      <c r="G221">
        <f>COUNTIF(a.nike.original.man[Product_ID], A221)</f>
        <v>1</v>
      </c>
      <c r="H221" t="str" cm="1">
        <f t="array" ref="H221">_xlfn.IFS(b.nike.views[[#This Row],[Review_Count]]&lt;=7, "Below Average",b.nike.views[[#This Row],[Review_Count]]&gt;=8, "Average +")</f>
        <v>Average +</v>
      </c>
      <c r="I221">
        <f>SUMIF(a.nike.original.man[Product_ID],b.nike.views[[#This Row],[product_ID]], a.nike.original.man[Reviews])</f>
        <v>29</v>
      </c>
      <c r="J221" s="41">
        <f>_xlfn.XLOOKUP(b.nike.views[[#This Row],[product_ID]],a.nike.original.man[Product_ID], a.nike.original.man[Discount %], "Not Found")</f>
        <v>0</v>
      </c>
      <c r="K221" s="41"/>
      <c r="L221" t="s">
        <v>1470</v>
      </c>
    </row>
    <row r="222" spans="1:12" x14ac:dyDescent="0.2">
      <c r="A222" t="s">
        <v>1190</v>
      </c>
      <c r="B222" t="str">
        <f>_xlfn.XLOOKUP(b.nike.views[[#This Row],[product_ID]], a.nike.original.man[Product_ID], a.nike.original.man[Product Name], "Not Found")</f>
        <v>Nike Tanjun</v>
      </c>
      <c r="C222" s="5" t="str">
        <f>_xlfn.XLOOKUP(b.nike.views[[#This Row],[product_ID]], a.nike.original.man[Product_ID], a.nike.original.man[Rating_Group], "Not Found")</f>
        <v>4 - 5</v>
      </c>
      <c r="D222">
        <f>_xlfn.XLOOKUP(b.nike.views[[#This Row],[product_ID]], a.nike.original.man[Product_ID], a.nike.original.man[Rating], "Not Found")</f>
        <v>4.2</v>
      </c>
      <c r="E222" s="10">
        <f>ROUND(_xlfn.XLOOKUP(b.nike.views[[#This Row],[product_ID]], a.nike.original.man[Product_ID], a.nike.original.man[Sale Price], "Not Found"), 0)</f>
        <v>34</v>
      </c>
      <c r="F222" s="5" t="str" cm="1">
        <f t="array" ref="F222">_xlfn.IFS(b.nike.views[[#This Row],[Sales_Price]]&lt;=9, "under $10",b.nike.views[[#This Row],[Sales_Price]]&lt;=20, "$20 and under",b.nike.views[[#This Row],[Sales_Price]]&lt;=50, "$50 and under", b.nike.views[[#This Row],[Sales_Price]]&lt;=99, "under $100", b.nike.views[[#This Row],[Sales_Price]]&gt;=100, "$100 +")</f>
        <v>$50 and under</v>
      </c>
      <c r="G222">
        <f>COUNTIF(a.nike.original.man[Product_ID], A222)</f>
        <v>1</v>
      </c>
      <c r="H222" t="str" cm="1">
        <f t="array" ref="H222">_xlfn.IFS(b.nike.views[[#This Row],[Review_Count]]&lt;=7, "Below Average",b.nike.views[[#This Row],[Review_Count]]&gt;=8, "Average +")</f>
        <v>Average +</v>
      </c>
      <c r="I222">
        <f>SUMIF(a.nike.original.man[Product_ID],b.nike.views[[#This Row],[product_ID]], a.nike.original.man[Reviews])</f>
        <v>25</v>
      </c>
      <c r="J222" s="41">
        <f>_xlfn.XLOOKUP(b.nike.views[[#This Row],[product_ID]],a.nike.original.man[Product_ID], a.nike.original.man[Discount %], "Not Found")</f>
        <v>0.3</v>
      </c>
      <c r="K222" s="41"/>
      <c r="L222" t="s">
        <v>1470</v>
      </c>
    </row>
    <row r="223" spans="1:12" x14ac:dyDescent="0.2">
      <c r="A223" t="s">
        <v>495</v>
      </c>
      <c r="B223" t="str">
        <f>_xlfn.XLOOKUP(b.nike.views[[#This Row],[product_ID]], a.nike.original.man[Product_ID], a.nike.original.man[Product Name], "Not Found")</f>
        <v>Nike Air Zoom Vomero 14</v>
      </c>
      <c r="C223" s="5" t="str">
        <f>_xlfn.XLOOKUP(b.nike.views[[#This Row],[product_ID]], a.nike.original.man[Product_ID], a.nike.original.man[Rating_Group], "Not Found")</f>
        <v>4 - 5</v>
      </c>
      <c r="D223">
        <f>_xlfn.XLOOKUP(b.nike.views[[#This Row],[product_ID]], a.nike.original.man[Product_ID], a.nike.original.man[Rating], "Not Found")</f>
        <v>4.2</v>
      </c>
      <c r="E223" s="10">
        <f>ROUND(_xlfn.XLOOKUP(b.nike.views[[#This Row],[product_ID]], a.nike.original.man[Product_ID], a.nike.original.man[Sale Price], "Not Found"), 0)</f>
        <v>120</v>
      </c>
      <c r="F223" s="5" t="str" cm="1">
        <f t="array" ref="F223">_xlfn.IFS(b.nike.views[[#This Row],[Sales_Price]]&lt;=9, "under $10",b.nike.views[[#This Row],[Sales_Price]]&lt;=20, "$20 and under",b.nike.views[[#This Row],[Sales_Price]]&lt;=50, "$50 and under", b.nike.views[[#This Row],[Sales_Price]]&lt;=99, "under $100", b.nike.views[[#This Row],[Sales_Price]]&gt;=100, "$100 +")</f>
        <v>$100 +</v>
      </c>
      <c r="G223">
        <f>COUNTIF(a.nike.original.man[Product_ID], A223)</f>
        <v>1</v>
      </c>
      <c r="H223" t="str" cm="1">
        <f t="array" ref="H223">_xlfn.IFS(b.nike.views[[#This Row],[Review_Count]]&lt;=7, "Below Average",b.nike.views[[#This Row],[Review_Count]]&gt;=8, "Average +")</f>
        <v>Average +</v>
      </c>
      <c r="I223">
        <f>SUMIF(a.nike.original.man[Product_ID],b.nike.views[[#This Row],[product_ID]], a.nike.original.man[Reviews])</f>
        <v>23</v>
      </c>
      <c r="J223" s="41">
        <f>_xlfn.XLOOKUP(b.nike.views[[#This Row],[product_ID]],a.nike.original.man[Product_ID], a.nike.original.man[Discount %], "Not Found")</f>
        <v>0</v>
      </c>
      <c r="K223" s="41"/>
      <c r="L223" t="s">
        <v>1470</v>
      </c>
    </row>
    <row r="224" spans="1:12" x14ac:dyDescent="0.2">
      <c r="A224" t="s">
        <v>1245</v>
      </c>
      <c r="B224" t="str">
        <f>_xlfn.XLOOKUP(b.nike.views[[#This Row],[product_ID]], a.nike.original.man[Product_ID], a.nike.original.man[Product Name], "Not Found")</f>
        <v>Nike Free RN 5.0</v>
      </c>
      <c r="C224" s="5" t="str">
        <f>_xlfn.XLOOKUP(b.nike.views[[#This Row],[product_ID]], a.nike.original.man[Product_ID], a.nike.original.man[Rating_Group], "Not Found")</f>
        <v>4 - 5</v>
      </c>
      <c r="D224">
        <f>_xlfn.XLOOKUP(b.nike.views[[#This Row],[product_ID]], a.nike.original.man[Product_ID], a.nike.original.man[Rating], "Not Found")</f>
        <v>4.2</v>
      </c>
      <c r="E224" s="10">
        <f>ROUND(_xlfn.XLOOKUP(b.nike.views[[#This Row],[product_ID]], a.nike.original.man[Product_ID], a.nike.original.man[Sale Price], "Not Found"), 0)</f>
        <v>48</v>
      </c>
      <c r="F224" s="5" t="str" cm="1">
        <f t="array" ref="F224">_xlfn.IFS(b.nike.views[[#This Row],[Sales_Price]]&lt;=9, "under $10",b.nike.views[[#This Row],[Sales_Price]]&lt;=20, "$20 and under",b.nike.views[[#This Row],[Sales_Price]]&lt;=50, "$50 and under", b.nike.views[[#This Row],[Sales_Price]]&lt;=99, "under $100", b.nike.views[[#This Row],[Sales_Price]]&gt;=100, "$100 +")</f>
        <v>$50 and under</v>
      </c>
      <c r="G224">
        <f>COUNTIF(a.nike.original.man[Product_ID], A224)</f>
        <v>1</v>
      </c>
      <c r="H224" t="str" cm="1">
        <f t="array" ref="H224">_xlfn.IFS(b.nike.views[[#This Row],[Review_Count]]&lt;=7, "Below Average",b.nike.views[[#This Row],[Review_Count]]&gt;=8, "Average +")</f>
        <v>Average +</v>
      </c>
      <c r="I224">
        <f>SUMIF(a.nike.original.man[Product_ID],b.nike.views[[#This Row],[product_ID]], a.nike.original.man[Reviews])</f>
        <v>13</v>
      </c>
      <c r="J224" s="41">
        <f>_xlfn.XLOOKUP(b.nike.views[[#This Row],[product_ID]],a.nike.original.man[Product_ID], a.nike.original.man[Discount %], "Not Found")</f>
        <v>0.4</v>
      </c>
      <c r="K224" s="41"/>
      <c r="L224" t="s">
        <v>1470</v>
      </c>
    </row>
    <row r="225" spans="1:12" x14ac:dyDescent="0.2">
      <c r="A225" t="s">
        <v>67</v>
      </c>
      <c r="B225" t="str">
        <f>_xlfn.XLOOKUP(b.nike.views[[#This Row],[product_ID]], a.nike.original.man[Product_ID], a.nike.original.man[Product Name], "Not Found")</f>
        <v>Nike SB Bruin High</v>
      </c>
      <c r="C225" s="5" t="str">
        <f>_xlfn.XLOOKUP(b.nike.views[[#This Row],[product_ID]], a.nike.original.man[Product_ID], a.nike.original.man[Rating_Group], "Not Found")</f>
        <v>4 - 5</v>
      </c>
      <c r="D225">
        <f>_xlfn.XLOOKUP(b.nike.views[[#This Row],[product_ID]], a.nike.original.man[Product_ID], a.nike.original.man[Rating], "Not Found")</f>
        <v>4.2</v>
      </c>
      <c r="E225" s="10">
        <f>ROUND(_xlfn.XLOOKUP(b.nike.views[[#This Row],[product_ID]], a.nike.original.man[Product_ID], a.nike.original.man[Sale Price], "Not Found"), 0)</f>
        <v>56</v>
      </c>
      <c r="F225" s="5" t="str" cm="1">
        <f t="array" ref="F225">_xlfn.IFS(b.nike.views[[#This Row],[Sales_Price]]&lt;=9, "under $10",b.nike.views[[#This Row],[Sales_Price]]&lt;=20, "$20 and under",b.nike.views[[#This Row],[Sales_Price]]&lt;=50, "$50 and under", b.nike.views[[#This Row],[Sales_Price]]&lt;=99, "under $100", b.nike.views[[#This Row],[Sales_Price]]&gt;=100, "$100 +")</f>
        <v>under $100</v>
      </c>
      <c r="G225">
        <f>COUNTIF(a.nike.original.man[Product_ID], A225)</f>
        <v>2</v>
      </c>
      <c r="H225" t="str" cm="1">
        <f t="array" ref="H225">_xlfn.IFS(b.nike.views[[#This Row],[Review_Count]]&lt;=7, "Below Average",b.nike.views[[#This Row],[Review_Count]]&gt;=8, "Average +")</f>
        <v>Average +</v>
      </c>
      <c r="I225">
        <f>SUMIF(a.nike.original.man[Product_ID],b.nike.views[[#This Row],[product_ID]], a.nike.original.man[Reviews])</f>
        <v>12</v>
      </c>
      <c r="J225" s="41">
        <f>_xlfn.XLOOKUP(b.nike.views[[#This Row],[product_ID]],a.nike.original.man[Product_ID], a.nike.original.man[Discount %], "Not Found")</f>
        <v>0.3</v>
      </c>
      <c r="K225" s="41"/>
      <c r="L225" t="s">
        <v>1470</v>
      </c>
    </row>
    <row r="226" spans="1:12" x14ac:dyDescent="0.2">
      <c r="A226" t="s">
        <v>1017</v>
      </c>
      <c r="B226" t="str">
        <f>_xlfn.XLOOKUP(b.nike.views[[#This Row],[product_ID]], a.nike.original.man[Product_ID], a.nike.original.man[Product Name], "Not Found")</f>
        <v>Air Jordan 14 Retro</v>
      </c>
      <c r="C226" s="5" t="str">
        <f>_xlfn.XLOOKUP(b.nike.views[[#This Row],[product_ID]], a.nike.original.man[Product_ID], a.nike.original.man[Rating_Group], "Not Found")</f>
        <v>4 - 5</v>
      </c>
      <c r="D226">
        <f>_xlfn.XLOOKUP(b.nike.views[[#This Row],[product_ID]], a.nike.original.man[Product_ID], a.nike.original.man[Rating], "Not Found")</f>
        <v>4.2</v>
      </c>
      <c r="E226" s="10">
        <f>ROUND(_xlfn.XLOOKUP(b.nike.views[[#This Row],[product_ID]], a.nike.original.man[Product_ID], a.nike.original.man[Sale Price], "Not Found"), 0)</f>
        <v>144</v>
      </c>
      <c r="F226" s="5" t="str" cm="1">
        <f t="array" ref="F226">_xlfn.IFS(b.nike.views[[#This Row],[Sales_Price]]&lt;=9, "under $10",b.nike.views[[#This Row],[Sales_Price]]&lt;=20, "$20 and under",b.nike.views[[#This Row],[Sales_Price]]&lt;=50, "$50 and under", b.nike.views[[#This Row],[Sales_Price]]&lt;=99, "under $100", b.nike.views[[#This Row],[Sales_Price]]&gt;=100, "$100 +")</f>
        <v>$100 +</v>
      </c>
      <c r="G226">
        <f>COUNTIF(a.nike.original.man[Product_ID], A226)</f>
        <v>1</v>
      </c>
      <c r="H226" t="str" cm="1">
        <f t="array" ref="H226">_xlfn.IFS(b.nike.views[[#This Row],[Review_Count]]&lt;=7, "Below Average",b.nike.views[[#This Row],[Review_Count]]&gt;=8, "Average +")</f>
        <v>Average +</v>
      </c>
      <c r="I226">
        <f>SUMIF(a.nike.original.man[Product_ID],b.nike.views[[#This Row],[product_ID]], a.nike.original.man[Reviews])</f>
        <v>12</v>
      </c>
      <c r="J226" s="41">
        <f>_xlfn.XLOOKUP(b.nike.views[[#This Row],[product_ID]],a.nike.original.man[Product_ID], a.nike.original.man[Discount %], "Not Found")</f>
        <v>0.2</v>
      </c>
      <c r="K226" s="41"/>
      <c r="L226" t="s">
        <v>1470</v>
      </c>
    </row>
    <row r="227" spans="1:12" x14ac:dyDescent="0.2">
      <c r="A227" t="s">
        <v>221</v>
      </c>
      <c r="B227" t="str">
        <f>_xlfn.XLOOKUP(b.nike.views[[#This Row],[product_ID]], a.nike.original.man[Product_ID], a.nike.original.man[Product Name], "Not Found")</f>
        <v>Nike Legend React</v>
      </c>
      <c r="C227" s="5" t="str">
        <f>_xlfn.XLOOKUP(b.nike.views[[#This Row],[product_ID]], a.nike.original.man[Product_ID], a.nike.original.man[Rating_Group], "Not Found")</f>
        <v>4 - 5</v>
      </c>
      <c r="D227">
        <f>_xlfn.XLOOKUP(b.nike.views[[#This Row],[product_ID]], a.nike.original.man[Product_ID], a.nike.original.man[Rating], "Not Found")</f>
        <v>4.2</v>
      </c>
      <c r="E227" s="10">
        <f>ROUND(_xlfn.XLOOKUP(b.nike.views[[#This Row],[product_ID]], a.nike.original.man[Product_ID], a.nike.original.man[Sale Price], "Not Found"), 0)</f>
        <v>88</v>
      </c>
      <c r="F227" s="5" t="str" cm="1">
        <f t="array" ref="F227">_xlfn.IFS(b.nike.views[[#This Row],[Sales_Price]]&lt;=9, "under $10",b.nike.views[[#This Row],[Sales_Price]]&lt;=20, "$20 and under",b.nike.views[[#This Row],[Sales_Price]]&lt;=50, "$50 and under", b.nike.views[[#This Row],[Sales_Price]]&lt;=99, "under $100", b.nike.views[[#This Row],[Sales_Price]]&gt;=100, "$100 +")</f>
        <v>under $100</v>
      </c>
      <c r="G227">
        <f>COUNTIF(a.nike.original.man[Product_ID], A227)</f>
        <v>1</v>
      </c>
      <c r="H227" t="str" cm="1">
        <f t="array" ref="H227">_xlfn.IFS(b.nike.views[[#This Row],[Review_Count]]&lt;=7, "Below Average",b.nike.views[[#This Row],[Review_Count]]&gt;=8, "Average +")</f>
        <v>Average +</v>
      </c>
      <c r="I227">
        <f>SUMIF(a.nike.original.man[Product_ID],b.nike.views[[#This Row],[product_ID]], a.nike.original.man[Reviews])</f>
        <v>9</v>
      </c>
      <c r="J227" s="41">
        <f>_xlfn.XLOOKUP(b.nike.views[[#This Row],[product_ID]],a.nike.original.man[Product_ID], a.nike.original.man[Discount %], "Not Found")</f>
        <v>0</v>
      </c>
      <c r="K227" s="41"/>
      <c r="L227" t="s">
        <v>1470</v>
      </c>
    </row>
    <row r="228" spans="1:12" x14ac:dyDescent="0.2">
      <c r="A228" t="s">
        <v>1024</v>
      </c>
      <c r="B228" t="str">
        <f>_xlfn.XLOOKUP(b.nike.views[[#This Row],[product_ID]], a.nike.original.man[Product_ID], a.nike.original.man[Product Name], "Not Found")</f>
        <v>Nike Air Zoom Pegasus 36 Trail</v>
      </c>
      <c r="C228" s="5" t="str">
        <f>_xlfn.XLOOKUP(b.nike.views[[#This Row],[product_ID]], a.nike.original.man[Product_ID], a.nike.original.man[Rating_Group], "Not Found")</f>
        <v>4 - 5</v>
      </c>
      <c r="D228">
        <f>_xlfn.XLOOKUP(b.nike.views[[#This Row],[product_ID]], a.nike.original.man[Product_ID], a.nike.original.man[Rating], "Not Found")</f>
        <v>4.2</v>
      </c>
      <c r="E228" s="10">
        <f>ROUND(_xlfn.XLOOKUP(b.nike.views[[#This Row],[product_ID]], a.nike.original.man[Product_ID], a.nike.original.man[Sale Price], "Not Found"), 0)</f>
        <v>110</v>
      </c>
      <c r="F228" s="5" t="str" cm="1">
        <f t="array" ref="F228">_xlfn.IFS(b.nike.views[[#This Row],[Sales_Price]]&lt;=9, "under $10",b.nike.views[[#This Row],[Sales_Price]]&lt;=20, "$20 and under",b.nike.views[[#This Row],[Sales_Price]]&lt;=50, "$50 and under", b.nike.views[[#This Row],[Sales_Price]]&lt;=99, "under $100", b.nike.views[[#This Row],[Sales_Price]]&gt;=100, "$100 +")</f>
        <v>$100 +</v>
      </c>
      <c r="G228">
        <f>COUNTIF(a.nike.original.man[Product_ID], A228)</f>
        <v>1</v>
      </c>
      <c r="H228" t="str" cm="1">
        <f t="array" ref="H228">_xlfn.IFS(b.nike.views[[#This Row],[Review_Count]]&lt;=7, "Below Average",b.nike.views[[#This Row],[Review_Count]]&gt;=8, "Average +")</f>
        <v>Average +</v>
      </c>
      <c r="I228">
        <f>SUMIF(a.nike.original.man[Product_ID],b.nike.views[[#This Row],[product_ID]], a.nike.original.man[Reviews])</f>
        <v>9</v>
      </c>
      <c r="J228" s="41">
        <f>_xlfn.XLOOKUP(b.nike.views[[#This Row],[product_ID]],a.nike.original.man[Product_ID], a.nike.original.man[Discount %], "Not Found")</f>
        <v>0</v>
      </c>
      <c r="K228" s="41"/>
      <c r="L228" t="s">
        <v>1470</v>
      </c>
    </row>
    <row r="229" spans="1:12" x14ac:dyDescent="0.2">
      <c r="A229" t="s">
        <v>731</v>
      </c>
      <c r="B229" t="str">
        <f>_xlfn.XLOOKUP(b.nike.views[[#This Row],[product_ID]], a.nike.original.man[Product_ID], a.nike.original.man[Product Name], "Not Found")</f>
        <v>LeBron Soldier 13 SFG</v>
      </c>
      <c r="C229" s="5" t="str">
        <f>_xlfn.XLOOKUP(b.nike.views[[#This Row],[product_ID]], a.nike.original.man[Product_ID], a.nike.original.man[Rating_Group], "Not Found")</f>
        <v>4 - 5</v>
      </c>
      <c r="D229">
        <f>_xlfn.XLOOKUP(b.nike.views[[#This Row],[product_ID]], a.nike.original.man[Product_ID], a.nike.original.man[Rating], "Not Found")</f>
        <v>4.2</v>
      </c>
      <c r="E229" s="10">
        <f>ROUND(_xlfn.XLOOKUP(b.nike.views[[#This Row],[product_ID]], a.nike.original.man[Product_ID], a.nike.original.man[Sale Price], "Not Found"), 0)</f>
        <v>96</v>
      </c>
      <c r="F229" s="5" t="str" cm="1">
        <f t="array" ref="F229">_xlfn.IFS(b.nike.views[[#This Row],[Sales_Price]]&lt;=9, "under $10",b.nike.views[[#This Row],[Sales_Price]]&lt;=20, "$20 and under",b.nike.views[[#This Row],[Sales_Price]]&lt;=50, "$50 and under", b.nike.views[[#This Row],[Sales_Price]]&lt;=99, "under $100", b.nike.views[[#This Row],[Sales_Price]]&gt;=100, "$100 +")</f>
        <v>under $100</v>
      </c>
      <c r="G229">
        <f>COUNTIF(a.nike.original.man[Product_ID], A229)</f>
        <v>1</v>
      </c>
      <c r="H229" t="str" cm="1">
        <f t="array" ref="H229">_xlfn.IFS(b.nike.views[[#This Row],[Review_Count]]&lt;=7, "Below Average",b.nike.views[[#This Row],[Review_Count]]&gt;=8, "Average +")</f>
        <v>Below Average</v>
      </c>
      <c r="I229">
        <f>SUMIF(a.nike.original.man[Product_ID],b.nike.views[[#This Row],[product_ID]], a.nike.original.man[Reviews])</f>
        <v>6</v>
      </c>
      <c r="J229" s="41">
        <f>_xlfn.XLOOKUP(b.nike.views[[#This Row],[product_ID]],a.nike.original.man[Product_ID], a.nike.original.man[Discount %], "Not Found")</f>
        <v>0.2</v>
      </c>
      <c r="K229" s="41"/>
      <c r="L229" t="s">
        <v>1470</v>
      </c>
    </row>
    <row r="230" spans="1:12" x14ac:dyDescent="0.2">
      <c r="A230" t="s">
        <v>1336</v>
      </c>
      <c r="B230" t="str">
        <f>_xlfn.XLOOKUP(b.nike.views[[#This Row],[product_ID]], a.nike.original.man[Product_ID], a.nike.original.man[Product Name], "Not Found")</f>
        <v>LeBron Soldier 13 SFG</v>
      </c>
      <c r="C230" s="5" t="str">
        <f>_xlfn.XLOOKUP(b.nike.views[[#This Row],[product_ID]], a.nike.original.man[Product_ID], a.nike.original.man[Rating_Group], "Not Found")</f>
        <v>4 - 5</v>
      </c>
      <c r="D230">
        <f>_xlfn.XLOOKUP(b.nike.views[[#This Row],[product_ID]], a.nike.original.man[Product_ID], a.nike.original.man[Rating], "Not Found")</f>
        <v>4.2</v>
      </c>
      <c r="E230" s="10">
        <f>ROUND(_xlfn.XLOOKUP(b.nike.views[[#This Row],[product_ID]], a.nike.original.man[Product_ID], a.nike.original.man[Sale Price], "Not Found"), 0)</f>
        <v>96</v>
      </c>
      <c r="F230" s="5" t="str" cm="1">
        <f t="array" ref="F230">_xlfn.IFS(b.nike.views[[#This Row],[Sales_Price]]&lt;=9, "under $10",b.nike.views[[#This Row],[Sales_Price]]&lt;=20, "$20 and under",b.nike.views[[#This Row],[Sales_Price]]&lt;=50, "$50 and under", b.nike.views[[#This Row],[Sales_Price]]&lt;=99, "under $100", b.nike.views[[#This Row],[Sales_Price]]&gt;=100, "$100 +")</f>
        <v>under $100</v>
      </c>
      <c r="G230">
        <f>COUNTIF(a.nike.original.man[Product_ID], A230)</f>
        <v>1</v>
      </c>
      <c r="H230" t="str" cm="1">
        <f t="array" ref="H230">_xlfn.IFS(b.nike.views[[#This Row],[Review_Count]]&lt;=7, "Below Average",b.nike.views[[#This Row],[Review_Count]]&gt;=8, "Average +")</f>
        <v>Below Average</v>
      </c>
      <c r="I230">
        <f>SUMIF(a.nike.original.man[Product_ID],b.nike.views[[#This Row],[product_ID]], a.nike.original.man[Reviews])</f>
        <v>6</v>
      </c>
      <c r="J230" s="41">
        <f>_xlfn.XLOOKUP(b.nike.views[[#This Row],[product_ID]],a.nike.original.man[Product_ID], a.nike.original.man[Discount %], "Not Found")</f>
        <v>0.2</v>
      </c>
      <c r="K230" s="41"/>
      <c r="L230" t="s">
        <v>1470</v>
      </c>
    </row>
    <row r="231" spans="1:12" x14ac:dyDescent="0.2">
      <c r="A231" t="s">
        <v>948</v>
      </c>
      <c r="B231" t="str">
        <f>_xlfn.XLOOKUP(b.nike.views[[#This Row],[product_ID]], a.nike.original.man[Product_ID], a.nike.original.man[Product Name], "Not Found")</f>
        <v>Nike Classic Cortez</v>
      </c>
      <c r="C231" s="5" t="str">
        <f>_xlfn.XLOOKUP(b.nike.views[[#This Row],[product_ID]], a.nike.original.man[Product_ID], a.nike.original.man[Rating_Group], "Not Found")</f>
        <v>4 - 5</v>
      </c>
      <c r="D231">
        <f>_xlfn.XLOOKUP(b.nike.views[[#This Row],[product_ID]], a.nike.original.man[Product_ID], a.nike.original.man[Rating], "Not Found")</f>
        <v>4.2</v>
      </c>
      <c r="E231" s="10">
        <f>ROUND(_xlfn.XLOOKUP(b.nike.views[[#This Row],[product_ID]], a.nike.original.man[Product_ID], a.nike.original.man[Sale Price], "Not Found"), 0)</f>
        <v>66</v>
      </c>
      <c r="F231" s="5" t="str" cm="1">
        <f t="array" ref="F231">_xlfn.IFS(b.nike.views[[#This Row],[Sales_Price]]&lt;=9, "under $10",b.nike.views[[#This Row],[Sales_Price]]&lt;=20, "$20 and under",b.nike.views[[#This Row],[Sales_Price]]&lt;=50, "$50 and under", b.nike.views[[#This Row],[Sales_Price]]&lt;=99, "under $100", b.nike.views[[#This Row],[Sales_Price]]&gt;=100, "$100 +")</f>
        <v>under $100</v>
      </c>
      <c r="G231">
        <f>COUNTIF(a.nike.original.man[Product_ID], A231)</f>
        <v>1</v>
      </c>
      <c r="H231" t="str" cm="1">
        <f t="array" ref="H231">_xlfn.IFS(b.nike.views[[#This Row],[Review_Count]]&lt;=7, "Below Average",b.nike.views[[#This Row],[Review_Count]]&gt;=8, "Average +")</f>
        <v>Below Average</v>
      </c>
      <c r="I231">
        <f>SUMIF(a.nike.original.man[Product_ID],b.nike.views[[#This Row],[product_ID]], a.nike.original.man[Reviews])</f>
        <v>5</v>
      </c>
      <c r="J231" s="41">
        <f>_xlfn.XLOOKUP(b.nike.views[[#This Row],[product_ID]],a.nike.original.man[Product_ID], a.nike.original.man[Discount %], "Not Found")</f>
        <v>0</v>
      </c>
      <c r="K231" s="41"/>
      <c r="L231" t="s">
        <v>1470</v>
      </c>
    </row>
    <row r="232" spans="1:12" x14ac:dyDescent="0.2">
      <c r="A232" t="s">
        <v>92</v>
      </c>
      <c r="B232" t="str">
        <f>_xlfn.XLOOKUP(b.nike.views[[#This Row],[product_ID]], a.nike.original.man[Product_ID], a.nike.original.man[Product Name], "Not Found")</f>
        <v>Jordan Break</v>
      </c>
      <c r="C232" s="5" t="str">
        <f>_xlfn.XLOOKUP(b.nike.views[[#This Row],[product_ID]], a.nike.original.man[Product_ID], a.nike.original.man[Rating_Group], "Not Found")</f>
        <v>4 - 5</v>
      </c>
      <c r="D232">
        <f>_xlfn.XLOOKUP(b.nike.views[[#This Row],[product_ID]], a.nike.original.man[Product_ID], a.nike.original.man[Rating], "Not Found")</f>
        <v>4.2</v>
      </c>
      <c r="E232" s="10">
        <f>ROUND(_xlfn.XLOOKUP(b.nike.views[[#This Row],[product_ID]], a.nike.original.man[Product_ID], a.nike.original.man[Sale Price], "Not Found"), 0)</f>
        <v>20</v>
      </c>
      <c r="F232" s="5" t="str" cm="1">
        <f t="array" ref="F232">_xlfn.IFS(b.nike.views[[#This Row],[Sales_Price]]&lt;=9, "under $10",b.nike.views[[#This Row],[Sales_Price]]&lt;=20, "$20 and under",b.nike.views[[#This Row],[Sales_Price]]&lt;=50, "$50 and under", b.nike.views[[#This Row],[Sales_Price]]&lt;=99, "under $100", b.nike.views[[#This Row],[Sales_Price]]&gt;=100, "$100 +")</f>
        <v>$20 and under</v>
      </c>
      <c r="G232">
        <f>COUNTIF(a.nike.original.man[Product_ID], A232)</f>
        <v>1</v>
      </c>
      <c r="H232" t="str" cm="1">
        <f t="array" ref="H232">_xlfn.IFS(b.nike.views[[#This Row],[Review_Count]]&lt;=7, "Below Average",b.nike.views[[#This Row],[Review_Count]]&gt;=8, "Average +")</f>
        <v>Below Average</v>
      </c>
      <c r="I232">
        <f>SUMIF(a.nike.original.man[Product_ID],b.nike.views[[#This Row],[product_ID]], a.nike.original.man[Reviews])</f>
        <v>5</v>
      </c>
      <c r="J232" s="41">
        <f>_xlfn.XLOOKUP(b.nike.views[[#This Row],[product_ID]],a.nike.original.man[Product_ID], a.nike.original.man[Discount %], "Not Found")</f>
        <v>0</v>
      </c>
      <c r="K232" s="41"/>
      <c r="L232" t="s">
        <v>1470</v>
      </c>
    </row>
    <row r="233" spans="1:12" x14ac:dyDescent="0.2">
      <c r="A233" t="s">
        <v>696</v>
      </c>
      <c r="B233" t="str">
        <f>_xlfn.XLOOKUP(b.nike.views[[#This Row],[product_ID]], a.nike.original.man[Product_ID], a.nike.original.man[Product Name], "Not Found")</f>
        <v>Nike Air Max Alpha Savage</v>
      </c>
      <c r="C233" s="5" t="str">
        <f>_xlfn.XLOOKUP(b.nike.views[[#This Row],[product_ID]], a.nike.original.man[Product_ID], a.nike.original.man[Rating_Group], "Not Found")</f>
        <v>4 - 5</v>
      </c>
      <c r="D233">
        <f>_xlfn.XLOOKUP(b.nike.views[[#This Row],[product_ID]], a.nike.original.man[Product_ID], a.nike.original.man[Rating], "Not Found")</f>
        <v>4.2</v>
      </c>
      <c r="E233" s="10">
        <f>ROUND(_xlfn.XLOOKUP(b.nike.views[[#This Row],[product_ID]], a.nike.original.man[Product_ID], a.nike.original.man[Sale Price], "Not Found"), 0)</f>
        <v>90</v>
      </c>
      <c r="F233" s="5" t="str" cm="1">
        <f t="array" ref="F233">_xlfn.IFS(b.nike.views[[#This Row],[Sales_Price]]&lt;=9, "under $10",b.nike.views[[#This Row],[Sales_Price]]&lt;=20, "$20 and under",b.nike.views[[#This Row],[Sales_Price]]&lt;=50, "$50 and under", b.nike.views[[#This Row],[Sales_Price]]&lt;=99, "under $100", b.nike.views[[#This Row],[Sales_Price]]&gt;=100, "$100 +")</f>
        <v>under $100</v>
      </c>
      <c r="G233">
        <f>COUNTIF(a.nike.original.man[Product_ID], A233)</f>
        <v>1</v>
      </c>
      <c r="H233" t="str" cm="1">
        <f t="array" ref="H233">_xlfn.IFS(b.nike.views[[#This Row],[Review_Count]]&lt;=7, "Below Average",b.nike.views[[#This Row],[Review_Count]]&gt;=8, "Average +")</f>
        <v>Below Average</v>
      </c>
      <c r="I233">
        <f>SUMIF(a.nike.original.man[Product_ID],b.nike.views[[#This Row],[product_ID]], a.nike.original.man[Reviews])</f>
        <v>5</v>
      </c>
      <c r="J233" s="41">
        <f>_xlfn.XLOOKUP(b.nike.views[[#This Row],[product_ID]],a.nike.original.man[Product_ID], a.nike.original.man[Discount %], "Not Found")</f>
        <v>0</v>
      </c>
      <c r="K233" s="41"/>
      <c r="L233" t="s">
        <v>1470</v>
      </c>
    </row>
    <row r="234" spans="1:12" x14ac:dyDescent="0.2">
      <c r="A234" t="s">
        <v>521</v>
      </c>
      <c r="B234" t="str">
        <f>_xlfn.XLOOKUP(b.nike.views[[#This Row],[product_ID]], a.nike.original.man[Product_ID], a.nike.original.man[Product Name], "Not Found")</f>
        <v>Nike Air Monarch IV</v>
      </c>
      <c r="C234" s="5" t="str">
        <f>_xlfn.XLOOKUP(b.nike.views[[#This Row],[product_ID]], a.nike.original.man[Product_ID], a.nike.original.man[Rating_Group], "Not Found")</f>
        <v>4 - 5</v>
      </c>
      <c r="D234">
        <f>_xlfn.XLOOKUP(b.nike.views[[#This Row],[product_ID]], a.nike.original.man[Product_ID], a.nike.original.man[Rating], "Not Found")</f>
        <v>4.0999999999999996</v>
      </c>
      <c r="E234" s="10">
        <f>ROUND(_xlfn.XLOOKUP(b.nike.views[[#This Row],[product_ID]], a.nike.original.man[Product_ID], a.nike.original.man[Sale Price], "Not Found"), 0)</f>
        <v>53</v>
      </c>
      <c r="F234" s="5" t="str" cm="1">
        <f t="array" ref="F234">_xlfn.IFS(b.nike.views[[#This Row],[Sales_Price]]&lt;=9, "under $10",b.nike.views[[#This Row],[Sales_Price]]&lt;=20, "$20 and under",b.nike.views[[#This Row],[Sales_Price]]&lt;=50, "$50 and under", b.nike.views[[#This Row],[Sales_Price]]&lt;=99, "under $100", b.nike.views[[#This Row],[Sales_Price]]&gt;=100, "$100 +")</f>
        <v>under $100</v>
      </c>
      <c r="G234">
        <f>COUNTIF(a.nike.original.man[Product_ID], A234)</f>
        <v>1</v>
      </c>
      <c r="H234" t="str" cm="1">
        <f t="array" ref="H234">_xlfn.IFS(b.nike.views[[#This Row],[Review_Count]]&lt;=7, "Below Average",b.nike.views[[#This Row],[Review_Count]]&gt;=8, "Average +")</f>
        <v>Average +</v>
      </c>
      <c r="I234">
        <f>SUMIF(a.nike.original.man[Product_ID],b.nike.views[[#This Row],[product_ID]], a.nike.original.man[Reviews])</f>
        <v>94</v>
      </c>
      <c r="J234" s="41">
        <f>_xlfn.XLOOKUP(b.nike.views[[#This Row],[product_ID]],a.nike.original.man[Product_ID], a.nike.original.man[Discount %], "Not Found")</f>
        <v>0</v>
      </c>
      <c r="K234" s="41"/>
      <c r="L234" t="s">
        <v>1470</v>
      </c>
    </row>
    <row r="235" spans="1:12" x14ac:dyDescent="0.2">
      <c r="A235" t="s">
        <v>904</v>
      </c>
      <c r="B235" t="str">
        <f>_xlfn.XLOOKUP(b.nike.views[[#This Row],[product_ID]], a.nike.original.man[Product_ID], a.nike.original.man[Product Name], "Not Found")</f>
        <v>Nike Epic React Flyknit 2</v>
      </c>
      <c r="C235" s="5" t="str">
        <f>_xlfn.XLOOKUP(b.nike.views[[#This Row],[product_ID]], a.nike.original.man[Product_ID], a.nike.original.man[Rating_Group], "Not Found")</f>
        <v>4 - 5</v>
      </c>
      <c r="D235">
        <f>_xlfn.XLOOKUP(b.nike.views[[#This Row],[product_ID]], a.nike.original.man[Product_ID], a.nike.original.man[Rating], "Not Found")</f>
        <v>4.0999999999999996</v>
      </c>
      <c r="E235" s="10">
        <f>ROUND(_xlfn.XLOOKUP(b.nike.views[[#This Row],[product_ID]], a.nike.original.man[Product_ID], a.nike.original.man[Sale Price], "Not Found"), 0)</f>
        <v>104</v>
      </c>
      <c r="F235" s="5" t="str" cm="1">
        <f t="array" ref="F235">_xlfn.IFS(b.nike.views[[#This Row],[Sales_Price]]&lt;=9, "under $10",b.nike.views[[#This Row],[Sales_Price]]&lt;=20, "$20 and under",b.nike.views[[#This Row],[Sales_Price]]&lt;=50, "$50 and under", b.nike.views[[#This Row],[Sales_Price]]&lt;=99, "under $100", b.nike.views[[#This Row],[Sales_Price]]&gt;=100, "$100 +")</f>
        <v>$100 +</v>
      </c>
      <c r="G235">
        <f>COUNTIF(a.nike.original.man[Product_ID], A235)</f>
        <v>1</v>
      </c>
      <c r="H235" t="str" cm="1">
        <f t="array" ref="H235">_xlfn.IFS(b.nike.views[[#This Row],[Review_Count]]&lt;=7, "Below Average",b.nike.views[[#This Row],[Review_Count]]&gt;=8, "Average +")</f>
        <v>Average +</v>
      </c>
      <c r="I235">
        <f>SUMIF(a.nike.original.man[Product_ID],b.nike.views[[#This Row],[product_ID]], a.nike.original.man[Reviews])</f>
        <v>72</v>
      </c>
      <c r="J235" s="41">
        <f>_xlfn.XLOOKUP(b.nike.views[[#This Row],[product_ID]],a.nike.original.man[Product_ID], a.nike.original.man[Discount %], "Not Found")</f>
        <v>0.2</v>
      </c>
      <c r="K235" s="41"/>
      <c r="L235" t="s">
        <v>1470</v>
      </c>
    </row>
    <row r="236" spans="1:12" x14ac:dyDescent="0.2">
      <c r="A236" t="s">
        <v>929</v>
      </c>
      <c r="B236" t="str">
        <f>_xlfn.XLOOKUP(b.nike.views[[#This Row],[product_ID]], a.nike.original.man[Product_ID], a.nike.original.man[Product Name], "Not Found")</f>
        <v>Kyrie 4</v>
      </c>
      <c r="C236" s="5" t="str">
        <f>_xlfn.XLOOKUP(b.nike.views[[#This Row],[product_ID]], a.nike.original.man[Product_ID], a.nike.original.man[Rating_Group], "Not Found")</f>
        <v>4 - 5</v>
      </c>
      <c r="D236">
        <f>_xlfn.XLOOKUP(b.nike.views[[#This Row],[product_ID]], a.nike.original.man[Product_ID], a.nike.original.man[Rating], "Not Found")</f>
        <v>4.0999999999999996</v>
      </c>
      <c r="E236" s="10">
        <f>ROUND(_xlfn.XLOOKUP(b.nike.views[[#This Row],[product_ID]], a.nike.original.man[Product_ID], a.nike.original.man[Sale Price], "Not Found"), 0)</f>
        <v>110</v>
      </c>
      <c r="F236" s="5" t="str" cm="1">
        <f t="array" ref="F236">_xlfn.IFS(b.nike.views[[#This Row],[Sales_Price]]&lt;=9, "under $10",b.nike.views[[#This Row],[Sales_Price]]&lt;=20, "$20 and under",b.nike.views[[#This Row],[Sales_Price]]&lt;=50, "$50 and under", b.nike.views[[#This Row],[Sales_Price]]&lt;=99, "under $100", b.nike.views[[#This Row],[Sales_Price]]&gt;=100, "$100 +")</f>
        <v>$100 +</v>
      </c>
      <c r="G236">
        <f>COUNTIF(a.nike.original.man[Product_ID], A236)</f>
        <v>2</v>
      </c>
      <c r="H236" t="str" cm="1">
        <f t="array" ref="H236">_xlfn.IFS(b.nike.views[[#This Row],[Review_Count]]&lt;=7, "Below Average",b.nike.views[[#This Row],[Review_Count]]&gt;=8, "Average +")</f>
        <v>Average +</v>
      </c>
      <c r="I236">
        <f>SUMIF(a.nike.original.man[Product_ID],b.nike.views[[#This Row],[product_ID]], a.nike.original.man[Reviews])</f>
        <v>38</v>
      </c>
      <c r="J236" s="41">
        <f>_xlfn.XLOOKUP(b.nike.views[[#This Row],[product_ID]],a.nike.original.man[Product_ID], a.nike.original.man[Discount %], "Not Found")</f>
        <v>0</v>
      </c>
      <c r="K236" s="41"/>
      <c r="L236" t="s">
        <v>1470</v>
      </c>
    </row>
    <row r="237" spans="1:12" x14ac:dyDescent="0.2">
      <c r="A237" t="s">
        <v>1092</v>
      </c>
      <c r="B237" t="str">
        <f>_xlfn.XLOOKUP(b.nike.views[[#This Row],[product_ID]], a.nike.original.man[Product_ID], a.nike.original.man[Product Name], "Not Found")</f>
        <v>Nike Benassi</v>
      </c>
      <c r="C237" s="5" t="str">
        <f>_xlfn.XLOOKUP(b.nike.views[[#This Row],[product_ID]], a.nike.original.man[Product_ID], a.nike.original.man[Rating_Group], "Not Found")</f>
        <v>4 - 5</v>
      </c>
      <c r="D237">
        <f>_xlfn.XLOOKUP(b.nike.views[[#This Row],[product_ID]], a.nike.original.man[Product_ID], a.nike.original.man[Rating], "Not Found")</f>
        <v>4.0999999999999996</v>
      </c>
      <c r="E237" s="10">
        <f>ROUND(_xlfn.XLOOKUP(b.nike.views[[#This Row],[product_ID]], a.nike.original.man[Product_ID], a.nike.original.man[Sale Price], "Not Found"), 0)</f>
        <v>25</v>
      </c>
      <c r="F237" s="5" t="str" cm="1">
        <f t="array" ref="F237">_xlfn.IFS(b.nike.views[[#This Row],[Sales_Price]]&lt;=9, "under $10",b.nike.views[[#This Row],[Sales_Price]]&lt;=20, "$20 and under",b.nike.views[[#This Row],[Sales_Price]]&lt;=50, "$50 and under", b.nike.views[[#This Row],[Sales_Price]]&lt;=99, "under $100", b.nike.views[[#This Row],[Sales_Price]]&gt;=100, "$100 +")</f>
        <v>$50 and under</v>
      </c>
      <c r="G237">
        <f>COUNTIF(a.nike.original.man[Product_ID], A237)</f>
        <v>1</v>
      </c>
      <c r="H237" t="str" cm="1">
        <f t="array" ref="H237">_xlfn.IFS(b.nike.views[[#This Row],[Review_Count]]&lt;=7, "Below Average",b.nike.views[[#This Row],[Review_Count]]&gt;=8, "Average +")</f>
        <v>Average +</v>
      </c>
      <c r="I237">
        <f>SUMIF(a.nike.original.man[Product_ID],b.nike.views[[#This Row],[product_ID]], a.nike.original.man[Reviews])</f>
        <v>33</v>
      </c>
      <c r="J237" s="41">
        <f>_xlfn.XLOOKUP(b.nike.views[[#This Row],[product_ID]],a.nike.original.man[Product_ID], a.nike.original.man[Discount %], "Not Found")</f>
        <v>0</v>
      </c>
      <c r="K237" s="41"/>
      <c r="L237" t="s">
        <v>1470</v>
      </c>
    </row>
    <row r="238" spans="1:12" x14ac:dyDescent="0.2">
      <c r="A238" t="s">
        <v>891</v>
      </c>
      <c r="B238" t="str">
        <f>_xlfn.XLOOKUP(b.nike.views[[#This Row],[product_ID]], a.nike.original.man[Product_ID], a.nike.original.man[Product Name], "Not Found")</f>
        <v>Nike Air Force 1 GORE-TEX ¬Æ</v>
      </c>
      <c r="C238" s="5" t="str">
        <f>_xlfn.XLOOKUP(b.nike.views[[#This Row],[product_ID]], a.nike.original.man[Product_ID], a.nike.original.man[Rating_Group], "Not Found")</f>
        <v>4 - 5</v>
      </c>
      <c r="D238">
        <f>_xlfn.XLOOKUP(b.nike.views[[#This Row],[product_ID]], a.nike.original.man[Product_ID], a.nike.original.man[Rating], "Not Found")</f>
        <v>4.0999999999999996</v>
      </c>
      <c r="E238" s="10">
        <f>ROUND(_xlfn.XLOOKUP(b.nike.views[[#This Row],[product_ID]], a.nike.original.man[Product_ID], a.nike.original.man[Sale Price], "Not Found"), 0)</f>
        <v>91</v>
      </c>
      <c r="F238" s="5" t="str" cm="1">
        <f t="array" ref="F238">_xlfn.IFS(b.nike.views[[#This Row],[Sales_Price]]&lt;=9, "under $10",b.nike.views[[#This Row],[Sales_Price]]&lt;=20, "$20 and under",b.nike.views[[#This Row],[Sales_Price]]&lt;=50, "$50 and under", b.nike.views[[#This Row],[Sales_Price]]&lt;=99, "under $100", b.nike.views[[#This Row],[Sales_Price]]&gt;=100, "$100 +")</f>
        <v>under $100</v>
      </c>
      <c r="G238">
        <f>COUNTIF(a.nike.original.man[Product_ID], A238)</f>
        <v>1</v>
      </c>
      <c r="H238" t="str" cm="1">
        <f t="array" ref="H238">_xlfn.IFS(b.nike.views[[#This Row],[Review_Count]]&lt;=7, "Below Average",b.nike.views[[#This Row],[Review_Count]]&gt;=8, "Average +")</f>
        <v>Average +</v>
      </c>
      <c r="I238">
        <f>SUMIF(a.nike.original.man[Product_ID],b.nike.views[[#This Row],[product_ID]], a.nike.original.man[Reviews])</f>
        <v>18</v>
      </c>
      <c r="J238" s="41">
        <f>_xlfn.XLOOKUP(b.nike.views[[#This Row],[product_ID]],a.nike.original.man[Product_ID], a.nike.original.man[Discount %], "Not Found")</f>
        <v>0.3</v>
      </c>
      <c r="K238" s="41"/>
      <c r="L238" t="s">
        <v>1470</v>
      </c>
    </row>
    <row r="239" spans="1:12" x14ac:dyDescent="0.2">
      <c r="A239" t="s">
        <v>1345</v>
      </c>
      <c r="B239" t="str">
        <f>_xlfn.XLOOKUP(b.nike.views[[#This Row],[product_ID]], a.nike.original.man[Product_ID], a.nike.original.man[Product Name], "Not Found")</f>
        <v>Nike Air Force 1 GORE-TEX ¬Æ</v>
      </c>
      <c r="C239" s="5" t="str">
        <f>_xlfn.XLOOKUP(b.nike.views[[#This Row],[product_ID]], a.nike.original.man[Product_ID], a.nike.original.man[Rating_Group], "Not Found")</f>
        <v>4 - 5</v>
      </c>
      <c r="D239">
        <f>_xlfn.XLOOKUP(b.nike.views[[#This Row],[product_ID]], a.nike.original.man[Product_ID], a.nike.original.man[Rating], "Not Found")</f>
        <v>4.0999999999999996</v>
      </c>
      <c r="E239" s="10">
        <f>ROUND(_xlfn.XLOOKUP(b.nike.views[[#This Row],[product_ID]], a.nike.original.man[Product_ID], a.nike.original.man[Sale Price], "Not Found"), 0)</f>
        <v>104</v>
      </c>
      <c r="F239" s="5" t="str" cm="1">
        <f t="array" ref="F239">_xlfn.IFS(b.nike.views[[#This Row],[Sales_Price]]&lt;=9, "under $10",b.nike.views[[#This Row],[Sales_Price]]&lt;=20, "$20 and under",b.nike.views[[#This Row],[Sales_Price]]&lt;=50, "$50 and under", b.nike.views[[#This Row],[Sales_Price]]&lt;=99, "under $100", b.nike.views[[#This Row],[Sales_Price]]&gt;=100, "$100 +")</f>
        <v>$100 +</v>
      </c>
      <c r="G239">
        <f>COUNTIF(a.nike.original.man[Product_ID], A239)</f>
        <v>1</v>
      </c>
      <c r="H239" t="str" cm="1">
        <f t="array" ref="H239">_xlfn.IFS(b.nike.views[[#This Row],[Review_Count]]&lt;=7, "Below Average",b.nike.views[[#This Row],[Review_Count]]&gt;=8, "Average +")</f>
        <v>Average +</v>
      </c>
      <c r="I239">
        <f>SUMIF(a.nike.original.man[Product_ID],b.nike.views[[#This Row],[product_ID]], a.nike.original.man[Reviews])</f>
        <v>18</v>
      </c>
      <c r="J239" s="41">
        <f>_xlfn.XLOOKUP(b.nike.views[[#This Row],[product_ID]],a.nike.original.man[Product_ID], a.nike.original.man[Discount %], "Not Found")</f>
        <v>0.2</v>
      </c>
      <c r="K239" s="41"/>
      <c r="L239" t="s">
        <v>1470</v>
      </c>
    </row>
    <row r="240" spans="1:12" x14ac:dyDescent="0.2">
      <c r="A240" t="s">
        <v>438</v>
      </c>
      <c r="B240" t="str">
        <f>_xlfn.XLOOKUP(b.nike.views[[#This Row],[product_ID]], a.nike.original.man[Product_ID], a.nike.original.man[Product Name], "Not Found")</f>
        <v>Air Jordan XXXIII</v>
      </c>
      <c r="C240" s="5" t="str">
        <f>_xlfn.XLOOKUP(b.nike.views[[#This Row],[product_ID]], a.nike.original.man[Product_ID], a.nike.original.man[Rating_Group], "Not Found")</f>
        <v>4 - 5</v>
      </c>
      <c r="D240">
        <f>_xlfn.XLOOKUP(b.nike.views[[#This Row],[product_ID]], a.nike.original.man[Product_ID], a.nike.original.man[Rating], "Not Found")</f>
        <v>4.0999999999999996</v>
      </c>
      <c r="E240" s="10">
        <f>ROUND(_xlfn.XLOOKUP(b.nike.views[[#This Row],[product_ID]], a.nike.original.man[Product_ID], a.nike.original.man[Sale Price], "Not Found"), 0)</f>
        <v>152</v>
      </c>
      <c r="F240" s="5" t="str" cm="1">
        <f t="array" ref="F240">_xlfn.IFS(b.nike.views[[#This Row],[Sales_Price]]&lt;=9, "under $10",b.nike.views[[#This Row],[Sales_Price]]&lt;=20, "$20 and under",b.nike.views[[#This Row],[Sales_Price]]&lt;=50, "$50 and under", b.nike.views[[#This Row],[Sales_Price]]&lt;=99, "under $100", b.nike.views[[#This Row],[Sales_Price]]&gt;=100, "$100 +")</f>
        <v>$100 +</v>
      </c>
      <c r="G240">
        <f>COUNTIF(a.nike.original.man[Product_ID], A240)</f>
        <v>1</v>
      </c>
      <c r="H240" t="str" cm="1">
        <f t="array" ref="H240">_xlfn.IFS(b.nike.views[[#This Row],[Review_Count]]&lt;=7, "Below Average",b.nike.views[[#This Row],[Review_Count]]&gt;=8, "Average +")</f>
        <v>Average +</v>
      </c>
      <c r="I240">
        <f>SUMIF(a.nike.original.man[Product_ID],b.nike.views[[#This Row],[product_ID]], a.nike.original.man[Reviews])</f>
        <v>17</v>
      </c>
      <c r="J240" s="41">
        <f>_xlfn.XLOOKUP(b.nike.views[[#This Row],[product_ID]],a.nike.original.man[Product_ID], a.nike.original.man[Discount %], "Not Found")</f>
        <v>0.2</v>
      </c>
      <c r="K240" s="41"/>
      <c r="L240" t="s">
        <v>1470</v>
      </c>
    </row>
    <row r="241" spans="1:12" x14ac:dyDescent="0.2">
      <c r="A241" t="s">
        <v>1022</v>
      </c>
      <c r="B241" t="str">
        <f>_xlfn.XLOOKUP(b.nike.views[[#This Row],[product_ID]], a.nike.original.man[Product_ID], a.nike.original.man[Product Name], "Not Found")</f>
        <v>Nike Free RN Flyknit 3.0</v>
      </c>
      <c r="C241" s="5" t="str">
        <f>_xlfn.XLOOKUP(b.nike.views[[#This Row],[product_ID]], a.nike.original.man[Product_ID], a.nike.original.man[Rating_Group], "Not Found")</f>
        <v>4 - 5</v>
      </c>
      <c r="D241">
        <f>_xlfn.XLOOKUP(b.nike.views[[#This Row],[product_ID]], a.nike.original.man[Product_ID], a.nike.original.man[Rating], "Not Found")</f>
        <v>4.0999999999999996</v>
      </c>
      <c r="E241" s="10">
        <f>ROUND(_xlfn.XLOOKUP(b.nike.views[[#This Row],[product_ID]], a.nike.original.man[Product_ID], a.nike.original.man[Sale Price], "Not Found"), 0)</f>
        <v>66</v>
      </c>
      <c r="F241" s="5" t="str" cm="1">
        <f t="array" ref="F241">_xlfn.IFS(b.nike.views[[#This Row],[Sales_Price]]&lt;=9, "under $10",b.nike.views[[#This Row],[Sales_Price]]&lt;=20, "$20 and under",b.nike.views[[#This Row],[Sales_Price]]&lt;=50, "$50 and under", b.nike.views[[#This Row],[Sales_Price]]&lt;=99, "under $100", b.nike.views[[#This Row],[Sales_Price]]&gt;=100, "$100 +")</f>
        <v>under $100</v>
      </c>
      <c r="G241">
        <f>COUNTIF(a.nike.original.man[Product_ID], A241)</f>
        <v>1</v>
      </c>
      <c r="H241" t="str" cm="1">
        <f t="array" ref="H241">_xlfn.IFS(b.nike.views[[#This Row],[Review_Count]]&lt;=7, "Below Average",b.nike.views[[#This Row],[Review_Count]]&gt;=8, "Average +")</f>
        <v>Average +</v>
      </c>
      <c r="I241">
        <f>SUMIF(a.nike.original.man[Product_ID],b.nike.views[[#This Row],[product_ID]], a.nike.original.man[Reviews])</f>
        <v>13</v>
      </c>
      <c r="J241" s="41">
        <f>_xlfn.XLOOKUP(b.nike.views[[#This Row],[product_ID]],a.nike.original.man[Product_ID], a.nike.original.man[Discount %], "Not Found")</f>
        <v>0.4</v>
      </c>
      <c r="K241" s="41"/>
      <c r="L241" t="s">
        <v>1470</v>
      </c>
    </row>
    <row r="242" spans="1:12" x14ac:dyDescent="0.2">
      <c r="A242" t="s">
        <v>1007</v>
      </c>
      <c r="B242" t="str">
        <f>_xlfn.XLOOKUP(b.nike.views[[#This Row],[product_ID]], a.nike.original.man[Product_ID], a.nike.original.man[Product Name], "Not Found")</f>
        <v>Nike Zoom Pegasus Turbo Shield</v>
      </c>
      <c r="C242" s="5" t="str">
        <f>_xlfn.XLOOKUP(b.nike.views[[#This Row],[product_ID]], a.nike.original.man[Product_ID], a.nike.original.man[Rating_Group], "Not Found")</f>
        <v>4 - 5</v>
      </c>
      <c r="D242">
        <f>_xlfn.XLOOKUP(b.nike.views[[#This Row],[product_ID]], a.nike.original.man[Product_ID], a.nike.original.man[Rating], "Not Found")</f>
        <v>4.0999999999999996</v>
      </c>
      <c r="E242" s="10">
        <f>ROUND(_xlfn.XLOOKUP(b.nike.views[[#This Row],[product_ID]], a.nike.original.man[Product_ID], a.nike.original.man[Sale Price], "Not Found"), 0)</f>
        <v>126</v>
      </c>
      <c r="F242" s="5" t="str" cm="1">
        <f t="array" ref="F242">_xlfn.IFS(b.nike.views[[#This Row],[Sales_Price]]&lt;=9, "under $10",b.nike.views[[#This Row],[Sales_Price]]&lt;=20, "$20 and under",b.nike.views[[#This Row],[Sales_Price]]&lt;=50, "$50 and under", b.nike.views[[#This Row],[Sales_Price]]&lt;=99, "under $100", b.nike.views[[#This Row],[Sales_Price]]&gt;=100, "$100 +")</f>
        <v>$100 +</v>
      </c>
      <c r="G242">
        <f>COUNTIF(a.nike.original.man[Product_ID], A242)</f>
        <v>1</v>
      </c>
      <c r="H242" t="str" cm="1">
        <f t="array" ref="H242">_xlfn.IFS(b.nike.views[[#This Row],[Review_Count]]&lt;=7, "Below Average",b.nike.views[[#This Row],[Review_Count]]&gt;=8, "Average +")</f>
        <v>Average +</v>
      </c>
      <c r="I242">
        <f>SUMIF(a.nike.original.man[Product_ID],b.nike.views[[#This Row],[product_ID]], a.nike.original.man[Reviews])</f>
        <v>11</v>
      </c>
      <c r="J242" s="41">
        <f>_xlfn.XLOOKUP(b.nike.views[[#This Row],[product_ID]],a.nike.original.man[Product_ID], a.nike.original.man[Discount %], "Not Found")</f>
        <v>0.3</v>
      </c>
      <c r="K242" s="41"/>
      <c r="L242" t="s">
        <v>1470</v>
      </c>
    </row>
    <row r="243" spans="1:12" x14ac:dyDescent="0.2">
      <c r="A243" t="s">
        <v>544</v>
      </c>
      <c r="B243" t="str">
        <f>_xlfn.XLOOKUP(b.nike.views[[#This Row],[product_ID]], a.nike.original.man[Product_ID], a.nike.original.man[Product Name], "Not Found")</f>
        <v>Nike Air VaporMax 360</v>
      </c>
      <c r="C243" s="5" t="str">
        <f>_xlfn.XLOOKUP(b.nike.views[[#This Row],[product_ID]], a.nike.original.man[Product_ID], a.nike.original.man[Rating_Group], "Not Found")</f>
        <v>4 - 5</v>
      </c>
      <c r="D243">
        <f>_xlfn.XLOOKUP(b.nike.views[[#This Row],[product_ID]], a.nike.original.man[Product_ID], a.nike.original.man[Rating], "Not Found")</f>
        <v>4.0999999999999996</v>
      </c>
      <c r="E243" s="10">
        <f>ROUND(_xlfn.XLOOKUP(b.nike.views[[#This Row],[product_ID]], a.nike.original.man[Product_ID], a.nike.original.man[Sale Price], "Not Found"), 0)</f>
        <v>190</v>
      </c>
      <c r="F243" s="5" t="str" cm="1">
        <f t="array" ref="F243">_xlfn.IFS(b.nike.views[[#This Row],[Sales_Price]]&lt;=9, "under $10",b.nike.views[[#This Row],[Sales_Price]]&lt;=20, "$20 and under",b.nike.views[[#This Row],[Sales_Price]]&lt;=50, "$50 and under", b.nike.views[[#This Row],[Sales_Price]]&lt;=99, "under $100", b.nike.views[[#This Row],[Sales_Price]]&gt;=100, "$100 +")</f>
        <v>$100 +</v>
      </c>
      <c r="G243">
        <f>COUNTIF(a.nike.original.man[Product_ID], A243)</f>
        <v>1</v>
      </c>
      <c r="H243" t="str" cm="1">
        <f t="array" ref="H243">_xlfn.IFS(b.nike.views[[#This Row],[Review_Count]]&lt;=7, "Below Average",b.nike.views[[#This Row],[Review_Count]]&gt;=8, "Average +")</f>
        <v>Average +</v>
      </c>
      <c r="I243">
        <f>SUMIF(a.nike.original.man[Product_ID],b.nike.views[[#This Row],[product_ID]], a.nike.original.man[Reviews])</f>
        <v>10</v>
      </c>
      <c r="J243" s="41">
        <f>_xlfn.XLOOKUP(b.nike.views[[#This Row],[product_ID]],a.nike.original.man[Product_ID], a.nike.original.man[Discount %], "Not Found")</f>
        <v>0</v>
      </c>
      <c r="K243" s="41"/>
      <c r="L243" t="s">
        <v>1470</v>
      </c>
    </row>
    <row r="244" spans="1:12" x14ac:dyDescent="0.2">
      <c r="A244" t="s">
        <v>605</v>
      </c>
      <c r="B244" t="str">
        <f>_xlfn.XLOOKUP(b.nike.views[[#This Row],[product_ID]], a.nike.original.man[Product_ID], a.nike.original.man[Product Name], "Not Found")</f>
        <v>Nike Air Max 98</v>
      </c>
      <c r="C244" s="5" t="str">
        <f>_xlfn.XLOOKUP(b.nike.views[[#This Row],[product_ID]], a.nike.original.man[Product_ID], a.nike.original.man[Rating_Group], "Not Found")</f>
        <v>4 - 5</v>
      </c>
      <c r="D244">
        <f>_xlfn.XLOOKUP(b.nike.views[[#This Row],[product_ID]], a.nike.original.man[Product_ID], a.nike.original.man[Rating], "Not Found")</f>
        <v>4.0999999999999996</v>
      </c>
      <c r="E244" s="10">
        <f>ROUND(_xlfn.XLOOKUP(b.nike.views[[#This Row],[product_ID]], a.nike.original.man[Product_ID], a.nike.original.man[Sale Price], "Not Found"), 0)</f>
        <v>102</v>
      </c>
      <c r="F244" s="5" t="str" cm="1">
        <f t="array" ref="F244">_xlfn.IFS(b.nike.views[[#This Row],[Sales_Price]]&lt;=9, "under $10",b.nike.views[[#This Row],[Sales_Price]]&lt;=20, "$20 and under",b.nike.views[[#This Row],[Sales_Price]]&lt;=50, "$50 and under", b.nike.views[[#This Row],[Sales_Price]]&lt;=99, "under $100", b.nike.views[[#This Row],[Sales_Price]]&gt;=100, "$100 +")</f>
        <v>$100 +</v>
      </c>
      <c r="G244">
        <f>COUNTIF(a.nike.original.man[Product_ID], A244)</f>
        <v>1</v>
      </c>
      <c r="H244" t="str" cm="1">
        <f t="array" ref="H244">_xlfn.IFS(b.nike.views[[#This Row],[Review_Count]]&lt;=7, "Below Average",b.nike.views[[#This Row],[Review_Count]]&gt;=8, "Average +")</f>
        <v>Average +</v>
      </c>
      <c r="I244">
        <f>SUMIF(a.nike.original.man[Product_ID],b.nike.views[[#This Row],[product_ID]], a.nike.original.man[Reviews])</f>
        <v>9</v>
      </c>
      <c r="J244" s="41">
        <f>_xlfn.XLOOKUP(b.nike.views[[#This Row],[product_ID]],a.nike.original.man[Product_ID], a.nike.original.man[Discount %], "Not Found")</f>
        <v>0.4</v>
      </c>
      <c r="K244" s="41"/>
      <c r="L244" t="s">
        <v>1470</v>
      </c>
    </row>
    <row r="245" spans="1:12" x14ac:dyDescent="0.2">
      <c r="A245" t="s">
        <v>1159</v>
      </c>
      <c r="B245" t="str">
        <f>_xlfn.XLOOKUP(b.nike.views[[#This Row],[product_ID]], a.nike.original.man[Product_ID], a.nike.original.man[Product Name], "Not Found")</f>
        <v>Nike Benassi JDI Floral</v>
      </c>
      <c r="C245" s="5" t="str">
        <f>_xlfn.XLOOKUP(b.nike.views[[#This Row],[product_ID]], a.nike.original.man[Product_ID], a.nike.original.man[Rating_Group], "Not Found")</f>
        <v>4 - 5</v>
      </c>
      <c r="D245">
        <f>_xlfn.XLOOKUP(b.nike.views[[#This Row],[product_ID]], a.nike.original.man[Product_ID], a.nike.original.man[Rating], "Not Found")</f>
        <v>4.0999999999999996</v>
      </c>
      <c r="E245" s="10">
        <f>ROUND(_xlfn.XLOOKUP(b.nike.views[[#This Row],[product_ID]], a.nike.original.man[Product_ID], a.nike.original.man[Sale Price], "Not Found"), 0)</f>
        <v>24</v>
      </c>
      <c r="F245" s="5" t="str" cm="1">
        <f t="array" ref="F245">_xlfn.IFS(b.nike.views[[#This Row],[Sales_Price]]&lt;=9, "under $10",b.nike.views[[#This Row],[Sales_Price]]&lt;=20, "$20 and under",b.nike.views[[#This Row],[Sales_Price]]&lt;=50, "$50 and under", b.nike.views[[#This Row],[Sales_Price]]&lt;=99, "under $100", b.nike.views[[#This Row],[Sales_Price]]&gt;=100, "$100 +")</f>
        <v>$50 and under</v>
      </c>
      <c r="G245">
        <f>COUNTIF(a.nike.original.man[Product_ID], A245)</f>
        <v>1</v>
      </c>
      <c r="H245" t="str" cm="1">
        <f t="array" ref="H245">_xlfn.IFS(b.nike.views[[#This Row],[Review_Count]]&lt;=7, "Below Average",b.nike.views[[#This Row],[Review_Count]]&gt;=8, "Average +")</f>
        <v>Average +</v>
      </c>
      <c r="I245">
        <f>SUMIF(a.nike.original.man[Product_ID],b.nike.views[[#This Row],[product_ID]], a.nike.original.man[Reviews])</f>
        <v>8</v>
      </c>
      <c r="J245" s="41">
        <f>_xlfn.XLOOKUP(b.nike.views[[#This Row],[product_ID]],a.nike.original.man[Product_ID], a.nike.original.man[Discount %], "Not Found")</f>
        <v>0.2</v>
      </c>
      <c r="K245" s="41"/>
      <c r="L245" t="s">
        <v>1470</v>
      </c>
    </row>
    <row r="246" spans="1:12" x14ac:dyDescent="0.2">
      <c r="A246" t="s">
        <v>1389</v>
      </c>
      <c r="B246" t="str">
        <f>_xlfn.XLOOKUP(b.nike.views[[#This Row],[product_ID]], a.nike.original.man[Product_ID], a.nike.original.man[Product Name], "Not Found")</f>
        <v>Nike Odyssey React</v>
      </c>
      <c r="C246" s="5" t="str">
        <f>_xlfn.XLOOKUP(b.nike.views[[#This Row],[product_ID]], a.nike.original.man[Product_ID], a.nike.original.man[Rating_Group], "Not Found")</f>
        <v>4 - 5</v>
      </c>
      <c r="D246">
        <f>_xlfn.XLOOKUP(b.nike.views[[#This Row],[product_ID]], a.nike.original.man[Product_ID], a.nike.original.man[Rating], "Not Found")</f>
        <v>4.0999999999999996</v>
      </c>
      <c r="E246" s="10">
        <f>ROUND(_xlfn.XLOOKUP(b.nike.views[[#This Row],[product_ID]], a.nike.original.man[Product_ID], a.nike.original.man[Sale Price], "Not Found"), 0)</f>
        <v>96</v>
      </c>
      <c r="F246" s="5" t="str" cm="1">
        <f t="array" ref="F246">_xlfn.IFS(b.nike.views[[#This Row],[Sales_Price]]&lt;=9, "under $10",b.nike.views[[#This Row],[Sales_Price]]&lt;=20, "$20 and under",b.nike.views[[#This Row],[Sales_Price]]&lt;=50, "$50 and under", b.nike.views[[#This Row],[Sales_Price]]&lt;=99, "under $100", b.nike.views[[#This Row],[Sales_Price]]&gt;=100, "$100 +")</f>
        <v>under $100</v>
      </c>
      <c r="G246">
        <f>COUNTIF(a.nike.original.man[Product_ID], A246)</f>
        <v>1</v>
      </c>
      <c r="H246" t="str" cm="1">
        <f t="array" ref="H246">_xlfn.IFS(b.nike.views[[#This Row],[Review_Count]]&lt;=7, "Below Average",b.nike.views[[#This Row],[Review_Count]]&gt;=8, "Average +")</f>
        <v>Average +</v>
      </c>
      <c r="I246">
        <f>SUMIF(a.nike.original.man[Product_ID],b.nike.views[[#This Row],[product_ID]], a.nike.original.man[Reviews])</f>
        <v>8</v>
      </c>
      <c r="J246" s="41">
        <f>_xlfn.XLOOKUP(b.nike.views[[#This Row],[product_ID]],a.nike.original.man[Product_ID], a.nike.original.man[Discount %], "Not Found")</f>
        <v>0.2</v>
      </c>
      <c r="K246" s="41"/>
      <c r="L246" t="s">
        <v>1470</v>
      </c>
    </row>
    <row r="247" spans="1:12" x14ac:dyDescent="0.2">
      <c r="A247" t="s">
        <v>79</v>
      </c>
      <c r="B247" t="str">
        <f>_xlfn.XLOOKUP(b.nike.views[[#This Row],[product_ID]], a.nike.original.man[Product_ID], a.nike.original.man[Product Name], "Not Found")</f>
        <v>Nike Joyride Run Flyknit</v>
      </c>
      <c r="C247" s="5" t="str">
        <f>_xlfn.XLOOKUP(b.nike.views[[#This Row],[product_ID]], a.nike.original.man[Product_ID], a.nike.original.man[Rating_Group], "Not Found")</f>
        <v>4 - 5</v>
      </c>
      <c r="D247">
        <f>_xlfn.XLOOKUP(b.nike.views[[#This Row],[product_ID]], a.nike.original.man[Product_ID], a.nike.original.man[Rating], "Not Found")</f>
        <v>4</v>
      </c>
      <c r="E247" s="10">
        <f>ROUND(_xlfn.XLOOKUP(b.nike.views[[#This Row],[product_ID]], a.nike.original.man[Product_ID], a.nike.original.man[Sale Price], "Not Found"), 0)</f>
        <v>150</v>
      </c>
      <c r="F247" s="5" t="str" cm="1">
        <f t="array" ref="F247">_xlfn.IFS(b.nike.views[[#This Row],[Sales_Price]]&lt;=9, "under $10",b.nike.views[[#This Row],[Sales_Price]]&lt;=20, "$20 and under",b.nike.views[[#This Row],[Sales_Price]]&lt;=50, "$50 and under", b.nike.views[[#This Row],[Sales_Price]]&lt;=99, "under $100", b.nike.views[[#This Row],[Sales_Price]]&gt;=100, "$100 +")</f>
        <v>$100 +</v>
      </c>
      <c r="G247">
        <f>COUNTIF(a.nike.original.man[Product_ID], A247)</f>
        <v>1</v>
      </c>
      <c r="H247" t="str" cm="1">
        <f t="array" ref="H247">_xlfn.IFS(b.nike.views[[#This Row],[Review_Count]]&lt;=7, "Below Average",b.nike.views[[#This Row],[Review_Count]]&gt;=8, "Average +")</f>
        <v>Average +</v>
      </c>
      <c r="I247">
        <f>SUMIF(a.nike.original.man[Product_ID],b.nike.views[[#This Row],[product_ID]], a.nike.original.man[Reviews])</f>
        <v>65</v>
      </c>
      <c r="J247" s="41">
        <f>_xlfn.XLOOKUP(b.nike.views[[#This Row],[product_ID]],a.nike.original.man[Product_ID], a.nike.original.man[Discount %], "Not Found")</f>
        <v>0</v>
      </c>
      <c r="K247" s="41"/>
      <c r="L247" t="s">
        <v>1470</v>
      </c>
    </row>
    <row r="248" spans="1:12" x14ac:dyDescent="0.2">
      <c r="A248" t="s">
        <v>1385</v>
      </c>
      <c r="B248" t="str">
        <f>_xlfn.XLOOKUP(b.nike.views[[#This Row],[product_ID]], a.nike.original.man[Product_ID], a.nike.original.man[Product Name], "Not Found")</f>
        <v>Nike Tanjun</v>
      </c>
      <c r="C248" s="5" t="str">
        <f>_xlfn.XLOOKUP(b.nike.views[[#This Row],[product_ID]], a.nike.original.man[Product_ID], a.nike.original.man[Rating_Group], "Not Found")</f>
        <v>4 - 5</v>
      </c>
      <c r="D248">
        <f>_xlfn.XLOOKUP(b.nike.views[[#This Row],[product_ID]], a.nike.original.man[Product_ID], a.nike.original.man[Rating], "Not Found")</f>
        <v>4</v>
      </c>
      <c r="E248" s="10">
        <f>ROUND(_xlfn.XLOOKUP(b.nike.views[[#This Row],[product_ID]], a.nike.original.man[Product_ID], a.nike.original.man[Sale Price], "Not Found"), 0)</f>
        <v>40</v>
      </c>
      <c r="F248" s="5" t="str" cm="1">
        <f t="array" ref="F248">_xlfn.IFS(b.nike.views[[#This Row],[Sales_Price]]&lt;=9, "under $10",b.nike.views[[#This Row],[Sales_Price]]&lt;=20, "$20 and under",b.nike.views[[#This Row],[Sales_Price]]&lt;=50, "$50 and under", b.nike.views[[#This Row],[Sales_Price]]&lt;=99, "under $100", b.nike.views[[#This Row],[Sales_Price]]&gt;=100, "$100 +")</f>
        <v>$50 and under</v>
      </c>
      <c r="G248">
        <f>COUNTIF(a.nike.original.man[Product_ID], A248)</f>
        <v>1</v>
      </c>
      <c r="H248" t="str" cm="1">
        <f t="array" ref="H248">_xlfn.IFS(b.nike.views[[#This Row],[Review_Count]]&lt;=7, "Below Average",b.nike.views[[#This Row],[Review_Count]]&gt;=8, "Average +")</f>
        <v>Average +</v>
      </c>
      <c r="I248">
        <f>SUMIF(a.nike.original.man[Product_ID],b.nike.views[[#This Row],[product_ID]], a.nike.original.man[Reviews])</f>
        <v>53</v>
      </c>
      <c r="J248" s="41">
        <f>_xlfn.XLOOKUP(b.nike.views[[#This Row],[product_ID]],a.nike.original.man[Product_ID], a.nike.original.man[Discount %], "Not Found")</f>
        <v>0.2</v>
      </c>
      <c r="K248" s="41"/>
      <c r="L248" t="s">
        <v>1470</v>
      </c>
    </row>
    <row r="249" spans="1:12" x14ac:dyDescent="0.2">
      <c r="A249" t="s">
        <v>1297</v>
      </c>
      <c r="B249" t="str">
        <f>_xlfn.XLOOKUP(b.nike.views[[#This Row],[product_ID]], a.nike.original.man[Product_ID], a.nike.original.man[Product Name], "Not Found")</f>
        <v>PG 3</v>
      </c>
      <c r="C249" s="5" t="str">
        <f>_xlfn.XLOOKUP(b.nike.views[[#This Row],[product_ID]], a.nike.original.man[Product_ID], a.nike.original.man[Rating_Group], "Not Found")</f>
        <v>4 - 5</v>
      </c>
      <c r="D249">
        <f>_xlfn.XLOOKUP(b.nike.views[[#This Row],[product_ID]], a.nike.original.man[Product_ID], a.nike.original.man[Rating], "Not Found")</f>
        <v>4</v>
      </c>
      <c r="E249" s="10">
        <f>ROUND(_xlfn.XLOOKUP(b.nike.views[[#This Row],[product_ID]], a.nike.original.man[Product_ID], a.nike.original.man[Sale Price], "Not Found"), 0)</f>
        <v>72</v>
      </c>
      <c r="F249" s="5" t="str" cm="1">
        <f t="array" ref="F249">_xlfn.IFS(b.nike.views[[#This Row],[Sales_Price]]&lt;=9, "under $10",b.nike.views[[#This Row],[Sales_Price]]&lt;=20, "$20 and under",b.nike.views[[#This Row],[Sales_Price]]&lt;=50, "$50 and under", b.nike.views[[#This Row],[Sales_Price]]&lt;=99, "under $100", b.nike.views[[#This Row],[Sales_Price]]&gt;=100, "$100 +")</f>
        <v>under $100</v>
      </c>
      <c r="G249">
        <f>COUNTIF(a.nike.original.man[Product_ID], A249)</f>
        <v>2</v>
      </c>
      <c r="H249" t="str" cm="1">
        <f t="array" ref="H249">_xlfn.IFS(b.nike.views[[#This Row],[Review_Count]]&lt;=7, "Below Average",b.nike.views[[#This Row],[Review_Count]]&gt;=8, "Average +")</f>
        <v>Average +</v>
      </c>
      <c r="I249">
        <f>SUMIF(a.nike.original.man[Product_ID],b.nike.views[[#This Row],[product_ID]], a.nike.original.man[Reviews])</f>
        <v>38</v>
      </c>
      <c r="J249" s="41">
        <f>_xlfn.XLOOKUP(b.nike.views[[#This Row],[product_ID]],a.nike.original.man[Product_ID], a.nike.original.man[Discount %], "Not Found")</f>
        <v>0.2</v>
      </c>
      <c r="K249" s="41"/>
      <c r="L249" t="s">
        <v>1470</v>
      </c>
    </row>
    <row r="250" spans="1:12" x14ac:dyDescent="0.2">
      <c r="A250" t="s">
        <v>506</v>
      </c>
      <c r="B250" t="str">
        <f>_xlfn.XLOOKUP(b.nike.views[[#This Row],[product_ID]], a.nike.original.man[Product_ID], a.nike.original.man[Product Name], "Not Found")</f>
        <v>Nike Zoom Fly 3</v>
      </c>
      <c r="C250" s="5" t="str">
        <f>_xlfn.XLOOKUP(b.nike.views[[#This Row],[product_ID]], a.nike.original.man[Product_ID], a.nike.original.man[Rating_Group], "Not Found")</f>
        <v>4 - 5</v>
      </c>
      <c r="D250">
        <f>_xlfn.XLOOKUP(b.nike.views[[#This Row],[product_ID]], a.nike.original.man[Product_ID], a.nike.original.man[Rating], "Not Found")</f>
        <v>4</v>
      </c>
      <c r="E250" s="10">
        <f>ROUND(_xlfn.XLOOKUP(b.nike.views[[#This Row],[product_ID]], a.nike.original.man[Product_ID], a.nike.original.man[Sale Price], "Not Found"), 0)</f>
        <v>140</v>
      </c>
      <c r="F250" s="5" t="str" cm="1">
        <f t="array" ref="F250">_xlfn.IFS(b.nike.views[[#This Row],[Sales_Price]]&lt;=9, "under $10",b.nike.views[[#This Row],[Sales_Price]]&lt;=20, "$20 and under",b.nike.views[[#This Row],[Sales_Price]]&lt;=50, "$50 and under", b.nike.views[[#This Row],[Sales_Price]]&lt;=99, "under $100", b.nike.views[[#This Row],[Sales_Price]]&gt;=100, "$100 +")</f>
        <v>$100 +</v>
      </c>
      <c r="G250">
        <f>COUNTIF(a.nike.original.man[Product_ID], A250)</f>
        <v>1</v>
      </c>
      <c r="H250" t="str" cm="1">
        <f t="array" ref="H250">_xlfn.IFS(b.nike.views[[#This Row],[Review_Count]]&lt;=7, "Below Average",b.nike.views[[#This Row],[Review_Count]]&gt;=8, "Average +")</f>
        <v>Average +</v>
      </c>
      <c r="I250">
        <f>SUMIF(a.nike.original.man[Product_ID],b.nike.views[[#This Row],[product_ID]], a.nike.original.man[Reviews])</f>
        <v>30</v>
      </c>
      <c r="J250" s="41">
        <f>_xlfn.XLOOKUP(b.nike.views[[#This Row],[product_ID]],a.nike.original.man[Product_ID], a.nike.original.man[Discount %], "Not Found")</f>
        <v>0</v>
      </c>
      <c r="K250" s="41"/>
      <c r="L250" t="s">
        <v>1470</v>
      </c>
    </row>
    <row r="251" spans="1:12" x14ac:dyDescent="0.2">
      <c r="A251" t="s">
        <v>341</v>
      </c>
      <c r="B251" t="str">
        <f>_xlfn.XLOOKUP(b.nike.views[[#This Row],[product_ID]], a.nike.original.man[Product_ID], a.nike.original.man[Product Name], "Not Found")</f>
        <v>Nike Odyssey React Flyknit 2</v>
      </c>
      <c r="C251" s="5" t="str">
        <f>_xlfn.XLOOKUP(b.nike.views[[#This Row],[product_ID]], a.nike.original.man[Product_ID], a.nike.original.man[Rating_Group], "Not Found")</f>
        <v>4 - 5</v>
      </c>
      <c r="D251">
        <f>_xlfn.XLOOKUP(b.nike.views[[#This Row],[product_ID]], a.nike.original.man[Product_ID], a.nike.original.man[Rating], "Not Found")</f>
        <v>4</v>
      </c>
      <c r="E251" s="10">
        <f>ROUND(_xlfn.XLOOKUP(b.nike.views[[#This Row],[product_ID]], a.nike.original.man[Product_ID], a.nike.original.man[Sale Price], "Not Found"), 0)</f>
        <v>70</v>
      </c>
      <c r="F251" s="5" t="str" cm="1">
        <f t="array" ref="F251">_xlfn.IFS(b.nike.views[[#This Row],[Sales_Price]]&lt;=9, "under $10",b.nike.views[[#This Row],[Sales_Price]]&lt;=20, "$20 and under",b.nike.views[[#This Row],[Sales_Price]]&lt;=50, "$50 and under", b.nike.views[[#This Row],[Sales_Price]]&lt;=99, "under $100", b.nike.views[[#This Row],[Sales_Price]]&gt;=100, "$100 +")</f>
        <v>under $100</v>
      </c>
      <c r="G251">
        <f>COUNTIF(a.nike.original.man[Product_ID], A251)</f>
        <v>1</v>
      </c>
      <c r="H251" t="str" cm="1">
        <f t="array" ref="H251">_xlfn.IFS(b.nike.views[[#This Row],[Review_Count]]&lt;=7, "Below Average",b.nike.views[[#This Row],[Review_Count]]&gt;=8, "Average +")</f>
        <v>Average +</v>
      </c>
      <c r="I251">
        <f>SUMIF(a.nike.original.man[Product_ID],b.nike.views[[#This Row],[product_ID]], a.nike.original.man[Reviews])</f>
        <v>25</v>
      </c>
      <c r="J251" s="41">
        <f>_xlfn.XLOOKUP(b.nike.views[[#This Row],[product_ID]],a.nike.original.man[Product_ID], a.nike.original.man[Discount %], "Not Found")</f>
        <v>0.3</v>
      </c>
      <c r="K251" s="41"/>
      <c r="L251" t="s">
        <v>1470</v>
      </c>
    </row>
    <row r="252" spans="1:12" x14ac:dyDescent="0.2">
      <c r="A252" t="s">
        <v>1409</v>
      </c>
      <c r="B252" t="str">
        <f>_xlfn.XLOOKUP(b.nike.views[[#This Row],[product_ID]], a.nike.original.man[Product_ID], a.nike.original.man[Product Name], "Not Found")</f>
        <v>Nike M2K Tekno</v>
      </c>
      <c r="C252" s="5" t="str">
        <f>_xlfn.XLOOKUP(b.nike.views[[#This Row],[product_ID]], a.nike.original.man[Product_ID], a.nike.original.man[Rating_Group], "Not Found")</f>
        <v>4 - 5</v>
      </c>
      <c r="D252">
        <f>_xlfn.XLOOKUP(b.nike.views[[#This Row],[product_ID]], a.nike.original.man[Product_ID], a.nike.original.man[Rating], "Not Found")</f>
        <v>4</v>
      </c>
      <c r="E252" s="10">
        <f>ROUND(_xlfn.XLOOKUP(b.nike.views[[#This Row],[product_ID]], a.nike.original.man[Product_ID], a.nike.original.man[Sale Price], "Not Found"), 0)</f>
        <v>90</v>
      </c>
      <c r="F252" s="5" t="str" cm="1">
        <f t="array" ref="F252">_xlfn.IFS(b.nike.views[[#This Row],[Sales_Price]]&lt;=9, "under $10",b.nike.views[[#This Row],[Sales_Price]]&lt;=20, "$20 and under",b.nike.views[[#This Row],[Sales_Price]]&lt;=50, "$50 and under", b.nike.views[[#This Row],[Sales_Price]]&lt;=99, "under $100", b.nike.views[[#This Row],[Sales_Price]]&gt;=100, "$100 +")</f>
        <v>under $100</v>
      </c>
      <c r="G252">
        <f>COUNTIF(a.nike.original.man[Product_ID], A252)</f>
        <v>1</v>
      </c>
      <c r="H252" t="str" cm="1">
        <f t="array" ref="H252">_xlfn.IFS(b.nike.views[[#This Row],[Review_Count]]&lt;=7, "Below Average",b.nike.views[[#This Row],[Review_Count]]&gt;=8, "Average +")</f>
        <v>Average +</v>
      </c>
      <c r="I252">
        <f>SUMIF(a.nike.original.man[Product_ID],b.nike.views[[#This Row],[product_ID]], a.nike.original.man[Reviews])</f>
        <v>13</v>
      </c>
      <c r="J252" s="41">
        <f>_xlfn.XLOOKUP(b.nike.views[[#This Row],[product_ID]],a.nike.original.man[Product_ID], a.nike.original.man[Discount %], "Not Found")</f>
        <v>0</v>
      </c>
      <c r="K252" s="41"/>
      <c r="L252" t="s">
        <v>1470</v>
      </c>
    </row>
    <row r="253" spans="1:12" x14ac:dyDescent="0.2">
      <c r="A253" t="s">
        <v>992</v>
      </c>
      <c r="B253" t="str">
        <f>_xlfn.XLOOKUP(b.nike.views[[#This Row],[product_ID]], a.nike.original.man[Product_ID], a.nike.original.man[Product Name], "Not Found")</f>
        <v>Nike Phantom Vision Academy Dynamic Fit MG</v>
      </c>
      <c r="C253" s="5" t="str">
        <f>_xlfn.XLOOKUP(b.nike.views[[#This Row],[product_ID]], a.nike.original.man[Product_ID], a.nike.original.man[Rating_Group], "Not Found")</f>
        <v>4 - 5</v>
      </c>
      <c r="D253">
        <f>_xlfn.XLOOKUP(b.nike.views[[#This Row],[product_ID]], a.nike.original.man[Product_ID], a.nike.original.man[Rating], "Not Found")</f>
        <v>4</v>
      </c>
      <c r="E253" s="10">
        <f>ROUND(_xlfn.XLOOKUP(b.nike.views[[#This Row],[product_ID]], a.nike.original.man[Product_ID], a.nike.original.man[Sale Price], "Not Found"), 0)</f>
        <v>59</v>
      </c>
      <c r="F253" s="5" t="str" cm="1">
        <f t="array" ref="F253">_xlfn.IFS(b.nike.views[[#This Row],[Sales_Price]]&lt;=9, "under $10",b.nike.views[[#This Row],[Sales_Price]]&lt;=20, "$20 and under",b.nike.views[[#This Row],[Sales_Price]]&lt;=50, "$50 and under", b.nike.views[[#This Row],[Sales_Price]]&lt;=99, "under $100", b.nike.views[[#This Row],[Sales_Price]]&gt;=100, "$100 +")</f>
        <v>under $100</v>
      </c>
      <c r="G253">
        <f>COUNTIF(a.nike.original.man[Product_ID], A253)</f>
        <v>2</v>
      </c>
      <c r="H253" t="str" cm="1">
        <f t="array" ref="H253">_xlfn.IFS(b.nike.views[[#This Row],[Review_Count]]&lt;=7, "Below Average",b.nike.views[[#This Row],[Review_Count]]&gt;=8, "Average +")</f>
        <v>Average +</v>
      </c>
      <c r="I253">
        <f>SUMIF(a.nike.original.man[Product_ID],b.nike.views[[#This Row],[product_ID]], a.nike.original.man[Reviews])</f>
        <v>10</v>
      </c>
      <c r="J253" s="41">
        <f>_xlfn.XLOOKUP(b.nike.views[[#This Row],[product_ID]],a.nike.original.man[Product_ID], a.nike.original.man[Discount %], "Not Found")</f>
        <v>0.3</v>
      </c>
      <c r="K253" s="41"/>
      <c r="L253" t="s">
        <v>1470</v>
      </c>
    </row>
    <row r="254" spans="1:12" x14ac:dyDescent="0.2">
      <c r="A254" t="s">
        <v>1183</v>
      </c>
      <c r="B254" t="str">
        <f>_xlfn.XLOOKUP(b.nike.views[[#This Row],[product_ID]], a.nike.original.man[Product_ID], a.nike.original.man[Product Name], "Not Found")</f>
        <v>Nike Air Max 90 Essential</v>
      </c>
      <c r="C254" s="5" t="str">
        <f>_xlfn.XLOOKUP(b.nike.views[[#This Row],[product_ID]], a.nike.original.man[Product_ID], a.nike.original.man[Rating_Group], "Not Found")</f>
        <v>4 - 5</v>
      </c>
      <c r="D254">
        <f>_xlfn.XLOOKUP(b.nike.views[[#This Row],[product_ID]], a.nike.original.man[Product_ID], a.nike.original.man[Rating], "Not Found")</f>
        <v>4</v>
      </c>
      <c r="E254" s="10">
        <f>ROUND(_xlfn.XLOOKUP(b.nike.views[[#This Row],[product_ID]], a.nike.original.man[Product_ID], a.nike.original.man[Sale Price], "Not Found"), 0)</f>
        <v>90</v>
      </c>
      <c r="F254" s="5" t="str" cm="1">
        <f t="array" ref="F254">_xlfn.IFS(b.nike.views[[#This Row],[Sales_Price]]&lt;=9, "under $10",b.nike.views[[#This Row],[Sales_Price]]&lt;=20, "$20 and under",b.nike.views[[#This Row],[Sales_Price]]&lt;=50, "$50 and under", b.nike.views[[#This Row],[Sales_Price]]&lt;=99, "under $100", b.nike.views[[#This Row],[Sales_Price]]&gt;=100, "$100 +")</f>
        <v>under $100</v>
      </c>
      <c r="G254">
        <f>COUNTIF(a.nike.original.man[Product_ID], A254)</f>
        <v>1</v>
      </c>
      <c r="H254" t="str" cm="1">
        <f t="array" ref="H254">_xlfn.IFS(b.nike.views[[#This Row],[Review_Count]]&lt;=7, "Below Average",b.nike.views[[#This Row],[Review_Count]]&gt;=8, "Average +")</f>
        <v>Average +</v>
      </c>
      <c r="I254">
        <f>SUMIF(a.nike.original.man[Product_ID],b.nike.views[[#This Row],[product_ID]], a.nike.original.man[Reviews])</f>
        <v>9</v>
      </c>
      <c r="J254" s="41">
        <f>_xlfn.XLOOKUP(b.nike.views[[#This Row],[product_ID]],a.nike.original.man[Product_ID], a.nike.original.man[Discount %], "Not Found")</f>
        <v>0</v>
      </c>
      <c r="K254" s="41"/>
      <c r="L254" t="s">
        <v>1470</v>
      </c>
    </row>
    <row r="255" spans="1:12" x14ac:dyDescent="0.2">
      <c r="A255" t="s">
        <v>350</v>
      </c>
      <c r="B255" t="str">
        <f>_xlfn.XLOOKUP(b.nike.views[[#This Row],[product_ID]], a.nike.original.man[Product_ID], a.nike.original.man[Product Name], "Not Found")</f>
        <v>Nike Joyride CC3 Setter</v>
      </c>
      <c r="C255" s="5" t="str">
        <f>_xlfn.XLOOKUP(b.nike.views[[#This Row],[product_ID]], a.nike.original.man[Product_ID], a.nike.original.man[Rating_Group], "Not Found")</f>
        <v>4 - 5</v>
      </c>
      <c r="D255">
        <f>_xlfn.XLOOKUP(b.nike.views[[#This Row],[product_ID]], a.nike.original.man[Product_ID], a.nike.original.man[Rating], "Not Found")</f>
        <v>4</v>
      </c>
      <c r="E255" s="10">
        <f>ROUND(_xlfn.XLOOKUP(b.nike.views[[#This Row],[product_ID]], a.nike.original.man[Product_ID], a.nike.original.man[Sale Price], "Not Found"), 0)</f>
        <v>105</v>
      </c>
      <c r="F255" s="5" t="str" cm="1">
        <f t="array" ref="F255">_xlfn.IFS(b.nike.views[[#This Row],[Sales_Price]]&lt;=9, "under $10",b.nike.views[[#This Row],[Sales_Price]]&lt;=20, "$20 and under",b.nike.views[[#This Row],[Sales_Price]]&lt;=50, "$50 and under", b.nike.views[[#This Row],[Sales_Price]]&lt;=99, "under $100", b.nike.views[[#This Row],[Sales_Price]]&gt;=100, "$100 +")</f>
        <v>$100 +</v>
      </c>
      <c r="G255">
        <f>COUNTIF(a.nike.original.man[Product_ID], A255)</f>
        <v>1</v>
      </c>
      <c r="H255" t="str" cm="1">
        <f t="array" ref="H255">_xlfn.IFS(b.nike.views[[#This Row],[Review_Count]]&lt;=7, "Below Average",b.nike.views[[#This Row],[Review_Count]]&gt;=8, "Average +")</f>
        <v>Below Average</v>
      </c>
      <c r="I255">
        <f>SUMIF(a.nike.original.man[Product_ID],b.nike.views[[#This Row],[product_ID]], a.nike.original.man[Reviews])</f>
        <v>6</v>
      </c>
      <c r="J255" s="41">
        <f>_xlfn.XLOOKUP(b.nike.views[[#This Row],[product_ID]],a.nike.original.man[Product_ID], a.nike.original.man[Discount %], "Not Found")</f>
        <v>0.3</v>
      </c>
      <c r="K255" s="41"/>
      <c r="L255" t="s">
        <v>1470</v>
      </c>
    </row>
    <row r="256" spans="1:12" x14ac:dyDescent="0.2">
      <c r="A256" t="s">
        <v>937</v>
      </c>
      <c r="B256" t="str">
        <f>_xlfn.XLOOKUP(b.nike.views[[#This Row],[product_ID]], a.nike.original.man[Product_ID], a.nike.original.man[Product Name], "Not Found")</f>
        <v>Nike Drop-Type Premium</v>
      </c>
      <c r="C256" s="5" t="str">
        <f>_xlfn.XLOOKUP(b.nike.views[[#This Row],[product_ID]], a.nike.original.man[Product_ID], a.nike.original.man[Rating_Group], "Not Found")</f>
        <v>4 - 5</v>
      </c>
      <c r="D256">
        <f>_xlfn.XLOOKUP(b.nike.views[[#This Row],[product_ID]], a.nike.original.man[Product_ID], a.nike.original.man[Rating], "Not Found")</f>
        <v>4</v>
      </c>
      <c r="E256" s="10">
        <f>ROUND(_xlfn.XLOOKUP(b.nike.views[[#This Row],[product_ID]], a.nike.original.man[Product_ID], a.nike.original.man[Sale Price], "Not Found"), 0)</f>
        <v>70</v>
      </c>
      <c r="F256" s="5" t="str" cm="1">
        <f t="array" ref="F256">_xlfn.IFS(b.nike.views[[#This Row],[Sales_Price]]&lt;=9, "under $10",b.nike.views[[#This Row],[Sales_Price]]&lt;=20, "$20 and under",b.nike.views[[#This Row],[Sales_Price]]&lt;=50, "$50 and under", b.nike.views[[#This Row],[Sales_Price]]&lt;=99, "under $100", b.nike.views[[#This Row],[Sales_Price]]&gt;=100, "$100 +")</f>
        <v>under $100</v>
      </c>
      <c r="G256">
        <f>COUNTIF(a.nike.original.man[Product_ID], A256)</f>
        <v>1</v>
      </c>
      <c r="H256" t="str" cm="1">
        <f t="array" ref="H256">_xlfn.IFS(b.nike.views[[#This Row],[Review_Count]]&lt;=7, "Below Average",b.nike.views[[#This Row],[Review_Count]]&gt;=8, "Average +")</f>
        <v>Below Average</v>
      </c>
      <c r="I256">
        <f>SUMIF(a.nike.original.man[Product_ID],b.nike.views[[#This Row],[product_ID]], a.nike.original.man[Reviews])</f>
        <v>6</v>
      </c>
      <c r="J256" s="41">
        <f>_xlfn.XLOOKUP(b.nike.views[[#This Row],[product_ID]],a.nike.original.man[Product_ID], a.nike.original.man[Discount %], "Not Found")</f>
        <v>0</v>
      </c>
      <c r="K256" s="41"/>
      <c r="L256" t="s">
        <v>1470</v>
      </c>
    </row>
    <row r="257" spans="1:12" x14ac:dyDescent="0.2">
      <c r="A257" t="s">
        <v>1378</v>
      </c>
      <c r="B257" t="str">
        <f>_xlfn.XLOOKUP(b.nike.views[[#This Row],[product_ID]], a.nike.original.man[Product_ID], a.nike.original.man[Product Name], "Not Found")</f>
        <v>Nike Zoom Pegasus Turbo 2 Rise</v>
      </c>
      <c r="C257" s="5" t="str">
        <f>_xlfn.XLOOKUP(b.nike.views[[#This Row],[product_ID]], a.nike.original.man[Product_ID], a.nike.original.man[Rating_Group], "Not Found")</f>
        <v>4 - 5</v>
      </c>
      <c r="D257">
        <f>_xlfn.XLOOKUP(b.nike.views[[#This Row],[product_ID]], a.nike.original.man[Product_ID], a.nike.original.man[Rating], "Not Found")</f>
        <v>4</v>
      </c>
      <c r="E257" s="10">
        <f>ROUND(_xlfn.XLOOKUP(b.nike.views[[#This Row],[product_ID]], a.nike.original.man[Product_ID], a.nike.original.man[Sale Price], "Not Found"), 0)</f>
        <v>96</v>
      </c>
      <c r="F257" s="5" t="str" cm="1">
        <f t="array" ref="F257">_xlfn.IFS(b.nike.views[[#This Row],[Sales_Price]]&lt;=9, "under $10",b.nike.views[[#This Row],[Sales_Price]]&lt;=20, "$20 and under",b.nike.views[[#This Row],[Sales_Price]]&lt;=50, "$50 and under", b.nike.views[[#This Row],[Sales_Price]]&lt;=99, "under $100", b.nike.views[[#This Row],[Sales_Price]]&gt;=100, "$100 +")</f>
        <v>under $100</v>
      </c>
      <c r="G257">
        <f>COUNTIF(a.nike.original.man[Product_ID], A257)</f>
        <v>1</v>
      </c>
      <c r="H257" t="str" cm="1">
        <f t="array" ref="H257">_xlfn.IFS(b.nike.views[[#This Row],[Review_Count]]&lt;=7, "Below Average",b.nike.views[[#This Row],[Review_Count]]&gt;=8, "Average +")</f>
        <v>Below Average</v>
      </c>
      <c r="I257">
        <f>SUMIF(a.nike.original.man[Product_ID],b.nike.views[[#This Row],[product_ID]], a.nike.original.man[Reviews])</f>
        <v>5</v>
      </c>
      <c r="J257" s="41">
        <f>_xlfn.XLOOKUP(b.nike.views[[#This Row],[product_ID]],a.nike.original.man[Product_ID], a.nike.original.man[Discount %], "Not Found")</f>
        <v>0.4</v>
      </c>
      <c r="K257" s="41"/>
      <c r="L257" t="s">
        <v>1470</v>
      </c>
    </row>
    <row r="258" spans="1:12" x14ac:dyDescent="0.2">
      <c r="A258" t="s">
        <v>713</v>
      </c>
      <c r="B258" t="str">
        <f>_xlfn.XLOOKUP(b.nike.views[[#This Row],[product_ID]], a.nike.original.man[Product_ID], a.nike.original.man[Product Name], "Not Found")</f>
        <v>Nike Zoom Pegasus Turbo 2</v>
      </c>
      <c r="C258" s="5" t="str">
        <f>_xlfn.XLOOKUP(b.nike.views[[#This Row],[product_ID]], a.nike.original.man[Product_ID], a.nike.original.man[Rating_Group], "Not Found")</f>
        <v>4 - 5</v>
      </c>
      <c r="D258">
        <f>_xlfn.XLOOKUP(b.nike.views[[#This Row],[product_ID]], a.nike.original.man[Product_ID], a.nike.original.man[Rating], "Not Found")</f>
        <v>4</v>
      </c>
      <c r="E258" s="10">
        <f>ROUND(_xlfn.XLOOKUP(b.nike.views[[#This Row],[product_ID]], a.nike.original.man[Product_ID], a.nike.original.man[Sale Price], "Not Found"), 0)</f>
        <v>160</v>
      </c>
      <c r="F258" s="5" t="str" cm="1">
        <f t="array" ref="F258">_xlfn.IFS(b.nike.views[[#This Row],[Sales_Price]]&lt;=9, "under $10",b.nike.views[[#This Row],[Sales_Price]]&lt;=20, "$20 and under",b.nike.views[[#This Row],[Sales_Price]]&lt;=50, "$50 and under", b.nike.views[[#This Row],[Sales_Price]]&lt;=99, "under $100", b.nike.views[[#This Row],[Sales_Price]]&gt;=100, "$100 +")</f>
        <v>$100 +</v>
      </c>
      <c r="G258">
        <f>COUNTIF(a.nike.original.man[Product_ID], A258)</f>
        <v>1</v>
      </c>
      <c r="H258" t="str" cm="1">
        <f t="array" ref="H258">_xlfn.IFS(b.nike.views[[#This Row],[Review_Count]]&lt;=7, "Below Average",b.nike.views[[#This Row],[Review_Count]]&gt;=8, "Average +")</f>
        <v>Below Average</v>
      </c>
      <c r="I258">
        <f>SUMIF(a.nike.original.man[Product_ID],b.nike.views[[#This Row],[product_ID]], a.nike.original.man[Reviews])</f>
        <v>4</v>
      </c>
      <c r="J258" s="41">
        <f>_xlfn.XLOOKUP(b.nike.views[[#This Row],[product_ID]],a.nike.original.man[Product_ID], a.nike.original.man[Discount %], "Not Found")</f>
        <v>0</v>
      </c>
      <c r="K258" s="41"/>
      <c r="L258" t="s">
        <v>1470</v>
      </c>
    </row>
    <row r="259" spans="1:12" x14ac:dyDescent="0.2">
      <c r="A259" t="s">
        <v>1230</v>
      </c>
      <c r="B259" t="str">
        <f>_xlfn.XLOOKUP(b.nike.views[[#This Row],[product_ID]], a.nike.original.man[Product_ID], a.nike.original.man[Product Name], "Not Found")</f>
        <v>Nike Zoom Rise</v>
      </c>
      <c r="C259" s="5" t="str">
        <f>_xlfn.XLOOKUP(b.nike.views[[#This Row],[product_ID]], a.nike.original.man[Product_ID], a.nike.original.man[Rating_Group], "Not Found")</f>
        <v>4 - 5</v>
      </c>
      <c r="D259">
        <f>_xlfn.XLOOKUP(b.nike.views[[#This Row],[product_ID]], a.nike.original.man[Product_ID], a.nike.original.man[Rating], "Not Found")</f>
        <v>4</v>
      </c>
      <c r="E259" s="10">
        <f>ROUND(_xlfn.XLOOKUP(b.nike.views[[#This Row],[product_ID]], a.nike.original.man[Product_ID], a.nike.original.man[Sale Price], "Not Found"), 0)</f>
        <v>84</v>
      </c>
      <c r="F259" s="5" t="str" cm="1">
        <f t="array" ref="F259">_xlfn.IFS(b.nike.views[[#This Row],[Sales_Price]]&lt;=9, "under $10",b.nike.views[[#This Row],[Sales_Price]]&lt;=20, "$20 and under",b.nike.views[[#This Row],[Sales_Price]]&lt;=50, "$50 and under", b.nike.views[[#This Row],[Sales_Price]]&lt;=99, "under $100", b.nike.views[[#This Row],[Sales_Price]]&gt;=100, "$100 +")</f>
        <v>under $100</v>
      </c>
      <c r="G259">
        <f>COUNTIF(a.nike.original.man[Product_ID], A259)</f>
        <v>2</v>
      </c>
      <c r="H259" t="str" cm="1">
        <f t="array" ref="H259">_xlfn.IFS(b.nike.views[[#This Row],[Review_Count]]&lt;=7, "Below Average",b.nike.views[[#This Row],[Review_Count]]&gt;=8, "Average +")</f>
        <v>Below Average</v>
      </c>
      <c r="I259">
        <f>SUMIF(a.nike.original.man[Product_ID],b.nike.views[[#This Row],[product_ID]], a.nike.original.man[Reviews])</f>
        <v>4</v>
      </c>
      <c r="J259" s="41">
        <f>_xlfn.XLOOKUP(b.nike.views[[#This Row],[product_ID]],a.nike.original.man[Product_ID], a.nike.original.man[Discount %], "Not Found")</f>
        <v>0.3</v>
      </c>
      <c r="K259" s="41"/>
      <c r="L259" t="s">
        <v>1470</v>
      </c>
    </row>
    <row r="260" spans="1:12" x14ac:dyDescent="0.2">
      <c r="A260" t="s">
        <v>1460</v>
      </c>
      <c r="B260" t="str">
        <f>_xlfn.XLOOKUP(b.nike.views[[#This Row],[product_ID]], a.nike.original.man[Product_ID], a.nike.original.man[Product Name], "Not Found")</f>
        <v>Nike Air Max 98</v>
      </c>
      <c r="C260" s="5" t="str">
        <f>_xlfn.XLOOKUP(b.nike.views[[#This Row],[product_ID]], a.nike.original.man[Product_ID], a.nike.original.man[Rating_Group], "Not Found")</f>
        <v>4 - 5</v>
      </c>
      <c r="D260">
        <f>_xlfn.XLOOKUP(b.nike.views[[#This Row],[product_ID]], a.nike.original.man[Product_ID], a.nike.original.man[Rating], "Not Found")</f>
        <v>4</v>
      </c>
      <c r="E260" s="10">
        <f>ROUND(_xlfn.XLOOKUP(b.nike.views[[#This Row],[product_ID]], a.nike.original.man[Product_ID], a.nike.original.man[Sale Price], "Not Found"), 0)</f>
        <v>170</v>
      </c>
      <c r="F260" s="5" t="str" cm="1">
        <f t="array" ref="F260">_xlfn.IFS(b.nike.views[[#This Row],[Sales_Price]]&lt;=9, "under $10",b.nike.views[[#This Row],[Sales_Price]]&lt;=20, "$20 and under",b.nike.views[[#This Row],[Sales_Price]]&lt;=50, "$50 and under", b.nike.views[[#This Row],[Sales_Price]]&lt;=99, "under $100", b.nike.views[[#This Row],[Sales_Price]]&gt;=100, "$100 +")</f>
        <v>$100 +</v>
      </c>
      <c r="G260">
        <f>COUNTIF(a.nike.original.man[Product_ID], A260)</f>
        <v>1</v>
      </c>
      <c r="H260" t="str" cm="1">
        <f t="array" ref="H260">_xlfn.IFS(b.nike.views[[#This Row],[Review_Count]]&lt;=7, "Below Average",b.nike.views[[#This Row],[Review_Count]]&gt;=8, "Average +")</f>
        <v>Below Average</v>
      </c>
      <c r="I260">
        <f>SUMIF(a.nike.original.man[Product_ID],b.nike.views[[#This Row],[product_ID]], a.nike.original.man[Reviews])</f>
        <v>4</v>
      </c>
      <c r="J260" s="41">
        <f>_xlfn.XLOOKUP(b.nike.views[[#This Row],[product_ID]],a.nike.original.man[Product_ID], a.nike.original.man[Discount %], "Not Found")</f>
        <v>0</v>
      </c>
      <c r="K260" s="41"/>
      <c r="L260" t="s">
        <v>1470</v>
      </c>
    </row>
    <row r="261" spans="1:12" x14ac:dyDescent="0.2">
      <c r="A261" t="s">
        <v>326</v>
      </c>
      <c r="B261" t="str">
        <f>_xlfn.XLOOKUP(b.nike.views[[#This Row],[product_ID]], a.nike.original.man[Product_ID], a.nike.original.man[Product Name], "Not Found")</f>
        <v>Nike Phantom Vision Academy Dynamic Fit TF</v>
      </c>
      <c r="C261" s="5" t="str">
        <f>_xlfn.XLOOKUP(b.nike.views[[#This Row],[product_ID]], a.nike.original.man[Product_ID], a.nike.original.man[Rating_Group], "Not Found")</f>
        <v>4 - 5</v>
      </c>
      <c r="D261">
        <f>_xlfn.XLOOKUP(b.nike.views[[#This Row],[product_ID]], a.nike.original.man[Product_ID], a.nike.original.man[Rating], "Not Found")</f>
        <v>4</v>
      </c>
      <c r="E261" s="10">
        <f>ROUND(_xlfn.XLOOKUP(b.nike.views[[#This Row],[product_ID]], a.nike.original.man[Product_ID], a.nike.original.man[Sale Price], "Not Found"), 0)</f>
        <v>59</v>
      </c>
      <c r="F261" s="5" t="str" cm="1">
        <f t="array" ref="F261">_xlfn.IFS(b.nike.views[[#This Row],[Sales_Price]]&lt;=9, "under $10",b.nike.views[[#This Row],[Sales_Price]]&lt;=20, "$20 and under",b.nike.views[[#This Row],[Sales_Price]]&lt;=50, "$50 and under", b.nike.views[[#This Row],[Sales_Price]]&lt;=99, "under $100", b.nike.views[[#This Row],[Sales_Price]]&gt;=100, "$100 +")</f>
        <v>under $100</v>
      </c>
      <c r="G261">
        <f>COUNTIF(a.nike.original.man[Product_ID], A261)</f>
        <v>1</v>
      </c>
      <c r="H261" t="str" cm="1">
        <f t="array" ref="H261">_xlfn.IFS(b.nike.views[[#This Row],[Review_Count]]&lt;=7, "Below Average",b.nike.views[[#This Row],[Review_Count]]&gt;=8, "Average +")</f>
        <v>Below Average</v>
      </c>
      <c r="I261">
        <f>SUMIF(a.nike.original.man[Product_ID],b.nike.views[[#This Row],[product_ID]], a.nike.original.man[Reviews])</f>
        <v>3</v>
      </c>
      <c r="J261" s="41">
        <f>_xlfn.XLOOKUP(b.nike.views[[#This Row],[product_ID]],a.nike.original.man[Product_ID], a.nike.original.man[Discount %], "Not Found")</f>
        <v>0.3</v>
      </c>
      <c r="K261" s="41"/>
      <c r="L261" t="s">
        <v>1470</v>
      </c>
    </row>
    <row r="262" spans="1:12" x14ac:dyDescent="0.2">
      <c r="A262" t="s">
        <v>876</v>
      </c>
      <c r="B262" t="str">
        <f>_xlfn.XLOOKUP(b.nike.views[[#This Row],[product_ID]], a.nike.original.man[Product_ID], a.nike.original.man[Product Name], "Not Found")</f>
        <v>Nike x Undercover Air Max 720</v>
      </c>
      <c r="C262" s="5" t="str">
        <f>_xlfn.XLOOKUP(b.nike.views[[#This Row],[product_ID]], a.nike.original.man[Product_ID], a.nike.original.man[Rating_Group], "Not Found")</f>
        <v>4 - 5</v>
      </c>
      <c r="D262">
        <f>_xlfn.XLOOKUP(b.nike.views[[#This Row],[product_ID]], a.nike.original.man[Product_ID], a.nike.original.man[Rating], "Not Found")</f>
        <v>4</v>
      </c>
      <c r="E262" s="10">
        <f>ROUND(_xlfn.XLOOKUP(b.nike.views[[#This Row],[product_ID]], a.nike.original.man[Product_ID], a.nike.original.man[Sale Price], "Not Found"), 0)</f>
        <v>170</v>
      </c>
      <c r="F262" s="5" t="str" cm="1">
        <f t="array" ref="F262">_xlfn.IFS(b.nike.views[[#This Row],[Sales_Price]]&lt;=9, "under $10",b.nike.views[[#This Row],[Sales_Price]]&lt;=20, "$20 and under",b.nike.views[[#This Row],[Sales_Price]]&lt;=50, "$50 and under", b.nike.views[[#This Row],[Sales_Price]]&lt;=99, "under $100", b.nike.views[[#This Row],[Sales_Price]]&gt;=100, "$100 +")</f>
        <v>$100 +</v>
      </c>
      <c r="G262">
        <f>COUNTIF(a.nike.original.man[Product_ID], A262)</f>
        <v>1</v>
      </c>
      <c r="H262" t="str" cm="1">
        <f t="array" ref="H262">_xlfn.IFS(b.nike.views[[#This Row],[Review_Count]]&lt;=7, "Below Average",b.nike.views[[#This Row],[Review_Count]]&gt;=8, "Average +")</f>
        <v>Below Average</v>
      </c>
      <c r="I262">
        <f>SUMIF(a.nike.original.man[Product_ID],b.nike.views[[#This Row],[product_ID]], a.nike.original.man[Reviews])</f>
        <v>3</v>
      </c>
      <c r="J262" s="41">
        <f>_xlfn.XLOOKUP(b.nike.views[[#This Row],[product_ID]],a.nike.original.man[Product_ID], a.nike.original.man[Discount %], "Not Found")</f>
        <v>0</v>
      </c>
      <c r="K262" s="41"/>
      <c r="L262" t="s">
        <v>1470</v>
      </c>
    </row>
    <row r="263" spans="1:12" x14ac:dyDescent="0.2">
      <c r="A263" t="s">
        <v>1334</v>
      </c>
      <c r="B263" t="str">
        <f>_xlfn.XLOOKUP(b.nike.views[[#This Row],[product_ID]], a.nike.original.man[Product_ID], a.nike.original.man[Product Name], "Not Found")</f>
        <v>NikeCourt Air Zoom Vapor X</v>
      </c>
      <c r="C263" s="5" t="str">
        <f>_xlfn.XLOOKUP(b.nike.views[[#This Row],[product_ID]], a.nike.original.man[Product_ID], a.nike.original.man[Rating_Group], "Not Found")</f>
        <v>4 - 5</v>
      </c>
      <c r="D263">
        <f>_xlfn.XLOOKUP(b.nike.views[[#This Row],[product_ID]], a.nike.original.man[Product_ID], a.nike.original.man[Rating], "Not Found")</f>
        <v>4</v>
      </c>
      <c r="E263" s="10">
        <f>ROUND(_xlfn.XLOOKUP(b.nike.views[[#This Row],[product_ID]], a.nike.original.man[Product_ID], a.nike.original.man[Sale Price], "Not Found"), 0)</f>
        <v>150</v>
      </c>
      <c r="F263" s="5" t="str" cm="1">
        <f t="array" ref="F263">_xlfn.IFS(b.nike.views[[#This Row],[Sales_Price]]&lt;=9, "under $10",b.nike.views[[#This Row],[Sales_Price]]&lt;=20, "$20 and under",b.nike.views[[#This Row],[Sales_Price]]&lt;=50, "$50 and under", b.nike.views[[#This Row],[Sales_Price]]&lt;=99, "under $100", b.nike.views[[#This Row],[Sales_Price]]&gt;=100, "$100 +")</f>
        <v>$100 +</v>
      </c>
      <c r="G263">
        <f>COUNTIF(a.nike.original.man[Product_ID], A263)</f>
        <v>1</v>
      </c>
      <c r="H263" t="str" cm="1">
        <f t="array" ref="H263">_xlfn.IFS(b.nike.views[[#This Row],[Review_Count]]&lt;=7, "Below Average",b.nike.views[[#This Row],[Review_Count]]&gt;=8, "Average +")</f>
        <v>Below Average</v>
      </c>
      <c r="I263">
        <f>SUMIF(a.nike.original.man[Product_ID],b.nike.views[[#This Row],[product_ID]], a.nike.original.man[Reviews])</f>
        <v>3</v>
      </c>
      <c r="J263" s="41">
        <f>_xlfn.XLOOKUP(b.nike.views[[#This Row],[product_ID]],a.nike.original.man[Product_ID], a.nike.original.man[Discount %], "Not Found")</f>
        <v>0</v>
      </c>
      <c r="K263" s="41"/>
      <c r="L263" t="s">
        <v>1470</v>
      </c>
    </row>
    <row r="264" spans="1:12" x14ac:dyDescent="0.2">
      <c r="A264" t="s">
        <v>364</v>
      </c>
      <c r="B264" t="str">
        <f>_xlfn.XLOOKUP(b.nike.views[[#This Row],[product_ID]], a.nike.original.man[Product_ID], a.nike.original.man[Product Name], "Not Found")</f>
        <v>Nike Air Max 270 React</v>
      </c>
      <c r="C264" s="5" t="str">
        <f>_xlfn.XLOOKUP(b.nike.views[[#This Row],[product_ID]], a.nike.original.man[Product_ID], a.nike.original.man[Rating_Group], "Not Found")</f>
        <v>4 - 5</v>
      </c>
      <c r="D264">
        <f>_xlfn.XLOOKUP(b.nike.views[[#This Row],[product_ID]], a.nike.original.man[Product_ID], a.nike.original.man[Rating], "Not Found")</f>
        <v>4</v>
      </c>
      <c r="E264" s="10">
        <f>ROUND(_xlfn.XLOOKUP(b.nike.views[[#This Row],[product_ID]], a.nike.original.man[Product_ID], a.nike.original.man[Sale Price], "Not Found"), 0)</f>
        <v>130</v>
      </c>
      <c r="F264" s="5" t="str" cm="1">
        <f t="array" ref="F264">_xlfn.IFS(b.nike.views[[#This Row],[Sales_Price]]&lt;=9, "under $10",b.nike.views[[#This Row],[Sales_Price]]&lt;=20, "$20 and under",b.nike.views[[#This Row],[Sales_Price]]&lt;=50, "$50 and under", b.nike.views[[#This Row],[Sales_Price]]&lt;=99, "under $100", b.nike.views[[#This Row],[Sales_Price]]&gt;=100, "$100 +")</f>
        <v>$100 +</v>
      </c>
      <c r="G264">
        <f>COUNTIF(a.nike.original.man[Product_ID], A264)</f>
        <v>1</v>
      </c>
      <c r="H264" t="str" cm="1">
        <f t="array" ref="H264">_xlfn.IFS(b.nike.views[[#This Row],[Review_Count]]&lt;=7, "Below Average",b.nike.views[[#This Row],[Review_Count]]&gt;=8, "Average +")</f>
        <v>Below Average</v>
      </c>
      <c r="I264">
        <f>SUMIF(a.nike.original.man[Product_ID],b.nike.views[[#This Row],[product_ID]], a.nike.original.man[Reviews])</f>
        <v>1</v>
      </c>
      <c r="J264" s="41">
        <f>_xlfn.XLOOKUP(b.nike.views[[#This Row],[product_ID]],a.nike.original.man[Product_ID], a.nike.original.man[Discount %], "Not Found")</f>
        <v>0</v>
      </c>
      <c r="K264" s="41"/>
      <c r="L264" t="s">
        <v>1470</v>
      </c>
    </row>
    <row r="265" spans="1:12" x14ac:dyDescent="0.2">
      <c r="A265" t="s">
        <v>84</v>
      </c>
      <c r="B265" t="str">
        <f>_xlfn.XLOOKUP(b.nike.views[[#This Row],[product_ID]], a.nike.original.man[Product_ID], a.nike.original.man[Product Name], "Not Found")</f>
        <v>Nike Air VaporMax 360</v>
      </c>
      <c r="C265" s="5" t="str">
        <f>_xlfn.XLOOKUP(b.nike.views[[#This Row],[product_ID]], a.nike.original.man[Product_ID], a.nike.original.man[Rating_Group], "Not Found")</f>
        <v>4 - 5</v>
      </c>
      <c r="D265">
        <f>_xlfn.XLOOKUP(b.nike.views[[#This Row],[product_ID]], a.nike.original.man[Product_ID], a.nike.original.man[Rating], "Not Found")</f>
        <v>4</v>
      </c>
      <c r="E265" s="10">
        <f>ROUND(_xlfn.XLOOKUP(b.nike.views[[#This Row],[product_ID]], a.nike.original.man[Product_ID], a.nike.original.man[Sale Price], "Not Found"), 0)</f>
        <v>190</v>
      </c>
      <c r="F265" s="5" t="str" cm="1">
        <f t="array" ref="F265">_xlfn.IFS(b.nike.views[[#This Row],[Sales_Price]]&lt;=9, "under $10",b.nike.views[[#This Row],[Sales_Price]]&lt;=20, "$20 and under",b.nike.views[[#This Row],[Sales_Price]]&lt;=50, "$50 and under", b.nike.views[[#This Row],[Sales_Price]]&lt;=99, "under $100", b.nike.views[[#This Row],[Sales_Price]]&gt;=100, "$100 +")</f>
        <v>$100 +</v>
      </c>
      <c r="G265">
        <f>COUNTIF(a.nike.original.man[Product_ID], A265)</f>
        <v>1</v>
      </c>
      <c r="H265" t="str" cm="1">
        <f t="array" ref="H265">_xlfn.IFS(b.nike.views[[#This Row],[Review_Count]]&lt;=7, "Below Average",b.nike.views[[#This Row],[Review_Count]]&gt;=8, "Average +")</f>
        <v>Below Average</v>
      </c>
      <c r="I265">
        <f>SUMIF(a.nike.original.man[Product_ID],b.nike.views[[#This Row],[product_ID]], a.nike.original.man[Reviews])</f>
        <v>1</v>
      </c>
      <c r="J265" s="41">
        <f>_xlfn.XLOOKUP(b.nike.views[[#This Row],[product_ID]],a.nike.original.man[Product_ID], a.nike.original.man[Discount %], "Not Found")</f>
        <v>0</v>
      </c>
      <c r="K265" s="41"/>
      <c r="L265" t="s">
        <v>1470</v>
      </c>
    </row>
    <row r="266" spans="1:12" x14ac:dyDescent="0.2">
      <c r="A266" t="s">
        <v>906</v>
      </c>
      <c r="B266" t="str">
        <f>_xlfn.XLOOKUP(b.nike.views[[#This Row],[product_ID]], a.nike.original.man[Product_ID], a.nike.original.man[Product Name], "Not Found")</f>
        <v>Nike MX-720-818</v>
      </c>
      <c r="C266" s="5" t="str">
        <f>_xlfn.XLOOKUP(b.nike.views[[#This Row],[product_ID]], a.nike.original.man[Product_ID], a.nike.original.man[Rating_Group], "Not Found")</f>
        <v>4 - 5</v>
      </c>
      <c r="D266">
        <f>_xlfn.XLOOKUP(b.nike.views[[#This Row],[product_ID]], a.nike.original.man[Product_ID], a.nike.original.man[Rating], "Not Found")</f>
        <v>4</v>
      </c>
      <c r="E266" s="10">
        <f>ROUND(_xlfn.XLOOKUP(b.nike.views[[#This Row],[product_ID]], a.nike.original.man[Product_ID], a.nike.original.man[Sale Price], "Not Found"), 0)</f>
        <v>160</v>
      </c>
      <c r="F266" s="5" t="str" cm="1">
        <f t="array" ref="F266">_xlfn.IFS(b.nike.views[[#This Row],[Sales_Price]]&lt;=9, "under $10",b.nike.views[[#This Row],[Sales_Price]]&lt;=20, "$20 and under",b.nike.views[[#This Row],[Sales_Price]]&lt;=50, "$50 and under", b.nike.views[[#This Row],[Sales_Price]]&lt;=99, "under $100", b.nike.views[[#This Row],[Sales_Price]]&gt;=100, "$100 +")</f>
        <v>$100 +</v>
      </c>
      <c r="G266">
        <f>COUNTIF(a.nike.original.man[Product_ID], A266)</f>
        <v>1</v>
      </c>
      <c r="H266" t="str" cm="1">
        <f t="array" ref="H266">_xlfn.IFS(b.nike.views[[#This Row],[Review_Count]]&lt;=7, "Below Average",b.nike.views[[#This Row],[Review_Count]]&gt;=8, "Average +")</f>
        <v>Below Average</v>
      </c>
      <c r="I266">
        <f>SUMIF(a.nike.original.man[Product_ID],b.nike.views[[#This Row],[product_ID]], a.nike.original.man[Reviews])</f>
        <v>1</v>
      </c>
      <c r="J266" s="41">
        <f>_xlfn.XLOOKUP(b.nike.views[[#This Row],[product_ID]],a.nike.original.man[Product_ID], a.nike.original.man[Discount %], "Not Found")</f>
        <v>0</v>
      </c>
      <c r="K266" s="41"/>
      <c r="L266" t="s">
        <v>1470</v>
      </c>
    </row>
    <row r="267" spans="1:12" x14ac:dyDescent="0.2">
      <c r="A267" t="s">
        <v>307</v>
      </c>
      <c r="B267" t="str">
        <f>_xlfn.XLOOKUP(b.nike.views[[#This Row],[product_ID]], a.nike.original.man[Product_ID], a.nike.original.man[Product Name], "Not Found")</f>
        <v>Nike React Element 55 SE</v>
      </c>
      <c r="C267" s="5" t="str">
        <f>_xlfn.XLOOKUP(b.nike.views[[#This Row],[product_ID]], a.nike.original.man[Product_ID], a.nike.original.man[Rating_Group], "Not Found")</f>
        <v>4 - 5</v>
      </c>
      <c r="D267">
        <f>_xlfn.XLOOKUP(b.nike.views[[#This Row],[product_ID]], a.nike.original.man[Product_ID], a.nike.original.man[Rating], "Not Found")</f>
        <v>4</v>
      </c>
      <c r="E267" s="10">
        <f>ROUND(_xlfn.XLOOKUP(b.nike.views[[#This Row],[product_ID]], a.nike.original.man[Product_ID], a.nike.original.man[Sale Price], "Not Found"), 0)</f>
        <v>66</v>
      </c>
      <c r="F267" s="5" t="str" cm="1">
        <f t="array" ref="F267">_xlfn.IFS(b.nike.views[[#This Row],[Sales_Price]]&lt;=9, "under $10",b.nike.views[[#This Row],[Sales_Price]]&lt;=20, "$20 and under",b.nike.views[[#This Row],[Sales_Price]]&lt;=50, "$50 and under", b.nike.views[[#This Row],[Sales_Price]]&lt;=99, "under $100", b.nike.views[[#This Row],[Sales_Price]]&gt;=100, "$100 +")</f>
        <v>under $100</v>
      </c>
      <c r="G267">
        <f>COUNTIF(a.nike.original.man[Product_ID], A267)</f>
        <v>1</v>
      </c>
      <c r="H267" t="str" cm="1">
        <f t="array" ref="H267">_xlfn.IFS(b.nike.views[[#This Row],[Review_Count]]&lt;=7, "Below Average",b.nike.views[[#This Row],[Review_Count]]&gt;=8, "Average +")</f>
        <v>Below Average</v>
      </c>
      <c r="I267">
        <f>SUMIF(a.nike.original.man[Product_ID],b.nike.views[[#This Row],[product_ID]], a.nike.original.man[Reviews])</f>
        <v>1</v>
      </c>
      <c r="J267" s="41">
        <f>_xlfn.XLOOKUP(b.nike.views[[#This Row],[product_ID]],a.nike.original.man[Product_ID], a.nike.original.man[Discount %], "Not Found")</f>
        <v>0.4</v>
      </c>
      <c r="K267" s="41"/>
      <c r="L267" t="s">
        <v>1470</v>
      </c>
    </row>
    <row r="268" spans="1:12" x14ac:dyDescent="0.2">
      <c r="A268" t="s">
        <v>597</v>
      </c>
      <c r="B268" t="str">
        <f>_xlfn.XLOOKUP(b.nike.views[[#This Row],[product_ID]], a.nike.original.man[Product_ID], a.nike.original.man[Product Name], "Not Found")</f>
        <v>Jordan Hydro 8</v>
      </c>
      <c r="C268" s="5" t="str">
        <f>_xlfn.XLOOKUP(b.nike.views[[#This Row],[product_ID]], a.nike.original.man[Product_ID], a.nike.original.man[Rating_Group], "Not Found")</f>
        <v>4 - 5</v>
      </c>
      <c r="D268">
        <f>_xlfn.XLOOKUP(b.nike.views[[#This Row],[product_ID]], a.nike.original.man[Product_ID], a.nike.original.man[Rating], "Not Found")</f>
        <v>4</v>
      </c>
      <c r="E268" s="10">
        <f>ROUND(_xlfn.XLOOKUP(b.nike.views[[#This Row],[product_ID]], a.nike.original.man[Product_ID], a.nike.original.man[Sale Price], "Not Found"), 0)</f>
        <v>40</v>
      </c>
      <c r="F268" s="5" t="str" cm="1">
        <f t="array" ref="F268">_xlfn.IFS(b.nike.views[[#This Row],[Sales_Price]]&lt;=9, "under $10",b.nike.views[[#This Row],[Sales_Price]]&lt;=20, "$20 and under",b.nike.views[[#This Row],[Sales_Price]]&lt;=50, "$50 and under", b.nike.views[[#This Row],[Sales_Price]]&lt;=99, "under $100", b.nike.views[[#This Row],[Sales_Price]]&gt;=100, "$100 +")</f>
        <v>$50 and under</v>
      </c>
      <c r="G268">
        <f>COUNTIF(a.nike.original.man[Product_ID], A268)</f>
        <v>1</v>
      </c>
      <c r="H268" t="str" cm="1">
        <f t="array" ref="H268">_xlfn.IFS(b.nike.views[[#This Row],[Review_Count]]&lt;=7, "Below Average",b.nike.views[[#This Row],[Review_Count]]&gt;=8, "Average +")</f>
        <v>Below Average</v>
      </c>
      <c r="I268">
        <f>SUMIF(a.nike.original.man[Product_ID],b.nike.views[[#This Row],[product_ID]], a.nike.original.man[Reviews])</f>
        <v>1</v>
      </c>
      <c r="J268" s="41">
        <f>_xlfn.XLOOKUP(b.nike.views[[#This Row],[product_ID]],a.nike.original.man[Product_ID], a.nike.original.man[Discount %], "Not Found")</f>
        <v>0</v>
      </c>
      <c r="K268" s="41"/>
      <c r="L268" t="s">
        <v>1470</v>
      </c>
    </row>
    <row r="269" spans="1:12" x14ac:dyDescent="0.2">
      <c r="A269" t="s">
        <v>466</v>
      </c>
      <c r="B269" t="str">
        <f>_xlfn.XLOOKUP(b.nike.views[[#This Row],[product_ID]], a.nike.original.man[Product_ID], a.nike.original.man[Product Name], "Not Found")</f>
        <v>Nike Air Max 90 FlyEase</v>
      </c>
      <c r="C269" s="5" t="str">
        <f>_xlfn.XLOOKUP(b.nike.views[[#This Row],[product_ID]], a.nike.original.man[Product_ID], a.nike.original.man[Rating_Group], "Not Found")</f>
        <v>4 - 5</v>
      </c>
      <c r="D269">
        <f>_xlfn.XLOOKUP(b.nike.views[[#This Row],[product_ID]], a.nike.original.man[Product_ID], a.nike.original.man[Rating], "Not Found")</f>
        <v>4</v>
      </c>
      <c r="E269" s="10">
        <f>ROUND(_xlfn.XLOOKUP(b.nike.views[[#This Row],[product_ID]], a.nike.original.man[Product_ID], a.nike.original.man[Sale Price], "Not Found"), 0)</f>
        <v>100</v>
      </c>
      <c r="F269" s="5" t="str" cm="1">
        <f t="array" ref="F269">_xlfn.IFS(b.nike.views[[#This Row],[Sales_Price]]&lt;=9, "under $10",b.nike.views[[#This Row],[Sales_Price]]&lt;=20, "$20 and under",b.nike.views[[#This Row],[Sales_Price]]&lt;=50, "$50 and under", b.nike.views[[#This Row],[Sales_Price]]&lt;=99, "under $100", b.nike.views[[#This Row],[Sales_Price]]&gt;=100, "$100 +")</f>
        <v>$100 +</v>
      </c>
      <c r="G269">
        <f>COUNTIF(a.nike.original.man[Product_ID], A269)</f>
        <v>1</v>
      </c>
      <c r="H269" t="str" cm="1">
        <f t="array" ref="H269">_xlfn.IFS(b.nike.views[[#This Row],[Review_Count]]&lt;=7, "Below Average",b.nike.views[[#This Row],[Review_Count]]&gt;=8, "Average +")</f>
        <v>Below Average</v>
      </c>
      <c r="I269">
        <f>SUMIF(a.nike.original.man[Product_ID],b.nike.views[[#This Row],[product_ID]], a.nike.original.man[Reviews])</f>
        <v>1</v>
      </c>
      <c r="J269" s="41">
        <f>_xlfn.XLOOKUP(b.nike.views[[#This Row],[product_ID]],a.nike.original.man[Product_ID], a.nike.original.man[Discount %], "Not Found")</f>
        <v>0</v>
      </c>
      <c r="K269" s="41"/>
      <c r="L269" t="s">
        <v>1470</v>
      </c>
    </row>
    <row r="270" spans="1:12" x14ac:dyDescent="0.2">
      <c r="A270" t="s">
        <v>1193</v>
      </c>
      <c r="B270" t="str">
        <f>_xlfn.XLOOKUP(b.nike.views[[#This Row],[product_ID]], a.nike.original.man[Product_ID], a.nike.original.man[Product Name], "Not Found")</f>
        <v>Nike Air Max Triax 96 SP</v>
      </c>
      <c r="C270" s="5" t="str">
        <f>_xlfn.XLOOKUP(b.nike.views[[#This Row],[product_ID]], a.nike.original.man[Product_ID], a.nike.original.man[Rating_Group], "Not Found")</f>
        <v>4 - 5</v>
      </c>
      <c r="D270">
        <f>_xlfn.XLOOKUP(b.nike.views[[#This Row],[product_ID]], a.nike.original.man[Product_ID], a.nike.original.man[Rating], "Not Found")</f>
        <v>4</v>
      </c>
      <c r="E270" s="10">
        <f>ROUND(_xlfn.XLOOKUP(b.nike.views[[#This Row],[product_ID]], a.nike.original.man[Product_ID], a.nike.original.man[Sale Price], "Not Found"), 0)</f>
        <v>130</v>
      </c>
      <c r="F270" s="5" t="str" cm="1">
        <f t="array" ref="F270">_xlfn.IFS(b.nike.views[[#This Row],[Sales_Price]]&lt;=9, "under $10",b.nike.views[[#This Row],[Sales_Price]]&lt;=20, "$20 and under",b.nike.views[[#This Row],[Sales_Price]]&lt;=50, "$50 and under", b.nike.views[[#This Row],[Sales_Price]]&lt;=99, "under $100", b.nike.views[[#This Row],[Sales_Price]]&gt;=100, "$100 +")</f>
        <v>$100 +</v>
      </c>
      <c r="G270">
        <f>COUNTIF(a.nike.original.man[Product_ID], A270)</f>
        <v>1</v>
      </c>
      <c r="H270" t="str" cm="1">
        <f t="array" ref="H270">_xlfn.IFS(b.nike.views[[#This Row],[Review_Count]]&lt;=7, "Below Average",b.nike.views[[#This Row],[Review_Count]]&gt;=8, "Average +")</f>
        <v>Below Average</v>
      </c>
      <c r="I270">
        <f>SUMIF(a.nike.original.man[Product_ID],b.nike.views[[#This Row],[product_ID]], a.nike.original.man[Reviews])</f>
        <v>1</v>
      </c>
      <c r="J270" s="41">
        <f>_xlfn.XLOOKUP(b.nike.views[[#This Row],[product_ID]],a.nike.original.man[Product_ID], a.nike.original.man[Discount %], "Not Found")</f>
        <v>0</v>
      </c>
      <c r="K270" s="41"/>
      <c r="L270" t="s">
        <v>1470</v>
      </c>
    </row>
    <row r="271" spans="1:12" x14ac:dyDescent="0.2">
      <c r="A271" t="s">
        <v>1337</v>
      </c>
      <c r="B271" t="str">
        <f>_xlfn.XLOOKUP(b.nike.views[[#This Row],[product_ID]], a.nike.original.man[Product_ID], a.nike.original.man[Product Name], "Not Found")</f>
        <v>Nike React Element 55 Premium</v>
      </c>
      <c r="C271" s="5" t="str">
        <f>_xlfn.XLOOKUP(b.nike.views[[#This Row],[product_ID]], a.nike.original.man[Product_ID], a.nike.original.man[Rating_Group], "Not Found")</f>
        <v>4 - 5</v>
      </c>
      <c r="D271">
        <f>_xlfn.XLOOKUP(b.nike.views[[#This Row],[product_ID]], a.nike.original.man[Product_ID], a.nike.original.man[Rating], "Not Found")</f>
        <v>4</v>
      </c>
      <c r="E271" s="10">
        <f>ROUND(_xlfn.XLOOKUP(b.nike.views[[#This Row],[product_ID]], a.nike.original.man[Product_ID], a.nike.original.man[Sale Price], "Not Found"), 0)</f>
        <v>72</v>
      </c>
      <c r="F271" s="5" t="str" cm="1">
        <f t="array" ref="F271">_xlfn.IFS(b.nike.views[[#This Row],[Sales_Price]]&lt;=9, "under $10",b.nike.views[[#This Row],[Sales_Price]]&lt;=20, "$20 and under",b.nike.views[[#This Row],[Sales_Price]]&lt;=50, "$50 and under", b.nike.views[[#This Row],[Sales_Price]]&lt;=99, "under $100", b.nike.views[[#This Row],[Sales_Price]]&gt;=100, "$100 +")</f>
        <v>under $100</v>
      </c>
      <c r="G271">
        <f>COUNTIF(a.nike.original.man[Product_ID], A271)</f>
        <v>1</v>
      </c>
      <c r="H271" t="str" cm="1">
        <f t="array" ref="H271">_xlfn.IFS(b.nike.views[[#This Row],[Review_Count]]&lt;=7, "Below Average",b.nike.views[[#This Row],[Review_Count]]&gt;=8, "Average +")</f>
        <v>Below Average</v>
      </c>
      <c r="I271">
        <f>SUMIF(a.nike.original.man[Product_ID],b.nike.views[[#This Row],[product_ID]], a.nike.original.man[Reviews])</f>
        <v>1</v>
      </c>
      <c r="J271" s="41">
        <f>_xlfn.XLOOKUP(b.nike.views[[#This Row],[product_ID]],a.nike.original.man[Product_ID], a.nike.original.man[Discount %], "Not Found")</f>
        <v>0.4</v>
      </c>
      <c r="K271" s="41"/>
      <c r="L271" t="s">
        <v>1470</v>
      </c>
    </row>
    <row r="272" spans="1:12" x14ac:dyDescent="0.2">
      <c r="A272" t="s">
        <v>1366</v>
      </c>
      <c r="B272" t="str">
        <f>_xlfn.XLOOKUP(b.nike.views[[#This Row],[product_ID]], a.nike.original.man[Product_ID], a.nike.original.man[Product Name], "Not Found")</f>
        <v>Nike Drop-Type</v>
      </c>
      <c r="C272" s="5" t="str">
        <f>_xlfn.XLOOKUP(b.nike.views[[#This Row],[product_ID]], a.nike.original.man[Product_ID], a.nike.original.man[Rating_Group], "Not Found")</f>
        <v>4 - 5</v>
      </c>
      <c r="D272">
        <f>_xlfn.XLOOKUP(b.nike.views[[#This Row],[product_ID]], a.nike.original.man[Product_ID], a.nike.original.man[Rating], "Not Found")</f>
        <v>4</v>
      </c>
      <c r="E272" s="10">
        <f>ROUND(_xlfn.XLOOKUP(b.nike.views[[#This Row],[product_ID]], a.nike.original.man[Product_ID], a.nike.original.man[Sale Price], "Not Found"), 0)</f>
        <v>60</v>
      </c>
      <c r="F272" s="5" t="str" cm="1">
        <f t="array" ref="F272">_xlfn.IFS(b.nike.views[[#This Row],[Sales_Price]]&lt;=9, "under $10",b.nike.views[[#This Row],[Sales_Price]]&lt;=20, "$20 and under",b.nike.views[[#This Row],[Sales_Price]]&lt;=50, "$50 and under", b.nike.views[[#This Row],[Sales_Price]]&lt;=99, "under $100", b.nike.views[[#This Row],[Sales_Price]]&gt;=100, "$100 +")</f>
        <v>under $100</v>
      </c>
      <c r="G272">
        <f>COUNTIF(a.nike.original.man[Product_ID], A272)</f>
        <v>1</v>
      </c>
      <c r="H272" t="str" cm="1">
        <f t="array" ref="H272">_xlfn.IFS(b.nike.views[[#This Row],[Review_Count]]&lt;=7, "Below Average",b.nike.views[[#This Row],[Review_Count]]&gt;=8, "Average +")</f>
        <v>Below Average</v>
      </c>
      <c r="I272">
        <f>SUMIF(a.nike.original.man[Product_ID],b.nike.views[[#This Row],[product_ID]], a.nike.original.man[Reviews])</f>
        <v>1</v>
      </c>
      <c r="J272" s="41">
        <f>_xlfn.XLOOKUP(b.nike.views[[#This Row],[product_ID]],a.nike.original.man[Product_ID], a.nike.original.man[Discount %], "Not Found")</f>
        <v>0</v>
      </c>
      <c r="K272" s="41"/>
      <c r="L272" t="s">
        <v>1470</v>
      </c>
    </row>
    <row r="273" spans="1:12" x14ac:dyDescent="0.2">
      <c r="A273" t="s">
        <v>1402</v>
      </c>
      <c r="B273" t="str">
        <f>_xlfn.XLOOKUP(b.nike.views[[#This Row],[product_ID]], a.nike.original.man[Product_ID], a.nike.original.man[Product Name], "Not Found")</f>
        <v>Nike Air Max 98</v>
      </c>
      <c r="C273" s="5" t="str">
        <f>_xlfn.XLOOKUP(b.nike.views[[#This Row],[product_ID]], a.nike.original.man[Product_ID], a.nike.original.man[Rating_Group], "Not Found")</f>
        <v>4 - 5</v>
      </c>
      <c r="D273">
        <f>_xlfn.XLOOKUP(b.nike.views[[#This Row],[product_ID]], a.nike.original.man[Product_ID], a.nike.original.man[Rating], "Not Found")</f>
        <v>4</v>
      </c>
      <c r="E273" s="10">
        <f>ROUND(_xlfn.XLOOKUP(b.nike.views[[#This Row],[product_ID]], a.nike.original.man[Product_ID], a.nike.original.man[Sale Price], "Not Found"), 0)</f>
        <v>170</v>
      </c>
      <c r="F273" s="5" t="str" cm="1">
        <f t="array" ref="F273">_xlfn.IFS(b.nike.views[[#This Row],[Sales_Price]]&lt;=9, "under $10",b.nike.views[[#This Row],[Sales_Price]]&lt;=20, "$20 and under",b.nike.views[[#This Row],[Sales_Price]]&lt;=50, "$50 and under", b.nike.views[[#This Row],[Sales_Price]]&lt;=99, "under $100", b.nike.views[[#This Row],[Sales_Price]]&gt;=100, "$100 +")</f>
        <v>$100 +</v>
      </c>
      <c r="G273">
        <f>COUNTIF(a.nike.original.man[Product_ID], A273)</f>
        <v>1</v>
      </c>
      <c r="H273" t="str" cm="1">
        <f t="array" ref="H273">_xlfn.IFS(b.nike.views[[#This Row],[Review_Count]]&lt;=7, "Below Average",b.nike.views[[#This Row],[Review_Count]]&gt;=8, "Average +")</f>
        <v>Below Average</v>
      </c>
      <c r="I273">
        <f>SUMIF(a.nike.original.man[Product_ID],b.nike.views[[#This Row],[product_ID]], a.nike.original.man[Reviews])</f>
        <v>1</v>
      </c>
      <c r="J273" s="41">
        <f>_xlfn.XLOOKUP(b.nike.views[[#This Row],[product_ID]],a.nike.original.man[Product_ID], a.nike.original.man[Discount %], "Not Found")</f>
        <v>0</v>
      </c>
      <c r="K273" s="41"/>
      <c r="L273" t="s">
        <v>1470</v>
      </c>
    </row>
    <row r="274" spans="1:12" x14ac:dyDescent="0.2">
      <c r="A274" t="s">
        <v>879</v>
      </c>
      <c r="B274" t="str">
        <f>_xlfn.XLOOKUP(b.nike.views[[#This Row],[product_ID]], a.nike.original.man[Product_ID], a.nike.original.man[Product Name], "Not Found")</f>
        <v>Air Jordan 13 Retro</v>
      </c>
      <c r="C274" s="5" t="str">
        <f>_xlfn.XLOOKUP(b.nike.views[[#This Row],[product_ID]], a.nike.original.man[Product_ID], a.nike.original.man[Rating_Group], "Not Found")</f>
        <v>3 - 3.9</v>
      </c>
      <c r="D274">
        <f>_xlfn.XLOOKUP(b.nike.views[[#This Row],[product_ID]], a.nike.original.man[Product_ID], a.nike.original.man[Rating], "Not Found")</f>
        <v>3.9</v>
      </c>
      <c r="E274" s="10">
        <f>ROUND(_xlfn.XLOOKUP(b.nike.views[[#This Row],[product_ID]], a.nike.original.man[Product_ID], a.nike.original.man[Sale Price], "Not Found"), 0)</f>
        <v>160</v>
      </c>
      <c r="F274" s="5" t="str" cm="1">
        <f t="array" ref="F274">_xlfn.IFS(b.nike.views[[#This Row],[Sales_Price]]&lt;=9, "under $10",b.nike.views[[#This Row],[Sales_Price]]&lt;=20, "$20 and under",b.nike.views[[#This Row],[Sales_Price]]&lt;=50, "$50 and under", b.nike.views[[#This Row],[Sales_Price]]&lt;=99, "under $100", b.nike.views[[#This Row],[Sales_Price]]&gt;=100, "$100 +")</f>
        <v>$100 +</v>
      </c>
      <c r="G274">
        <f>COUNTIF(a.nike.original.man[Product_ID], A274)</f>
        <v>2</v>
      </c>
      <c r="H274" t="str" cm="1">
        <f t="array" ref="H274">_xlfn.IFS(b.nike.views[[#This Row],[Review_Count]]&lt;=7, "Below Average",b.nike.views[[#This Row],[Review_Count]]&gt;=8, "Average +")</f>
        <v>Average +</v>
      </c>
      <c r="I274">
        <f>SUMIF(a.nike.original.man[Product_ID],b.nike.views[[#This Row],[product_ID]], a.nike.original.man[Reviews])</f>
        <v>68</v>
      </c>
      <c r="J274" s="41">
        <f>_xlfn.XLOOKUP(b.nike.views[[#This Row],[product_ID]],a.nike.original.man[Product_ID], a.nike.original.man[Discount %], "Not Found")</f>
        <v>0</v>
      </c>
      <c r="K274" s="41"/>
      <c r="L274" t="s">
        <v>1470</v>
      </c>
    </row>
    <row r="275" spans="1:12" x14ac:dyDescent="0.2">
      <c r="A275" t="s">
        <v>1218</v>
      </c>
      <c r="B275" t="str">
        <f>_xlfn.XLOOKUP(b.nike.views[[#This Row],[product_ID]], a.nike.original.man[Product_ID], a.nike.original.man[Product Name], "Not Found")</f>
        <v>Nike Air Max 270</v>
      </c>
      <c r="C275" s="5" t="str">
        <f>_xlfn.XLOOKUP(b.nike.views[[#This Row],[product_ID]], a.nike.original.man[Product_ID], a.nike.original.man[Rating_Group], "Not Found")</f>
        <v>3 - 3.9</v>
      </c>
      <c r="D275">
        <f>_xlfn.XLOOKUP(b.nike.views[[#This Row],[product_ID]], a.nike.original.man[Product_ID], a.nike.original.man[Rating], "Not Found")</f>
        <v>3.9</v>
      </c>
      <c r="E275" s="10">
        <f>ROUND(_xlfn.XLOOKUP(b.nike.views[[#This Row],[product_ID]], a.nike.original.man[Product_ID], a.nike.original.man[Sale Price], "Not Found"), 0)</f>
        <v>140</v>
      </c>
      <c r="F275" s="5" t="str" cm="1">
        <f t="array" ref="F275">_xlfn.IFS(b.nike.views[[#This Row],[Sales_Price]]&lt;=9, "under $10",b.nike.views[[#This Row],[Sales_Price]]&lt;=20, "$20 and under",b.nike.views[[#This Row],[Sales_Price]]&lt;=50, "$50 and under", b.nike.views[[#This Row],[Sales_Price]]&lt;=99, "under $100", b.nike.views[[#This Row],[Sales_Price]]&gt;=100, "$100 +")</f>
        <v>$100 +</v>
      </c>
      <c r="G275">
        <f>COUNTIF(a.nike.original.man[Product_ID], A275)</f>
        <v>1</v>
      </c>
      <c r="H275" t="str" cm="1">
        <f t="array" ref="H275">_xlfn.IFS(b.nike.views[[#This Row],[Review_Count]]&lt;=7, "Below Average",b.nike.views[[#This Row],[Review_Count]]&gt;=8, "Average +")</f>
        <v>Average +</v>
      </c>
      <c r="I275">
        <f>SUMIF(a.nike.original.man[Product_ID],b.nike.views[[#This Row],[product_ID]], a.nike.original.man[Reviews])</f>
        <v>63</v>
      </c>
      <c r="J275" s="41">
        <f>_xlfn.XLOOKUP(b.nike.views[[#This Row],[product_ID]],a.nike.original.man[Product_ID], a.nike.original.man[Discount %], "Not Found")</f>
        <v>0</v>
      </c>
      <c r="K275" s="41"/>
      <c r="L275" t="s">
        <v>1470</v>
      </c>
    </row>
    <row r="276" spans="1:12" x14ac:dyDescent="0.2">
      <c r="A276" t="s">
        <v>509</v>
      </c>
      <c r="B276" t="str">
        <f>_xlfn.XLOOKUP(b.nike.views[[#This Row],[product_ID]], a.nike.original.man[Product_ID], a.nike.original.man[Product Name], "Not Found")</f>
        <v>Nike Air Zoom Pegasus 35</v>
      </c>
      <c r="C276" s="5" t="str">
        <f>_xlfn.XLOOKUP(b.nike.views[[#This Row],[product_ID]], a.nike.original.man[Product_ID], a.nike.original.man[Rating_Group], "Not Found")</f>
        <v>3 - 3.9</v>
      </c>
      <c r="D276">
        <f>_xlfn.XLOOKUP(b.nike.views[[#This Row],[product_ID]], a.nike.original.man[Product_ID], a.nike.original.man[Rating], "Not Found")</f>
        <v>3.9</v>
      </c>
      <c r="E276" s="10">
        <f>ROUND(_xlfn.XLOOKUP(b.nike.views[[#This Row],[product_ID]], a.nike.original.man[Product_ID], a.nike.original.man[Sale Price], "Not Found"), 0)</f>
        <v>110</v>
      </c>
      <c r="F276" s="5" t="str" cm="1">
        <f t="array" ref="F276">_xlfn.IFS(b.nike.views[[#This Row],[Sales_Price]]&lt;=9, "under $10",b.nike.views[[#This Row],[Sales_Price]]&lt;=20, "$20 and under",b.nike.views[[#This Row],[Sales_Price]]&lt;=50, "$50 and under", b.nike.views[[#This Row],[Sales_Price]]&lt;=99, "under $100", b.nike.views[[#This Row],[Sales_Price]]&gt;=100, "$100 +")</f>
        <v>$100 +</v>
      </c>
      <c r="G276">
        <f>COUNTIF(a.nike.original.man[Product_ID], A276)</f>
        <v>1</v>
      </c>
      <c r="H276" t="str" cm="1">
        <f t="array" ref="H276">_xlfn.IFS(b.nike.views[[#This Row],[Review_Count]]&lt;=7, "Below Average",b.nike.views[[#This Row],[Review_Count]]&gt;=8, "Average +")</f>
        <v>Average +</v>
      </c>
      <c r="I276">
        <f>SUMIF(a.nike.original.man[Product_ID],b.nike.views[[#This Row],[product_ID]], a.nike.original.man[Reviews])</f>
        <v>61</v>
      </c>
      <c r="J276" s="41">
        <f>_xlfn.XLOOKUP(b.nike.views[[#This Row],[product_ID]],a.nike.original.man[Product_ID], a.nike.original.man[Discount %], "Not Found")</f>
        <v>0</v>
      </c>
      <c r="K276" s="41"/>
      <c r="L276" t="s">
        <v>1470</v>
      </c>
    </row>
    <row r="277" spans="1:12" x14ac:dyDescent="0.2">
      <c r="A277" t="s">
        <v>215</v>
      </c>
      <c r="B277" t="str">
        <f>_xlfn.XLOOKUP(b.nike.views[[#This Row],[product_ID]], a.nike.original.man[Product_ID], a.nike.original.man[Product Name], "Not Found")</f>
        <v>Nike Air Max 270 React</v>
      </c>
      <c r="C277" s="5" t="str">
        <f>_xlfn.XLOOKUP(b.nike.views[[#This Row],[product_ID]], a.nike.original.man[Product_ID], a.nike.original.man[Rating_Group], "Not Found")</f>
        <v>3 - 3.9</v>
      </c>
      <c r="D277">
        <f>_xlfn.XLOOKUP(b.nike.views[[#This Row],[product_ID]], a.nike.original.man[Product_ID], a.nike.original.man[Rating], "Not Found")</f>
        <v>3.9</v>
      </c>
      <c r="E277" s="10">
        <f>ROUND(_xlfn.XLOOKUP(b.nike.views[[#This Row],[product_ID]], a.nike.original.man[Product_ID], a.nike.original.man[Sale Price], "Not Found"), 0)</f>
        <v>78</v>
      </c>
      <c r="F277" s="5" t="str" cm="1">
        <f t="array" ref="F277">_xlfn.IFS(b.nike.views[[#This Row],[Sales_Price]]&lt;=9, "under $10",b.nike.views[[#This Row],[Sales_Price]]&lt;=20, "$20 and under",b.nike.views[[#This Row],[Sales_Price]]&lt;=50, "$50 and under", b.nike.views[[#This Row],[Sales_Price]]&lt;=99, "under $100", b.nike.views[[#This Row],[Sales_Price]]&gt;=100, "$100 +")</f>
        <v>under $100</v>
      </c>
      <c r="G277">
        <f>COUNTIF(a.nike.original.man[Product_ID], A277)</f>
        <v>1</v>
      </c>
      <c r="H277" t="str" cm="1">
        <f t="array" ref="H277">_xlfn.IFS(b.nike.views[[#This Row],[Review_Count]]&lt;=7, "Below Average",b.nike.views[[#This Row],[Review_Count]]&gt;=8, "Average +")</f>
        <v>Average +</v>
      </c>
      <c r="I277">
        <f>SUMIF(a.nike.original.man[Product_ID],b.nike.views[[#This Row],[product_ID]], a.nike.original.man[Reviews])</f>
        <v>33</v>
      </c>
      <c r="J277" s="41">
        <f>_xlfn.XLOOKUP(b.nike.views[[#This Row],[product_ID]],a.nike.original.man[Product_ID], a.nike.original.man[Discount %], "Not Found")</f>
        <v>0.4</v>
      </c>
      <c r="K277" s="41"/>
      <c r="L277" t="s">
        <v>1470</v>
      </c>
    </row>
    <row r="278" spans="1:12" x14ac:dyDescent="0.2">
      <c r="A278" t="s">
        <v>1062</v>
      </c>
      <c r="B278" t="str">
        <f>_xlfn.XLOOKUP(b.nike.views[[#This Row],[product_ID]], a.nike.original.man[Product_ID], a.nike.original.man[Product Name], "Not Found")</f>
        <v>Nike Free RN 5.0</v>
      </c>
      <c r="C278" s="5" t="str">
        <f>_xlfn.XLOOKUP(b.nike.views[[#This Row],[product_ID]], a.nike.original.man[Product_ID], a.nike.original.man[Rating_Group], "Not Found")</f>
        <v>3 - 3.9</v>
      </c>
      <c r="D278">
        <f>_xlfn.XLOOKUP(b.nike.views[[#This Row],[product_ID]], a.nike.original.man[Product_ID], a.nike.original.man[Rating], "Not Found")</f>
        <v>3.9</v>
      </c>
      <c r="E278" s="10">
        <f>ROUND(_xlfn.XLOOKUP(b.nike.views[[#This Row],[product_ID]], a.nike.original.man[Product_ID], a.nike.original.man[Sale Price], "Not Found"), 0)</f>
        <v>56</v>
      </c>
      <c r="F278" s="5" t="str" cm="1">
        <f t="array" ref="F278">_xlfn.IFS(b.nike.views[[#This Row],[Sales_Price]]&lt;=9, "under $10",b.nike.views[[#This Row],[Sales_Price]]&lt;=20, "$20 and under",b.nike.views[[#This Row],[Sales_Price]]&lt;=50, "$50 and under", b.nike.views[[#This Row],[Sales_Price]]&lt;=99, "under $100", b.nike.views[[#This Row],[Sales_Price]]&gt;=100, "$100 +")</f>
        <v>under $100</v>
      </c>
      <c r="G278">
        <f>COUNTIF(a.nike.original.man[Product_ID], A278)</f>
        <v>1</v>
      </c>
      <c r="H278" t="str" cm="1">
        <f t="array" ref="H278">_xlfn.IFS(b.nike.views[[#This Row],[Review_Count]]&lt;=7, "Below Average",b.nike.views[[#This Row],[Review_Count]]&gt;=8, "Average +")</f>
        <v>Average +</v>
      </c>
      <c r="I278">
        <f>SUMIF(a.nike.original.man[Product_ID],b.nike.views[[#This Row],[product_ID]], a.nike.original.man[Reviews])</f>
        <v>25</v>
      </c>
      <c r="J278" s="41">
        <f>_xlfn.XLOOKUP(b.nike.views[[#This Row],[product_ID]],a.nike.original.man[Product_ID], a.nike.original.man[Discount %], "Not Found")</f>
        <v>0.3</v>
      </c>
      <c r="K278" s="41"/>
      <c r="L278" t="s">
        <v>1470</v>
      </c>
    </row>
    <row r="279" spans="1:12" x14ac:dyDescent="0.2">
      <c r="A279" t="s">
        <v>943</v>
      </c>
      <c r="B279" t="str">
        <f>_xlfn.XLOOKUP(b.nike.views[[#This Row],[product_ID]], a.nike.original.man[Product_ID], a.nike.original.man[Product Name], "Not Found")</f>
        <v>Nike React Metcon</v>
      </c>
      <c r="C279" s="5" t="str">
        <f>_xlfn.XLOOKUP(b.nike.views[[#This Row],[product_ID]], a.nike.original.man[Product_ID], a.nike.original.man[Rating_Group], "Not Found")</f>
        <v>3 - 3.9</v>
      </c>
      <c r="D279">
        <f>_xlfn.XLOOKUP(b.nike.views[[#This Row],[product_ID]], a.nike.original.man[Product_ID], a.nike.original.man[Rating], "Not Found")</f>
        <v>3.9</v>
      </c>
      <c r="E279" s="10">
        <f>ROUND(_xlfn.XLOOKUP(b.nike.views[[#This Row],[product_ID]], a.nike.original.man[Product_ID], a.nike.original.man[Sale Price], "Not Found"), 0)</f>
        <v>130</v>
      </c>
      <c r="F279" s="5" t="str" cm="1">
        <f t="array" ref="F279">_xlfn.IFS(b.nike.views[[#This Row],[Sales_Price]]&lt;=9, "under $10",b.nike.views[[#This Row],[Sales_Price]]&lt;=20, "$20 and under",b.nike.views[[#This Row],[Sales_Price]]&lt;=50, "$50 and under", b.nike.views[[#This Row],[Sales_Price]]&lt;=99, "under $100", b.nike.views[[#This Row],[Sales_Price]]&gt;=100, "$100 +")</f>
        <v>$100 +</v>
      </c>
      <c r="G279">
        <f>COUNTIF(a.nike.original.man[Product_ID], A279)</f>
        <v>2</v>
      </c>
      <c r="H279" t="str" cm="1">
        <f t="array" ref="H279">_xlfn.IFS(b.nike.views[[#This Row],[Review_Count]]&lt;=7, "Below Average",b.nike.views[[#This Row],[Review_Count]]&gt;=8, "Average +")</f>
        <v>Average +</v>
      </c>
      <c r="I279">
        <f>SUMIF(a.nike.original.man[Product_ID],b.nike.views[[#This Row],[product_ID]], a.nike.original.man[Reviews])</f>
        <v>20</v>
      </c>
      <c r="J279" s="41">
        <f>_xlfn.XLOOKUP(b.nike.views[[#This Row],[product_ID]],a.nike.original.man[Product_ID], a.nike.original.man[Discount %], "Not Found")</f>
        <v>0</v>
      </c>
      <c r="K279" s="41"/>
      <c r="L279" t="s">
        <v>1470</v>
      </c>
    </row>
    <row r="280" spans="1:12" x14ac:dyDescent="0.2">
      <c r="A280" t="s">
        <v>387</v>
      </c>
      <c r="B280" t="str">
        <f>_xlfn.XLOOKUP(b.nike.views[[#This Row],[product_ID]], a.nike.original.man[Product_ID], a.nike.original.man[Product Name], "Not Found")</f>
        <v>Nike React Element 55</v>
      </c>
      <c r="C280" s="5" t="str">
        <f>_xlfn.XLOOKUP(b.nike.views[[#This Row],[product_ID]], a.nike.original.man[Product_ID], a.nike.original.man[Rating_Group], "Not Found")</f>
        <v>3 - 3.9</v>
      </c>
      <c r="D280">
        <f>_xlfn.XLOOKUP(b.nike.views[[#This Row],[product_ID]], a.nike.original.man[Product_ID], a.nike.original.man[Rating], "Not Found")</f>
        <v>3.9</v>
      </c>
      <c r="E280" s="10">
        <f>ROUND(_xlfn.XLOOKUP(b.nike.views[[#This Row],[product_ID]], a.nike.original.man[Product_ID], a.nike.original.man[Sale Price], "Not Found"), 0)</f>
        <v>120</v>
      </c>
      <c r="F280" s="5" t="str" cm="1">
        <f t="array" ref="F280">_xlfn.IFS(b.nike.views[[#This Row],[Sales_Price]]&lt;=9, "under $10",b.nike.views[[#This Row],[Sales_Price]]&lt;=20, "$20 and under",b.nike.views[[#This Row],[Sales_Price]]&lt;=50, "$50 and under", b.nike.views[[#This Row],[Sales_Price]]&lt;=99, "under $100", b.nike.views[[#This Row],[Sales_Price]]&gt;=100, "$100 +")</f>
        <v>$100 +</v>
      </c>
      <c r="G280">
        <f>COUNTIF(a.nike.original.man[Product_ID], A280)</f>
        <v>1</v>
      </c>
      <c r="H280" t="str" cm="1">
        <f t="array" ref="H280">_xlfn.IFS(b.nike.views[[#This Row],[Review_Count]]&lt;=7, "Below Average",b.nike.views[[#This Row],[Review_Count]]&gt;=8, "Average +")</f>
        <v>Average +</v>
      </c>
      <c r="I280">
        <f>SUMIF(a.nike.original.man[Product_ID],b.nike.views[[#This Row],[product_ID]], a.nike.original.man[Reviews])</f>
        <v>17</v>
      </c>
      <c r="J280" s="41">
        <f>_xlfn.XLOOKUP(b.nike.views[[#This Row],[product_ID]],a.nike.original.man[Product_ID], a.nike.original.man[Discount %], "Not Found")</f>
        <v>0</v>
      </c>
      <c r="K280" s="41"/>
      <c r="L280" t="s">
        <v>1470</v>
      </c>
    </row>
    <row r="281" spans="1:12" x14ac:dyDescent="0.2">
      <c r="A281" t="s">
        <v>420</v>
      </c>
      <c r="B281" t="str">
        <f>_xlfn.XLOOKUP(b.nike.views[[#This Row],[product_ID]], a.nike.original.man[Product_ID], a.nike.original.man[Product Name], "Not Found")</f>
        <v>Nike Air Tailwind 79</v>
      </c>
      <c r="C281" s="5" t="str">
        <f>_xlfn.XLOOKUP(b.nike.views[[#This Row],[product_ID]], a.nike.original.man[Product_ID], a.nike.original.man[Rating_Group], "Not Found")</f>
        <v>3 - 3.9</v>
      </c>
      <c r="D281">
        <f>_xlfn.XLOOKUP(b.nike.views[[#This Row],[product_ID]], a.nike.original.man[Product_ID], a.nike.original.man[Rating], "Not Found")</f>
        <v>3.9</v>
      </c>
      <c r="E281" s="10">
        <f>ROUND(_xlfn.XLOOKUP(b.nike.views[[#This Row],[product_ID]], a.nike.original.man[Product_ID], a.nike.original.man[Sale Price], "Not Found"), 0)</f>
        <v>80</v>
      </c>
      <c r="F281" s="5" t="str" cm="1">
        <f t="array" ref="F281">_xlfn.IFS(b.nike.views[[#This Row],[Sales_Price]]&lt;=9, "under $10",b.nike.views[[#This Row],[Sales_Price]]&lt;=20, "$20 and under",b.nike.views[[#This Row],[Sales_Price]]&lt;=50, "$50 and under", b.nike.views[[#This Row],[Sales_Price]]&lt;=99, "under $100", b.nike.views[[#This Row],[Sales_Price]]&gt;=100, "$100 +")</f>
        <v>under $100</v>
      </c>
      <c r="G281">
        <f>COUNTIF(a.nike.original.man[Product_ID], A281)</f>
        <v>1</v>
      </c>
      <c r="H281" t="str" cm="1">
        <f t="array" ref="H281">_xlfn.IFS(b.nike.views[[#This Row],[Review_Count]]&lt;=7, "Below Average",b.nike.views[[#This Row],[Review_Count]]&gt;=8, "Average +")</f>
        <v>Average +</v>
      </c>
      <c r="I281">
        <f>SUMIF(a.nike.original.man[Product_ID],b.nike.views[[#This Row],[product_ID]], a.nike.original.man[Reviews])</f>
        <v>17</v>
      </c>
      <c r="J281" s="41">
        <f>_xlfn.XLOOKUP(b.nike.views[[#This Row],[product_ID]],a.nike.original.man[Product_ID], a.nike.original.man[Discount %], "Not Found")</f>
        <v>0</v>
      </c>
      <c r="K281" s="41"/>
      <c r="L281" t="s">
        <v>1470</v>
      </c>
    </row>
    <row r="282" spans="1:12" x14ac:dyDescent="0.2">
      <c r="A282" t="s">
        <v>249</v>
      </c>
      <c r="B282" t="str">
        <f>_xlfn.XLOOKUP(b.nike.views[[#This Row],[product_ID]], a.nike.original.man[Product_ID], a.nike.original.man[Product Name], "Not Found")</f>
        <v>Nike Free RN Flyknit 3.0</v>
      </c>
      <c r="C282" s="5" t="str">
        <f>_xlfn.XLOOKUP(b.nike.views[[#This Row],[product_ID]], a.nike.original.man[Product_ID], a.nike.original.man[Rating_Group], "Not Found")</f>
        <v>3 - 3.9</v>
      </c>
      <c r="D282">
        <f>_xlfn.XLOOKUP(b.nike.views[[#This Row],[product_ID]], a.nike.original.man[Product_ID], a.nike.original.man[Rating], "Not Found")</f>
        <v>3.9</v>
      </c>
      <c r="E282" s="10">
        <f>ROUND(_xlfn.XLOOKUP(b.nike.views[[#This Row],[product_ID]], a.nike.original.man[Product_ID], a.nike.original.man[Sale Price], "Not Found"), 0)</f>
        <v>77</v>
      </c>
      <c r="F282" s="5" t="str" cm="1">
        <f t="array" ref="F282">_xlfn.IFS(b.nike.views[[#This Row],[Sales_Price]]&lt;=9, "under $10",b.nike.views[[#This Row],[Sales_Price]]&lt;=20, "$20 and under",b.nike.views[[#This Row],[Sales_Price]]&lt;=50, "$50 and under", b.nike.views[[#This Row],[Sales_Price]]&lt;=99, "under $100", b.nike.views[[#This Row],[Sales_Price]]&gt;=100, "$100 +")</f>
        <v>under $100</v>
      </c>
      <c r="G282">
        <f>COUNTIF(a.nike.original.man[Product_ID], A282)</f>
        <v>1</v>
      </c>
      <c r="H282" t="str" cm="1">
        <f t="array" ref="H282">_xlfn.IFS(b.nike.views[[#This Row],[Review_Count]]&lt;=7, "Below Average",b.nike.views[[#This Row],[Review_Count]]&gt;=8, "Average +")</f>
        <v>Average +</v>
      </c>
      <c r="I282">
        <f>SUMIF(a.nike.original.man[Product_ID],b.nike.views[[#This Row],[product_ID]], a.nike.original.man[Reviews])</f>
        <v>10</v>
      </c>
      <c r="J282" s="41">
        <f>_xlfn.XLOOKUP(b.nike.views[[#This Row],[product_ID]],a.nike.original.man[Product_ID], a.nike.original.man[Discount %], "Not Found")</f>
        <v>0.3</v>
      </c>
      <c r="K282" s="41"/>
      <c r="L282" t="s">
        <v>1470</v>
      </c>
    </row>
    <row r="283" spans="1:12" x14ac:dyDescent="0.2">
      <c r="A283" t="s">
        <v>313</v>
      </c>
      <c r="B283" t="str">
        <f>_xlfn.XLOOKUP(b.nike.views[[#This Row],[product_ID]], a.nike.original.man[Product_ID], a.nike.original.man[Product Name], "Not Found")</f>
        <v>Nike Air Max 270</v>
      </c>
      <c r="C283" s="5" t="str">
        <f>_xlfn.XLOOKUP(b.nike.views[[#This Row],[product_ID]], a.nike.original.man[Product_ID], a.nike.original.man[Rating_Group], "Not Found")</f>
        <v>3 - 3.9</v>
      </c>
      <c r="D283">
        <f>_xlfn.XLOOKUP(b.nike.views[[#This Row],[product_ID]], a.nike.original.man[Product_ID], a.nike.original.man[Rating], "Not Found")</f>
        <v>3.8</v>
      </c>
      <c r="E283" s="10">
        <f>ROUND(_xlfn.XLOOKUP(b.nike.views[[#This Row],[product_ID]], a.nike.original.man[Product_ID], a.nike.original.man[Sale Price], "Not Found"), 0)</f>
        <v>140</v>
      </c>
      <c r="F283" s="5" t="str" cm="1">
        <f t="array" ref="F283">_xlfn.IFS(b.nike.views[[#This Row],[Sales_Price]]&lt;=9, "under $10",b.nike.views[[#This Row],[Sales_Price]]&lt;=20, "$20 and under",b.nike.views[[#This Row],[Sales_Price]]&lt;=50, "$50 and under", b.nike.views[[#This Row],[Sales_Price]]&lt;=99, "under $100", b.nike.views[[#This Row],[Sales_Price]]&gt;=100, "$100 +")</f>
        <v>$100 +</v>
      </c>
      <c r="G283">
        <f>COUNTIF(a.nike.original.man[Product_ID], A283)</f>
        <v>1</v>
      </c>
      <c r="H283" t="str" cm="1">
        <f t="array" ref="H283">_xlfn.IFS(b.nike.views[[#This Row],[Review_Count]]&lt;=7, "Below Average",b.nike.views[[#This Row],[Review_Count]]&gt;=8, "Average +")</f>
        <v>Average +</v>
      </c>
      <c r="I283">
        <f>SUMIF(a.nike.original.man[Product_ID],b.nike.views[[#This Row],[product_ID]], a.nike.original.man[Reviews])</f>
        <v>81</v>
      </c>
      <c r="J283" s="41">
        <f>_xlfn.XLOOKUP(b.nike.views[[#This Row],[product_ID]],a.nike.original.man[Product_ID], a.nike.original.man[Discount %], "Not Found")</f>
        <v>0</v>
      </c>
      <c r="K283" s="41"/>
      <c r="L283" t="s">
        <v>1470</v>
      </c>
    </row>
    <row r="284" spans="1:12" x14ac:dyDescent="0.2">
      <c r="A284" t="s">
        <v>1222</v>
      </c>
      <c r="B284" t="str">
        <f>_xlfn.XLOOKUP(b.nike.views[[#This Row],[product_ID]], a.nike.original.man[Product_ID], a.nike.original.man[Product Name], "Not Found")</f>
        <v>Nike SFB Gen 2 20cm (approx.)</v>
      </c>
      <c r="C284" s="5" t="str">
        <f>_xlfn.XLOOKUP(b.nike.views[[#This Row],[product_ID]], a.nike.original.man[Product_ID], a.nike.original.man[Rating_Group], "Not Found")</f>
        <v>3 - 3.9</v>
      </c>
      <c r="D284">
        <f>_xlfn.XLOOKUP(b.nike.views[[#This Row],[product_ID]], a.nike.original.man[Product_ID], a.nike.original.man[Rating], "Not Found")</f>
        <v>3.8</v>
      </c>
      <c r="E284" s="10">
        <f>ROUND(_xlfn.XLOOKUP(b.nike.views[[#This Row],[product_ID]], a.nike.original.man[Product_ID], a.nike.original.man[Sale Price], "Not Found"), 0)</f>
        <v>140</v>
      </c>
      <c r="F284" s="5" t="str" cm="1">
        <f t="array" ref="F284">_xlfn.IFS(b.nike.views[[#This Row],[Sales_Price]]&lt;=9, "under $10",b.nike.views[[#This Row],[Sales_Price]]&lt;=20, "$20 and under",b.nike.views[[#This Row],[Sales_Price]]&lt;=50, "$50 and under", b.nike.views[[#This Row],[Sales_Price]]&lt;=99, "under $100", b.nike.views[[#This Row],[Sales_Price]]&gt;=100, "$100 +")</f>
        <v>$100 +</v>
      </c>
      <c r="G284">
        <f>COUNTIF(a.nike.original.man[Product_ID], A284)</f>
        <v>2</v>
      </c>
      <c r="H284" t="str" cm="1">
        <f t="array" ref="H284">_xlfn.IFS(b.nike.views[[#This Row],[Review_Count]]&lt;=7, "Below Average",b.nike.views[[#This Row],[Review_Count]]&gt;=8, "Average +")</f>
        <v>Average +</v>
      </c>
      <c r="I284">
        <f>SUMIF(a.nike.original.man[Product_ID],b.nike.views[[#This Row],[product_ID]], a.nike.original.man[Reviews])</f>
        <v>30</v>
      </c>
      <c r="J284" s="41">
        <f>_xlfn.XLOOKUP(b.nike.views[[#This Row],[product_ID]],a.nike.original.man[Product_ID], a.nike.original.man[Discount %], "Not Found")</f>
        <v>0</v>
      </c>
      <c r="K284" s="41"/>
      <c r="L284" t="s">
        <v>1470</v>
      </c>
    </row>
    <row r="285" spans="1:12" x14ac:dyDescent="0.2">
      <c r="A285" t="s">
        <v>475</v>
      </c>
      <c r="B285" t="str">
        <f>_xlfn.XLOOKUP(b.nike.views[[#This Row],[product_ID]], a.nike.original.man[Product_ID], a.nike.original.man[Product Name], "Not Found")</f>
        <v>Nike Air VaporMax 2019</v>
      </c>
      <c r="C285" s="5" t="str">
        <f>_xlfn.XLOOKUP(b.nike.views[[#This Row],[product_ID]], a.nike.original.man[Product_ID], a.nike.original.man[Rating_Group], "Not Found")</f>
        <v>3 - 3.9</v>
      </c>
      <c r="D285">
        <f>_xlfn.XLOOKUP(b.nike.views[[#This Row],[product_ID]], a.nike.original.man[Product_ID], a.nike.original.man[Rating], "Not Found")</f>
        <v>3.8</v>
      </c>
      <c r="E285" s="10">
        <f>ROUND(_xlfn.XLOOKUP(b.nike.views[[#This Row],[product_ID]], a.nike.original.man[Product_ID], a.nike.original.man[Sale Price], "Not Found"), 0)</f>
        <v>128</v>
      </c>
      <c r="F285" s="5" t="str" cm="1">
        <f t="array" ref="F285">_xlfn.IFS(b.nike.views[[#This Row],[Sales_Price]]&lt;=9, "under $10",b.nike.views[[#This Row],[Sales_Price]]&lt;=20, "$20 and under",b.nike.views[[#This Row],[Sales_Price]]&lt;=50, "$50 and under", b.nike.views[[#This Row],[Sales_Price]]&lt;=99, "under $100", b.nike.views[[#This Row],[Sales_Price]]&gt;=100, "$100 +")</f>
        <v>$100 +</v>
      </c>
      <c r="G285">
        <f>COUNTIF(a.nike.original.man[Product_ID], A285)</f>
        <v>1</v>
      </c>
      <c r="H285" t="str" cm="1">
        <f t="array" ref="H285">_xlfn.IFS(b.nike.views[[#This Row],[Review_Count]]&lt;=7, "Below Average",b.nike.views[[#This Row],[Review_Count]]&gt;=8, "Average +")</f>
        <v>Average +</v>
      </c>
      <c r="I285">
        <f>SUMIF(a.nike.original.man[Product_ID],b.nike.views[[#This Row],[product_ID]], a.nike.original.man[Reviews])</f>
        <v>24</v>
      </c>
      <c r="J285" s="41">
        <f>_xlfn.XLOOKUP(b.nike.views[[#This Row],[product_ID]],a.nike.original.man[Product_ID], a.nike.original.man[Discount %], "Not Found")</f>
        <v>0.2</v>
      </c>
      <c r="K285" s="41"/>
      <c r="L285" t="s">
        <v>1470</v>
      </c>
    </row>
    <row r="286" spans="1:12" x14ac:dyDescent="0.2">
      <c r="A286" t="s">
        <v>1060</v>
      </c>
      <c r="B286" t="str">
        <f>_xlfn.XLOOKUP(b.nike.views[[#This Row],[product_ID]], a.nike.original.man[Product_ID], a.nike.original.man[Product Name], "Not Found")</f>
        <v>Nike Flex RN 2019</v>
      </c>
      <c r="C286" s="5" t="str">
        <f>_xlfn.XLOOKUP(b.nike.views[[#This Row],[product_ID]], a.nike.original.man[Product_ID], a.nike.original.man[Rating_Group], "Not Found")</f>
        <v>3 - 3.9</v>
      </c>
      <c r="D286">
        <f>_xlfn.XLOOKUP(b.nike.views[[#This Row],[product_ID]], a.nike.original.man[Product_ID], a.nike.original.man[Rating], "Not Found")</f>
        <v>3.8</v>
      </c>
      <c r="E286" s="10">
        <f>ROUND(_xlfn.XLOOKUP(b.nike.views[[#This Row],[product_ID]], a.nike.original.man[Product_ID], a.nike.original.man[Sale Price], "Not Found"), 0)</f>
        <v>70</v>
      </c>
      <c r="F286" s="5" t="str" cm="1">
        <f t="array" ref="F286">_xlfn.IFS(b.nike.views[[#This Row],[Sales_Price]]&lt;=9, "under $10",b.nike.views[[#This Row],[Sales_Price]]&lt;=20, "$20 and under",b.nike.views[[#This Row],[Sales_Price]]&lt;=50, "$50 and under", b.nike.views[[#This Row],[Sales_Price]]&lt;=99, "under $100", b.nike.views[[#This Row],[Sales_Price]]&gt;=100, "$100 +")</f>
        <v>under $100</v>
      </c>
      <c r="G286">
        <f>COUNTIF(a.nike.original.man[Product_ID], A286)</f>
        <v>1</v>
      </c>
      <c r="H286" t="str" cm="1">
        <f t="array" ref="H286">_xlfn.IFS(b.nike.views[[#This Row],[Review_Count]]&lt;=7, "Below Average",b.nike.views[[#This Row],[Review_Count]]&gt;=8, "Average +")</f>
        <v>Below Average</v>
      </c>
      <c r="I286">
        <f>SUMIF(a.nike.original.man[Product_ID],b.nike.views[[#This Row],[product_ID]], a.nike.original.man[Reviews])</f>
        <v>6</v>
      </c>
      <c r="J286" s="41">
        <f>_xlfn.XLOOKUP(b.nike.views[[#This Row],[product_ID]],a.nike.original.man[Product_ID], a.nike.original.man[Discount %], "Not Found")</f>
        <v>0</v>
      </c>
      <c r="K286" s="41"/>
      <c r="L286" t="s">
        <v>1470</v>
      </c>
    </row>
    <row r="287" spans="1:12" x14ac:dyDescent="0.2">
      <c r="A287" t="s">
        <v>843</v>
      </c>
      <c r="B287" t="str">
        <f>_xlfn.XLOOKUP(b.nike.views[[#This Row],[product_ID]], a.nike.original.man[Product_ID], a.nike.original.man[Product Name], "Not Found")</f>
        <v>Nike Solarsoft</v>
      </c>
      <c r="C287" s="5" t="str">
        <f>_xlfn.XLOOKUP(b.nike.views[[#This Row],[product_ID]], a.nike.original.man[Product_ID], a.nike.original.man[Rating_Group], "Not Found")</f>
        <v>3 - 3.9</v>
      </c>
      <c r="D287">
        <f>_xlfn.XLOOKUP(b.nike.views[[#This Row],[product_ID]], a.nike.original.man[Product_ID], a.nike.original.man[Rating], "Not Found")</f>
        <v>3.8</v>
      </c>
      <c r="E287" s="10">
        <f>ROUND(_xlfn.XLOOKUP(b.nike.views[[#This Row],[product_ID]], a.nike.original.man[Product_ID], a.nike.original.man[Sale Price], "Not Found"), 0)</f>
        <v>16</v>
      </c>
      <c r="F287" s="5" t="str" cm="1">
        <f t="array" ref="F287">_xlfn.IFS(b.nike.views[[#This Row],[Sales_Price]]&lt;=9, "under $10",b.nike.views[[#This Row],[Sales_Price]]&lt;=20, "$20 and under",b.nike.views[[#This Row],[Sales_Price]]&lt;=50, "$50 and under", b.nike.views[[#This Row],[Sales_Price]]&lt;=99, "under $100", b.nike.views[[#This Row],[Sales_Price]]&gt;=100, "$100 +")</f>
        <v>$20 and under</v>
      </c>
      <c r="G287">
        <f>COUNTIF(a.nike.original.man[Product_ID], A287)</f>
        <v>1</v>
      </c>
      <c r="H287" t="str" cm="1">
        <f t="array" ref="H287">_xlfn.IFS(b.nike.views[[#This Row],[Review_Count]]&lt;=7, "Below Average",b.nike.views[[#This Row],[Review_Count]]&gt;=8, "Average +")</f>
        <v>Below Average</v>
      </c>
      <c r="I287">
        <f>SUMIF(a.nike.original.man[Product_ID],b.nike.views[[#This Row],[product_ID]], a.nike.original.man[Reviews])</f>
        <v>5</v>
      </c>
      <c r="J287" s="41">
        <f>_xlfn.XLOOKUP(b.nike.views[[#This Row],[product_ID]],a.nike.original.man[Product_ID], a.nike.original.man[Discount %], "Not Found")</f>
        <v>0</v>
      </c>
      <c r="K287" s="41"/>
      <c r="L287" t="s">
        <v>1470</v>
      </c>
    </row>
    <row r="288" spans="1:12" x14ac:dyDescent="0.2">
      <c r="A288" t="s">
        <v>1129</v>
      </c>
      <c r="B288" t="str">
        <f>_xlfn.XLOOKUP(b.nike.views[[#This Row],[product_ID]], a.nike.original.man[Product_ID], a.nike.original.man[Product Name], "Not Found")</f>
        <v>Nike Air Force 1 Mid '07</v>
      </c>
      <c r="C288" s="5" t="str">
        <f>_xlfn.XLOOKUP(b.nike.views[[#This Row],[product_ID]], a.nike.original.man[Product_ID], a.nike.original.man[Rating_Group], "Not Found")</f>
        <v>3 - 3.9</v>
      </c>
      <c r="D288">
        <f>_xlfn.XLOOKUP(b.nike.views[[#This Row],[product_ID]], a.nike.original.man[Product_ID], a.nike.original.man[Rating], "Not Found")</f>
        <v>3.8</v>
      </c>
      <c r="E288" s="10">
        <f>ROUND(_xlfn.XLOOKUP(b.nike.views[[#This Row],[product_ID]], a.nike.original.man[Product_ID], a.nike.original.man[Sale Price], "Not Found"), 0)</f>
        <v>63</v>
      </c>
      <c r="F288" s="5" t="str" cm="1">
        <f t="array" ref="F288">_xlfn.IFS(b.nike.views[[#This Row],[Sales_Price]]&lt;=9, "under $10",b.nike.views[[#This Row],[Sales_Price]]&lt;=20, "$20 and under",b.nike.views[[#This Row],[Sales_Price]]&lt;=50, "$50 and under", b.nike.views[[#This Row],[Sales_Price]]&lt;=99, "under $100", b.nike.views[[#This Row],[Sales_Price]]&gt;=100, "$100 +")</f>
        <v>under $100</v>
      </c>
      <c r="G288">
        <f>COUNTIF(a.nike.original.man[Product_ID], A288)</f>
        <v>1</v>
      </c>
      <c r="H288" t="str" cm="1">
        <f t="array" ref="H288">_xlfn.IFS(b.nike.views[[#This Row],[Review_Count]]&lt;=7, "Below Average",b.nike.views[[#This Row],[Review_Count]]&gt;=8, "Average +")</f>
        <v>Below Average</v>
      </c>
      <c r="I288">
        <f>SUMIF(a.nike.original.man[Product_ID],b.nike.views[[#This Row],[product_ID]], a.nike.original.man[Reviews])</f>
        <v>4</v>
      </c>
      <c r="J288" s="41">
        <f>_xlfn.XLOOKUP(b.nike.views[[#This Row],[product_ID]],a.nike.original.man[Product_ID], a.nike.original.man[Discount %], "Not Found")</f>
        <v>0.2</v>
      </c>
      <c r="K288" s="41"/>
      <c r="L288" t="s">
        <v>1470</v>
      </c>
    </row>
    <row r="289" spans="1:12" x14ac:dyDescent="0.2">
      <c r="A289" t="s">
        <v>1404</v>
      </c>
      <c r="B289" t="str">
        <f>_xlfn.XLOOKUP(b.nike.views[[#This Row],[product_ID]], a.nike.original.man[Product_ID], a.nike.original.man[Product Name], "Not Found")</f>
        <v>NikeCourt Air Zoom Zero</v>
      </c>
      <c r="C289" s="5" t="str">
        <f>_xlfn.XLOOKUP(b.nike.views[[#This Row],[product_ID]], a.nike.original.man[Product_ID], a.nike.original.man[Rating_Group], "Not Found")</f>
        <v>3 - 3.9</v>
      </c>
      <c r="D289">
        <f>_xlfn.XLOOKUP(b.nike.views[[#This Row],[product_ID]], a.nike.original.man[Product_ID], a.nike.original.man[Rating], "Not Found")</f>
        <v>3.8</v>
      </c>
      <c r="E289" s="10">
        <f>ROUND(_xlfn.XLOOKUP(b.nike.views[[#This Row],[product_ID]], a.nike.original.man[Product_ID], a.nike.original.man[Sale Price], "Not Found"), 0)</f>
        <v>120</v>
      </c>
      <c r="F289" s="5" t="str" cm="1">
        <f t="array" ref="F289">_xlfn.IFS(b.nike.views[[#This Row],[Sales_Price]]&lt;=9, "under $10",b.nike.views[[#This Row],[Sales_Price]]&lt;=20, "$20 and under",b.nike.views[[#This Row],[Sales_Price]]&lt;=50, "$50 and under", b.nike.views[[#This Row],[Sales_Price]]&lt;=99, "under $100", b.nike.views[[#This Row],[Sales_Price]]&gt;=100, "$100 +")</f>
        <v>$100 +</v>
      </c>
      <c r="G289">
        <f>COUNTIF(a.nike.original.man[Product_ID], A289)</f>
        <v>1</v>
      </c>
      <c r="H289" t="str" cm="1">
        <f t="array" ref="H289">_xlfn.IFS(b.nike.views[[#This Row],[Review_Count]]&lt;=7, "Below Average",b.nike.views[[#This Row],[Review_Count]]&gt;=8, "Average +")</f>
        <v>Below Average</v>
      </c>
      <c r="I289">
        <f>SUMIF(a.nike.original.man[Product_ID],b.nike.views[[#This Row],[product_ID]], a.nike.original.man[Reviews])</f>
        <v>4</v>
      </c>
      <c r="J289" s="41">
        <f>_xlfn.XLOOKUP(b.nike.views[[#This Row],[product_ID]],a.nike.original.man[Product_ID], a.nike.original.man[Discount %], "Not Found")</f>
        <v>0</v>
      </c>
      <c r="K289" s="41"/>
      <c r="L289" t="s">
        <v>1470</v>
      </c>
    </row>
    <row r="290" spans="1:12" x14ac:dyDescent="0.2">
      <c r="A290" t="s">
        <v>452</v>
      </c>
      <c r="B290" t="str">
        <f>_xlfn.XLOOKUP(b.nike.views[[#This Row],[product_ID]], a.nike.original.man[Product_ID], a.nike.original.man[Product Name], "Not Found")</f>
        <v>Nike Metcon 5</v>
      </c>
      <c r="C290" s="5" t="str">
        <f>_xlfn.XLOOKUP(b.nike.views[[#This Row],[product_ID]], a.nike.original.man[Product_ID], a.nike.original.man[Rating_Group], "Not Found")</f>
        <v>3 - 3.9</v>
      </c>
      <c r="D290">
        <f>_xlfn.XLOOKUP(b.nike.views[[#This Row],[product_ID]], a.nike.original.man[Product_ID], a.nike.original.man[Rating], "Not Found")</f>
        <v>3.7</v>
      </c>
      <c r="E290" s="10">
        <f>ROUND(_xlfn.XLOOKUP(b.nike.views[[#This Row],[product_ID]], a.nike.original.man[Product_ID], a.nike.original.man[Sale Price], "Not Found"), 0)</f>
        <v>110</v>
      </c>
      <c r="F290" s="5" t="str" cm="1">
        <f t="array" ref="F290">_xlfn.IFS(b.nike.views[[#This Row],[Sales_Price]]&lt;=9, "under $10",b.nike.views[[#This Row],[Sales_Price]]&lt;=20, "$20 and under",b.nike.views[[#This Row],[Sales_Price]]&lt;=50, "$50 and under", b.nike.views[[#This Row],[Sales_Price]]&lt;=99, "under $100", b.nike.views[[#This Row],[Sales_Price]]&gt;=100, "$100 +")</f>
        <v>$100 +</v>
      </c>
      <c r="G290">
        <f>COUNTIF(a.nike.original.man[Product_ID], A290)</f>
        <v>2</v>
      </c>
      <c r="H290" t="str" cm="1">
        <f t="array" ref="H290">_xlfn.IFS(b.nike.views[[#This Row],[Review_Count]]&lt;=7, "Below Average",b.nike.views[[#This Row],[Review_Count]]&gt;=8, "Average +")</f>
        <v>Average +</v>
      </c>
      <c r="I290">
        <f>SUMIF(a.nike.original.man[Product_ID],b.nike.views[[#This Row],[product_ID]], a.nike.original.man[Reviews])</f>
        <v>62</v>
      </c>
      <c r="J290" s="41">
        <f>_xlfn.XLOOKUP(b.nike.views[[#This Row],[product_ID]],a.nike.original.man[Product_ID], a.nike.original.man[Discount %], "Not Found")</f>
        <v>0</v>
      </c>
      <c r="K290" s="41"/>
      <c r="L290" t="s">
        <v>1470</v>
      </c>
    </row>
    <row r="291" spans="1:12" x14ac:dyDescent="0.2">
      <c r="A291" t="s">
        <v>410</v>
      </c>
      <c r="B291" t="str">
        <f>_xlfn.XLOOKUP(b.nike.views[[#This Row],[product_ID]], a.nike.original.man[Product_ID], a.nike.original.man[Product Name], "Not Found")</f>
        <v>Nike Air VaporMax Flyknit 3</v>
      </c>
      <c r="C291" s="5" t="str">
        <f>_xlfn.XLOOKUP(b.nike.views[[#This Row],[product_ID]], a.nike.original.man[Product_ID], a.nike.original.man[Rating_Group], "Not Found")</f>
        <v>3 - 3.9</v>
      </c>
      <c r="D291">
        <f>_xlfn.XLOOKUP(b.nike.views[[#This Row],[product_ID]], a.nike.original.man[Product_ID], a.nike.original.man[Rating], "Not Found")</f>
        <v>3.7</v>
      </c>
      <c r="E291" s="10">
        <f>ROUND(_xlfn.XLOOKUP(b.nike.views[[#This Row],[product_ID]], a.nike.original.man[Product_ID], a.nike.original.man[Sale Price], "Not Found"), 0)</f>
        <v>170</v>
      </c>
      <c r="F291" s="5" t="str" cm="1">
        <f t="array" ref="F291">_xlfn.IFS(b.nike.views[[#This Row],[Sales_Price]]&lt;=9, "under $10",b.nike.views[[#This Row],[Sales_Price]]&lt;=20, "$20 and under",b.nike.views[[#This Row],[Sales_Price]]&lt;=50, "$50 and under", b.nike.views[[#This Row],[Sales_Price]]&lt;=99, "under $100", b.nike.views[[#This Row],[Sales_Price]]&gt;=100, "$100 +")</f>
        <v>$100 +</v>
      </c>
      <c r="G291">
        <f>COUNTIF(a.nike.original.man[Product_ID], A291)</f>
        <v>1</v>
      </c>
      <c r="H291" t="str" cm="1">
        <f t="array" ref="H291">_xlfn.IFS(b.nike.views[[#This Row],[Review_Count]]&lt;=7, "Below Average",b.nike.views[[#This Row],[Review_Count]]&gt;=8, "Average +")</f>
        <v>Average +</v>
      </c>
      <c r="I291">
        <f>SUMIF(a.nike.original.man[Product_ID],b.nike.views[[#This Row],[product_ID]], a.nike.original.man[Reviews])</f>
        <v>50</v>
      </c>
      <c r="J291" s="41">
        <f>_xlfn.XLOOKUP(b.nike.views[[#This Row],[product_ID]],a.nike.original.man[Product_ID], a.nike.original.man[Discount %], "Not Found")</f>
        <v>0</v>
      </c>
      <c r="K291" s="41"/>
      <c r="L291" t="s">
        <v>1470</v>
      </c>
    </row>
    <row r="292" spans="1:12" x14ac:dyDescent="0.2">
      <c r="A292" t="s">
        <v>477</v>
      </c>
      <c r="B292" t="str">
        <f>_xlfn.XLOOKUP(b.nike.views[[#This Row],[product_ID]], a.nike.original.man[Product_ID], a.nike.original.man[Product Name], "Not Found")</f>
        <v>Nike React Element 55</v>
      </c>
      <c r="C292" s="5" t="str">
        <f>_xlfn.XLOOKUP(b.nike.views[[#This Row],[product_ID]], a.nike.original.man[Product_ID], a.nike.original.man[Rating_Group], "Not Found")</f>
        <v>3 - 3.9</v>
      </c>
      <c r="D292">
        <f>_xlfn.XLOOKUP(b.nike.views[[#This Row],[product_ID]], a.nike.original.man[Product_ID], a.nike.original.man[Rating], "Not Found")</f>
        <v>3.7</v>
      </c>
      <c r="E292" s="10">
        <f>ROUND(_xlfn.XLOOKUP(b.nike.views[[#This Row],[product_ID]], a.nike.original.man[Product_ID], a.nike.original.man[Sale Price], "Not Found"), 0)</f>
        <v>72</v>
      </c>
      <c r="F292" s="5" t="str" cm="1">
        <f t="array" ref="F292">_xlfn.IFS(b.nike.views[[#This Row],[Sales_Price]]&lt;=9, "under $10",b.nike.views[[#This Row],[Sales_Price]]&lt;=20, "$20 and under",b.nike.views[[#This Row],[Sales_Price]]&lt;=50, "$50 and under", b.nike.views[[#This Row],[Sales_Price]]&lt;=99, "under $100", b.nike.views[[#This Row],[Sales_Price]]&gt;=100, "$100 +")</f>
        <v>under $100</v>
      </c>
      <c r="G292">
        <f>COUNTIF(a.nike.original.man[Product_ID], A292)</f>
        <v>1</v>
      </c>
      <c r="H292" t="str" cm="1">
        <f t="array" ref="H292">_xlfn.IFS(b.nike.views[[#This Row],[Review_Count]]&lt;=7, "Below Average",b.nike.views[[#This Row],[Review_Count]]&gt;=8, "Average +")</f>
        <v>Average +</v>
      </c>
      <c r="I292">
        <f>SUMIF(a.nike.original.man[Product_ID],b.nike.views[[#This Row],[product_ID]], a.nike.original.man[Reviews])</f>
        <v>31</v>
      </c>
      <c r="J292" s="41">
        <f>_xlfn.XLOOKUP(b.nike.views[[#This Row],[product_ID]],a.nike.original.man[Product_ID], a.nike.original.man[Discount %], "Not Found")</f>
        <v>0.4</v>
      </c>
      <c r="K292" s="41"/>
      <c r="L292" t="s">
        <v>1470</v>
      </c>
    </row>
    <row r="293" spans="1:12" x14ac:dyDescent="0.2">
      <c r="A293" t="s">
        <v>218</v>
      </c>
      <c r="B293" t="str">
        <f>_xlfn.XLOOKUP(b.nike.views[[#This Row],[product_ID]], a.nike.original.man[Product_ID], a.nike.original.man[Product Name], "Not Found")</f>
        <v>Nike React Presto</v>
      </c>
      <c r="C293" s="5" t="str">
        <f>_xlfn.XLOOKUP(b.nike.views[[#This Row],[product_ID]], a.nike.original.man[Product_ID], a.nike.original.man[Rating_Group], "Not Found")</f>
        <v>3 - 3.9</v>
      </c>
      <c r="D293">
        <f>_xlfn.XLOOKUP(b.nike.views[[#This Row],[product_ID]], a.nike.original.man[Product_ID], a.nike.original.man[Rating], "Not Found")</f>
        <v>3.7</v>
      </c>
      <c r="E293" s="10">
        <f>ROUND(_xlfn.XLOOKUP(b.nike.views[[#This Row],[product_ID]], a.nike.original.man[Product_ID], a.nike.original.man[Sale Price], "Not Found"), 0)</f>
        <v>60</v>
      </c>
      <c r="F293" s="5" t="str" cm="1">
        <f t="array" ref="F293">_xlfn.IFS(b.nike.views[[#This Row],[Sales_Price]]&lt;=9, "under $10",b.nike.views[[#This Row],[Sales_Price]]&lt;=20, "$20 and under",b.nike.views[[#This Row],[Sales_Price]]&lt;=50, "$50 and under", b.nike.views[[#This Row],[Sales_Price]]&lt;=99, "under $100", b.nike.views[[#This Row],[Sales_Price]]&gt;=100, "$100 +")</f>
        <v>under $100</v>
      </c>
      <c r="G293">
        <f>COUNTIF(a.nike.original.man[Product_ID], A293)</f>
        <v>1</v>
      </c>
      <c r="H293" t="str" cm="1">
        <f t="array" ref="H293">_xlfn.IFS(b.nike.views[[#This Row],[Review_Count]]&lt;=7, "Below Average",b.nike.views[[#This Row],[Review_Count]]&gt;=8, "Average +")</f>
        <v>Average +</v>
      </c>
      <c r="I293">
        <f>SUMIF(a.nike.original.man[Product_ID],b.nike.views[[#This Row],[product_ID]], a.nike.original.man[Reviews])</f>
        <v>27</v>
      </c>
      <c r="J293" s="41">
        <f>_xlfn.XLOOKUP(b.nike.views[[#This Row],[product_ID]],a.nike.original.man[Product_ID], a.nike.original.man[Discount %], "Not Found")</f>
        <v>0.4</v>
      </c>
      <c r="K293" s="41"/>
      <c r="L293" t="s">
        <v>1470</v>
      </c>
    </row>
    <row r="294" spans="1:12" x14ac:dyDescent="0.2">
      <c r="A294" t="s">
        <v>673</v>
      </c>
      <c r="B294" t="str">
        <f>_xlfn.XLOOKUP(b.nike.views[[#This Row],[product_ID]], a.nike.original.man[Product_ID], a.nike.original.man[Product Name], "Not Found")</f>
        <v>PG 3 NASA</v>
      </c>
      <c r="C294" s="5" t="str">
        <f>_xlfn.XLOOKUP(b.nike.views[[#This Row],[product_ID]], a.nike.original.man[Product_ID], a.nike.original.man[Rating_Group], "Not Found")</f>
        <v>3 - 3.9</v>
      </c>
      <c r="D294">
        <f>_xlfn.XLOOKUP(b.nike.views[[#This Row],[product_ID]], a.nike.original.man[Product_ID], a.nike.original.man[Rating], "Not Found")</f>
        <v>3.7</v>
      </c>
      <c r="E294" s="10">
        <f>ROUND(_xlfn.XLOOKUP(b.nike.views[[#This Row],[product_ID]], a.nike.original.man[Product_ID], a.nike.original.man[Sale Price], "Not Found"), 0)</f>
        <v>80</v>
      </c>
      <c r="F294" s="5" t="str" cm="1">
        <f t="array" ref="F294">_xlfn.IFS(b.nike.views[[#This Row],[Sales_Price]]&lt;=9, "under $10",b.nike.views[[#This Row],[Sales_Price]]&lt;=20, "$20 and under",b.nike.views[[#This Row],[Sales_Price]]&lt;=50, "$50 and under", b.nike.views[[#This Row],[Sales_Price]]&lt;=99, "under $100", b.nike.views[[#This Row],[Sales_Price]]&gt;=100, "$100 +")</f>
        <v>under $100</v>
      </c>
      <c r="G294">
        <f>COUNTIF(a.nike.original.man[Product_ID], A294)</f>
        <v>2</v>
      </c>
      <c r="H294" t="str" cm="1">
        <f t="array" ref="H294">_xlfn.IFS(b.nike.views[[#This Row],[Review_Count]]&lt;=7, "Below Average",b.nike.views[[#This Row],[Review_Count]]&gt;=8, "Average +")</f>
        <v>Average +</v>
      </c>
      <c r="I294">
        <f>SUMIF(a.nike.original.man[Product_ID],b.nike.views[[#This Row],[product_ID]], a.nike.original.man[Reviews])</f>
        <v>22</v>
      </c>
      <c r="J294" s="41">
        <f>_xlfn.XLOOKUP(b.nike.views[[#This Row],[product_ID]],a.nike.original.man[Product_ID], a.nike.original.man[Discount %], "Not Found")</f>
        <v>0.2</v>
      </c>
      <c r="K294" s="41"/>
      <c r="L294" t="s">
        <v>1470</v>
      </c>
    </row>
    <row r="295" spans="1:12" x14ac:dyDescent="0.2">
      <c r="A295" t="s">
        <v>630</v>
      </c>
      <c r="B295" t="str">
        <f>_xlfn.XLOOKUP(b.nike.views[[#This Row],[product_ID]], a.nike.original.man[Product_ID], a.nike.original.man[Product Name], "Not Found")</f>
        <v>Nike ACG React Terra Gobe</v>
      </c>
      <c r="C295" s="5" t="str">
        <f>_xlfn.XLOOKUP(b.nike.views[[#This Row],[product_ID]], a.nike.original.man[Product_ID], a.nike.original.man[Rating_Group], "Not Found")</f>
        <v>3 - 3.9</v>
      </c>
      <c r="D295">
        <f>_xlfn.XLOOKUP(b.nike.views[[#This Row],[product_ID]], a.nike.original.man[Product_ID], a.nike.original.man[Rating], "Not Found")</f>
        <v>3.7</v>
      </c>
      <c r="E295" s="10">
        <f>ROUND(_xlfn.XLOOKUP(b.nike.views[[#This Row],[product_ID]], a.nike.original.man[Product_ID], a.nike.original.man[Sale Price], "Not Found"), 0)</f>
        <v>78</v>
      </c>
      <c r="F295" s="5" t="str" cm="1">
        <f t="array" ref="F295">_xlfn.IFS(b.nike.views[[#This Row],[Sales_Price]]&lt;=9, "under $10",b.nike.views[[#This Row],[Sales_Price]]&lt;=20, "$20 and under",b.nike.views[[#This Row],[Sales_Price]]&lt;=50, "$50 and under", b.nike.views[[#This Row],[Sales_Price]]&lt;=99, "under $100", b.nike.views[[#This Row],[Sales_Price]]&gt;=100, "$100 +")</f>
        <v>under $100</v>
      </c>
      <c r="G295">
        <f>COUNTIF(a.nike.original.man[Product_ID], A295)</f>
        <v>1</v>
      </c>
      <c r="H295" t="str" cm="1">
        <f t="array" ref="H295">_xlfn.IFS(b.nike.views[[#This Row],[Review_Count]]&lt;=7, "Below Average",b.nike.views[[#This Row],[Review_Count]]&gt;=8, "Average +")</f>
        <v>Average +</v>
      </c>
      <c r="I295">
        <f>SUMIF(a.nike.original.man[Product_ID],b.nike.views[[#This Row],[product_ID]], a.nike.original.man[Reviews])</f>
        <v>19</v>
      </c>
      <c r="J295" s="41">
        <f>_xlfn.XLOOKUP(b.nike.views[[#This Row],[product_ID]],a.nike.original.man[Product_ID], a.nike.original.man[Discount %], "Not Found")</f>
        <v>0.4</v>
      </c>
      <c r="K295" s="41"/>
      <c r="L295" t="s">
        <v>1470</v>
      </c>
    </row>
    <row r="296" spans="1:12" x14ac:dyDescent="0.2">
      <c r="A296" t="s">
        <v>850</v>
      </c>
      <c r="B296" t="str">
        <f>_xlfn.XLOOKUP(b.nike.views[[#This Row],[product_ID]], a.nike.original.man[Product_ID], a.nike.original.man[Product Name], "Not Found")</f>
        <v>Nike Zoom Gravity</v>
      </c>
      <c r="C296" s="5" t="str">
        <f>_xlfn.XLOOKUP(b.nike.views[[#This Row],[product_ID]], a.nike.original.man[Product_ID], a.nike.original.man[Rating_Group], "Not Found")</f>
        <v>3 - 3.9</v>
      </c>
      <c r="D296">
        <f>_xlfn.XLOOKUP(b.nike.views[[#This Row],[product_ID]], a.nike.original.man[Product_ID], a.nike.original.man[Rating], "Not Found")</f>
        <v>3.7</v>
      </c>
      <c r="E296" s="10">
        <f>ROUND(_xlfn.XLOOKUP(b.nike.views[[#This Row],[product_ID]], a.nike.original.man[Product_ID], a.nike.original.man[Sale Price], "Not Found"), 0)</f>
        <v>64</v>
      </c>
      <c r="F296" s="5" t="str" cm="1">
        <f t="array" ref="F296">_xlfn.IFS(b.nike.views[[#This Row],[Sales_Price]]&lt;=9, "under $10",b.nike.views[[#This Row],[Sales_Price]]&lt;=20, "$20 and under",b.nike.views[[#This Row],[Sales_Price]]&lt;=50, "$50 and under", b.nike.views[[#This Row],[Sales_Price]]&lt;=99, "under $100", b.nike.views[[#This Row],[Sales_Price]]&gt;=100, "$100 +")</f>
        <v>under $100</v>
      </c>
      <c r="G296">
        <f>COUNTIF(a.nike.original.man[Product_ID], A296)</f>
        <v>1</v>
      </c>
      <c r="H296" t="str" cm="1">
        <f t="array" ref="H296">_xlfn.IFS(b.nike.views[[#This Row],[Review_Count]]&lt;=7, "Below Average",b.nike.views[[#This Row],[Review_Count]]&gt;=8, "Average +")</f>
        <v>Average +</v>
      </c>
      <c r="I296">
        <f>SUMIF(a.nike.original.man[Product_ID],b.nike.views[[#This Row],[product_ID]], a.nike.original.man[Reviews])</f>
        <v>18</v>
      </c>
      <c r="J296" s="41">
        <f>_xlfn.XLOOKUP(b.nike.views[[#This Row],[product_ID]],a.nike.original.man[Product_ID], a.nike.original.man[Discount %], "Not Found")</f>
        <v>0.2</v>
      </c>
      <c r="K296" s="41"/>
      <c r="L296" t="s">
        <v>1470</v>
      </c>
    </row>
    <row r="297" spans="1:12" x14ac:dyDescent="0.2">
      <c r="A297" t="s">
        <v>1393</v>
      </c>
      <c r="B297" t="str">
        <f>_xlfn.XLOOKUP(b.nike.views[[#This Row],[product_ID]], a.nike.original.man[Product_ID], a.nike.original.man[Product Name], "Not Found")</f>
        <v>Nike Air Zoom Winflo 6</v>
      </c>
      <c r="C297" s="5" t="str">
        <f>_xlfn.XLOOKUP(b.nike.views[[#This Row],[product_ID]], a.nike.original.man[Product_ID], a.nike.original.man[Rating_Group], "Not Found")</f>
        <v>3 - 3.9</v>
      </c>
      <c r="D297">
        <f>_xlfn.XLOOKUP(b.nike.views[[#This Row],[product_ID]], a.nike.original.man[Product_ID], a.nike.original.man[Rating], "Not Found")</f>
        <v>3.7</v>
      </c>
      <c r="E297" s="10">
        <f>ROUND(_xlfn.XLOOKUP(b.nike.views[[#This Row],[product_ID]], a.nike.original.man[Product_ID], a.nike.original.man[Sale Price], "Not Found"), 0)</f>
        <v>80</v>
      </c>
      <c r="F297" s="5" t="str" cm="1">
        <f t="array" ref="F297">_xlfn.IFS(b.nike.views[[#This Row],[Sales_Price]]&lt;=9, "under $10",b.nike.views[[#This Row],[Sales_Price]]&lt;=20, "$20 and under",b.nike.views[[#This Row],[Sales_Price]]&lt;=50, "$50 and under", b.nike.views[[#This Row],[Sales_Price]]&lt;=99, "under $100", b.nike.views[[#This Row],[Sales_Price]]&gt;=100, "$100 +")</f>
        <v>under $100</v>
      </c>
      <c r="G297">
        <f>COUNTIF(a.nike.original.man[Product_ID], A297)</f>
        <v>1</v>
      </c>
      <c r="H297" t="str" cm="1">
        <f t="array" ref="H297">_xlfn.IFS(b.nike.views[[#This Row],[Review_Count]]&lt;=7, "Below Average",b.nike.views[[#This Row],[Review_Count]]&gt;=8, "Average +")</f>
        <v>Average +</v>
      </c>
      <c r="I297">
        <f>SUMIF(a.nike.original.man[Product_ID],b.nike.views[[#This Row],[product_ID]], a.nike.original.man[Reviews])</f>
        <v>10</v>
      </c>
      <c r="J297" s="41">
        <f>_xlfn.XLOOKUP(b.nike.views[[#This Row],[product_ID]],a.nike.original.man[Product_ID], a.nike.original.man[Discount %], "Not Found")</f>
        <v>0</v>
      </c>
      <c r="K297" s="41"/>
      <c r="L297" t="s">
        <v>1470</v>
      </c>
    </row>
    <row r="298" spans="1:12" x14ac:dyDescent="0.2">
      <c r="A298" t="s">
        <v>310</v>
      </c>
      <c r="B298" t="str">
        <f>_xlfn.XLOOKUP(b.nike.views[[#This Row],[product_ID]], a.nike.original.man[Product_ID], a.nike.original.man[Product Name], "Not Found")</f>
        <v>Nike Air Max2 Light</v>
      </c>
      <c r="C298" s="5" t="str">
        <f>_xlfn.XLOOKUP(b.nike.views[[#This Row],[product_ID]], a.nike.original.man[Product_ID], a.nike.original.man[Rating_Group], "Not Found")</f>
        <v>3 - 3.9</v>
      </c>
      <c r="D298">
        <f>_xlfn.XLOOKUP(b.nike.views[[#This Row],[product_ID]], a.nike.original.man[Product_ID], a.nike.original.man[Rating], "Not Found")</f>
        <v>3.7</v>
      </c>
      <c r="E298" s="10">
        <f>ROUND(_xlfn.XLOOKUP(b.nike.views[[#This Row],[product_ID]], a.nike.original.man[Product_ID], a.nike.original.man[Sale Price], "Not Found"), 0)</f>
        <v>84</v>
      </c>
      <c r="F298" s="5" t="str" cm="1">
        <f t="array" ref="F298">_xlfn.IFS(b.nike.views[[#This Row],[Sales_Price]]&lt;=9, "under $10",b.nike.views[[#This Row],[Sales_Price]]&lt;=20, "$20 and under",b.nike.views[[#This Row],[Sales_Price]]&lt;=50, "$50 and under", b.nike.views[[#This Row],[Sales_Price]]&lt;=99, "under $100", b.nike.views[[#This Row],[Sales_Price]]&gt;=100, "$100 +")</f>
        <v>under $100</v>
      </c>
      <c r="G298">
        <f>COUNTIF(a.nike.original.man[Product_ID], A298)</f>
        <v>1</v>
      </c>
      <c r="H298" t="str" cm="1">
        <f t="array" ref="H298">_xlfn.IFS(b.nike.views[[#This Row],[Review_Count]]&lt;=7, "Below Average",b.nike.views[[#This Row],[Review_Count]]&gt;=8, "Average +")</f>
        <v>Below Average</v>
      </c>
      <c r="I298">
        <f>SUMIF(a.nike.original.man[Product_ID],b.nike.views[[#This Row],[product_ID]], a.nike.original.man[Reviews])</f>
        <v>3</v>
      </c>
      <c r="J298" s="41">
        <f>_xlfn.XLOOKUP(b.nike.views[[#This Row],[product_ID]],a.nike.original.man[Product_ID], a.nike.original.man[Discount %], "Not Found")</f>
        <v>0.3</v>
      </c>
      <c r="K298" s="41"/>
      <c r="L298" t="s">
        <v>1470</v>
      </c>
    </row>
    <row r="299" spans="1:12" x14ac:dyDescent="0.2">
      <c r="A299" t="s">
        <v>600</v>
      </c>
      <c r="B299" t="str">
        <f>_xlfn.XLOOKUP(b.nike.views[[#This Row],[product_ID]], a.nike.original.man[Product_ID], a.nike.original.man[Product Name], "Not Found")</f>
        <v>Nike x Undercover React</v>
      </c>
      <c r="C299" s="5" t="str">
        <f>_xlfn.XLOOKUP(b.nike.views[[#This Row],[product_ID]], a.nike.original.man[Product_ID], a.nike.original.man[Rating_Group], "Not Found")</f>
        <v>3 - 3.9</v>
      </c>
      <c r="D299">
        <f>_xlfn.XLOOKUP(b.nike.views[[#This Row],[product_ID]], a.nike.original.man[Product_ID], a.nike.original.man[Rating], "Not Found")</f>
        <v>3.7</v>
      </c>
      <c r="E299" s="10">
        <f>ROUND(_xlfn.XLOOKUP(b.nike.views[[#This Row],[product_ID]], a.nike.original.man[Product_ID], a.nike.original.man[Sale Price], "Not Found"), 0)</f>
        <v>136</v>
      </c>
      <c r="F299" s="5" t="str" cm="1">
        <f t="array" ref="F299">_xlfn.IFS(b.nike.views[[#This Row],[Sales_Price]]&lt;=9, "under $10",b.nike.views[[#This Row],[Sales_Price]]&lt;=20, "$20 and under",b.nike.views[[#This Row],[Sales_Price]]&lt;=50, "$50 and under", b.nike.views[[#This Row],[Sales_Price]]&lt;=99, "under $100", b.nike.views[[#This Row],[Sales_Price]]&gt;=100, "$100 +")</f>
        <v>$100 +</v>
      </c>
      <c r="G299">
        <f>COUNTIF(a.nike.original.man[Product_ID], A299)</f>
        <v>1</v>
      </c>
      <c r="H299" t="str" cm="1">
        <f t="array" ref="H299">_xlfn.IFS(b.nike.views[[#This Row],[Review_Count]]&lt;=7, "Below Average",b.nike.views[[#This Row],[Review_Count]]&gt;=8, "Average +")</f>
        <v>Below Average</v>
      </c>
      <c r="I299">
        <f>SUMIF(a.nike.original.man[Product_ID],b.nike.views[[#This Row],[product_ID]], a.nike.original.man[Reviews])</f>
        <v>3</v>
      </c>
      <c r="J299" s="41">
        <f>_xlfn.XLOOKUP(b.nike.views[[#This Row],[product_ID]],a.nike.original.man[Product_ID], a.nike.original.man[Discount %], "Not Found")</f>
        <v>0.2</v>
      </c>
      <c r="K299" s="41"/>
      <c r="L299" t="s">
        <v>1470</v>
      </c>
    </row>
    <row r="300" spans="1:12" x14ac:dyDescent="0.2">
      <c r="A300" t="s">
        <v>1354</v>
      </c>
      <c r="B300" t="str">
        <f>_xlfn.XLOOKUP(b.nike.views[[#This Row],[product_ID]], a.nike.original.man[Product_ID], a.nike.original.man[Product Name], "Not Found")</f>
        <v>Nike React Metcon</v>
      </c>
      <c r="C300" s="5" t="str">
        <f>_xlfn.XLOOKUP(b.nike.views[[#This Row],[product_ID]], a.nike.original.man[Product_ID], a.nike.original.man[Rating_Group], "Not Found")</f>
        <v>3 - 3.9</v>
      </c>
      <c r="D300">
        <f>_xlfn.XLOOKUP(b.nike.views[[#This Row],[product_ID]], a.nike.original.man[Product_ID], a.nike.original.man[Rating], "Not Found")</f>
        <v>3.7</v>
      </c>
      <c r="E300" s="10">
        <f>ROUND(_xlfn.XLOOKUP(b.nike.views[[#This Row],[product_ID]], a.nike.original.man[Product_ID], a.nike.original.man[Sale Price], "Not Found"), 0)</f>
        <v>130</v>
      </c>
      <c r="F300" s="5" t="str" cm="1">
        <f t="array" ref="F300">_xlfn.IFS(b.nike.views[[#This Row],[Sales_Price]]&lt;=9, "under $10",b.nike.views[[#This Row],[Sales_Price]]&lt;=20, "$20 and under",b.nike.views[[#This Row],[Sales_Price]]&lt;=50, "$50 and under", b.nike.views[[#This Row],[Sales_Price]]&lt;=99, "under $100", b.nike.views[[#This Row],[Sales_Price]]&gt;=100, "$100 +")</f>
        <v>$100 +</v>
      </c>
      <c r="G300">
        <f>COUNTIF(a.nike.original.man[Product_ID], A300)</f>
        <v>1</v>
      </c>
      <c r="H300" t="str" cm="1">
        <f t="array" ref="H300">_xlfn.IFS(b.nike.views[[#This Row],[Review_Count]]&lt;=7, "Below Average",b.nike.views[[#This Row],[Review_Count]]&gt;=8, "Average +")</f>
        <v>Below Average</v>
      </c>
      <c r="I300">
        <f>SUMIF(a.nike.original.man[Product_ID],b.nike.views[[#This Row],[product_ID]], a.nike.original.man[Reviews])</f>
        <v>3</v>
      </c>
      <c r="J300" s="41">
        <f>_xlfn.XLOOKUP(b.nike.views[[#This Row],[product_ID]],a.nike.original.man[Product_ID], a.nike.original.man[Discount %], "Not Found")</f>
        <v>0</v>
      </c>
      <c r="K300" s="41"/>
      <c r="L300" t="s">
        <v>1470</v>
      </c>
    </row>
    <row r="301" spans="1:12" x14ac:dyDescent="0.2">
      <c r="A301" t="s">
        <v>1398</v>
      </c>
      <c r="B301" t="str">
        <f>_xlfn.XLOOKUP(b.nike.views[[#This Row],[product_ID]], a.nike.original.man[Product_ID], a.nike.original.man[Product Name], "Not Found")</f>
        <v>Nike Air VaporMax SE</v>
      </c>
      <c r="C301" s="5" t="str">
        <f>_xlfn.XLOOKUP(b.nike.views[[#This Row],[product_ID]], a.nike.original.man[Product_ID], a.nike.original.man[Rating_Group], "Not Found")</f>
        <v>3 - 3.9</v>
      </c>
      <c r="D301">
        <f>_xlfn.XLOOKUP(b.nike.views[[#This Row],[product_ID]], a.nike.original.man[Product_ID], a.nike.original.man[Rating], "Not Found")</f>
        <v>3.7</v>
      </c>
      <c r="E301" s="10">
        <f>ROUND(_xlfn.XLOOKUP(b.nike.views[[#This Row],[product_ID]], a.nike.original.man[Product_ID], a.nike.original.man[Sale Price], "Not Found"), 0)</f>
        <v>102</v>
      </c>
      <c r="F301" s="5" t="str" cm="1">
        <f t="array" ref="F301">_xlfn.IFS(b.nike.views[[#This Row],[Sales_Price]]&lt;=9, "under $10",b.nike.views[[#This Row],[Sales_Price]]&lt;=20, "$20 and under",b.nike.views[[#This Row],[Sales_Price]]&lt;=50, "$50 and under", b.nike.views[[#This Row],[Sales_Price]]&lt;=99, "under $100", b.nike.views[[#This Row],[Sales_Price]]&gt;=100, "$100 +")</f>
        <v>$100 +</v>
      </c>
      <c r="G301">
        <f>COUNTIF(a.nike.original.man[Product_ID], A301)</f>
        <v>1</v>
      </c>
      <c r="H301" t="str" cm="1">
        <f t="array" ref="H301">_xlfn.IFS(b.nike.views[[#This Row],[Review_Count]]&lt;=7, "Below Average",b.nike.views[[#This Row],[Review_Count]]&gt;=8, "Average +")</f>
        <v>Below Average</v>
      </c>
      <c r="I301">
        <f>SUMIF(a.nike.original.man[Product_ID],b.nike.views[[#This Row],[product_ID]], a.nike.original.man[Reviews])</f>
        <v>3</v>
      </c>
      <c r="J301" s="41">
        <f>_xlfn.XLOOKUP(b.nike.views[[#This Row],[product_ID]],a.nike.original.man[Product_ID], a.nike.original.man[Discount %], "Not Found")</f>
        <v>0.4</v>
      </c>
      <c r="K301" s="41"/>
      <c r="L301" t="s">
        <v>1470</v>
      </c>
    </row>
    <row r="302" spans="1:12" x14ac:dyDescent="0.2">
      <c r="A302" t="s">
        <v>1429</v>
      </c>
      <c r="B302" t="str">
        <f>_xlfn.XLOOKUP(b.nike.views[[#This Row],[product_ID]], a.nike.original.man[Product_ID], a.nike.original.man[Product Name], "Not Found")</f>
        <v>Nike Air Max 95 Premium</v>
      </c>
      <c r="C302" s="5" t="str">
        <f>_xlfn.XLOOKUP(b.nike.views[[#This Row],[product_ID]], a.nike.original.man[Product_ID], a.nike.original.man[Rating_Group], "Not Found")</f>
        <v>3 - 3.9</v>
      </c>
      <c r="D302">
        <f>_xlfn.XLOOKUP(b.nike.views[[#This Row],[product_ID]], a.nike.original.man[Product_ID], a.nike.original.man[Rating], "Not Found")</f>
        <v>3.7</v>
      </c>
      <c r="E302" s="10">
        <f>ROUND(_xlfn.XLOOKUP(b.nike.views[[#This Row],[product_ID]], a.nike.original.man[Product_ID], a.nike.original.man[Sale Price], "Not Found"), 0)</f>
        <v>136</v>
      </c>
      <c r="F302" s="5" t="str" cm="1">
        <f t="array" ref="F302">_xlfn.IFS(b.nike.views[[#This Row],[Sales_Price]]&lt;=9, "under $10",b.nike.views[[#This Row],[Sales_Price]]&lt;=20, "$20 and under",b.nike.views[[#This Row],[Sales_Price]]&lt;=50, "$50 and under", b.nike.views[[#This Row],[Sales_Price]]&lt;=99, "under $100", b.nike.views[[#This Row],[Sales_Price]]&gt;=100, "$100 +")</f>
        <v>$100 +</v>
      </c>
      <c r="G302">
        <f>COUNTIF(a.nike.original.man[Product_ID], A302)</f>
        <v>1</v>
      </c>
      <c r="H302" t="str" cm="1">
        <f t="array" ref="H302">_xlfn.IFS(b.nike.views[[#This Row],[Review_Count]]&lt;=7, "Below Average",b.nike.views[[#This Row],[Review_Count]]&gt;=8, "Average +")</f>
        <v>Below Average</v>
      </c>
      <c r="I302">
        <f>SUMIF(a.nike.original.man[Product_ID],b.nike.views[[#This Row],[product_ID]], a.nike.original.man[Reviews])</f>
        <v>3</v>
      </c>
      <c r="J302" s="41">
        <f>_xlfn.XLOOKUP(b.nike.views[[#This Row],[product_ID]],a.nike.original.man[Product_ID], a.nike.original.man[Discount %], "Not Found")</f>
        <v>0.2</v>
      </c>
      <c r="K302" s="41"/>
      <c r="L302" t="s">
        <v>1470</v>
      </c>
    </row>
    <row r="303" spans="1:12" x14ac:dyDescent="0.2">
      <c r="A303" t="s">
        <v>589</v>
      </c>
      <c r="B303" t="str">
        <f>_xlfn.XLOOKUP(b.nike.views[[#This Row],[product_ID]], a.nike.original.man[Product_ID], a.nike.original.man[Product Name], "Not Found")</f>
        <v>Nike Air Zoom Pegasus 36</v>
      </c>
      <c r="C303" s="5" t="str">
        <f>_xlfn.XLOOKUP(b.nike.views[[#This Row],[product_ID]], a.nike.original.man[Product_ID], a.nike.original.man[Rating_Group], "Not Found")</f>
        <v>3 - 3.9</v>
      </c>
      <c r="D303">
        <f>_xlfn.XLOOKUP(b.nike.views[[#This Row],[product_ID]], a.nike.original.man[Product_ID], a.nike.original.man[Rating], "Not Found")</f>
        <v>3.6</v>
      </c>
      <c r="E303" s="10">
        <f>ROUND(_xlfn.XLOOKUP(b.nike.views[[#This Row],[product_ID]], a.nike.original.man[Product_ID], a.nike.original.man[Sale Price], "Not Found"), 0)</f>
        <v>100</v>
      </c>
      <c r="F303" s="5" t="str" cm="1">
        <f t="array" ref="F303">_xlfn.IFS(b.nike.views[[#This Row],[Sales_Price]]&lt;=9, "under $10",b.nike.views[[#This Row],[Sales_Price]]&lt;=20, "$20 and under",b.nike.views[[#This Row],[Sales_Price]]&lt;=50, "$50 and under", b.nike.views[[#This Row],[Sales_Price]]&lt;=99, "under $100", b.nike.views[[#This Row],[Sales_Price]]&gt;=100, "$100 +")</f>
        <v>$100 +</v>
      </c>
      <c r="G303">
        <f>COUNTIF(a.nike.original.man[Product_ID], A303)</f>
        <v>1</v>
      </c>
      <c r="H303" t="str" cm="1">
        <f t="array" ref="H303">_xlfn.IFS(b.nike.views[[#This Row],[Review_Count]]&lt;=7, "Below Average",b.nike.views[[#This Row],[Review_Count]]&gt;=8, "Average +")</f>
        <v>Average +</v>
      </c>
      <c r="I303">
        <f>SUMIF(a.nike.original.man[Product_ID],b.nike.views[[#This Row],[product_ID]], a.nike.original.man[Reviews])</f>
        <v>23</v>
      </c>
      <c r="J303" s="41">
        <f>_xlfn.XLOOKUP(b.nike.views[[#This Row],[product_ID]],a.nike.original.man[Product_ID], a.nike.original.man[Discount %], "Not Found")</f>
        <v>0</v>
      </c>
      <c r="K303" s="41"/>
      <c r="L303" t="s">
        <v>1470</v>
      </c>
    </row>
    <row r="304" spans="1:12" x14ac:dyDescent="0.2">
      <c r="A304" t="s">
        <v>483</v>
      </c>
      <c r="B304" t="str">
        <f>_xlfn.XLOOKUP(b.nike.views[[#This Row],[product_ID]], a.nike.original.man[Product_ID], a.nike.original.man[Product Name], "Not Found")</f>
        <v>NikeCourt Zoom Cage 3</v>
      </c>
      <c r="C304" s="5" t="str">
        <f>_xlfn.XLOOKUP(b.nike.views[[#This Row],[product_ID]], a.nike.original.man[Product_ID], a.nike.original.man[Rating_Group], "Not Found")</f>
        <v>3 - 3.9</v>
      </c>
      <c r="D304">
        <f>_xlfn.XLOOKUP(b.nike.views[[#This Row],[product_ID]], a.nike.original.man[Product_ID], a.nike.original.man[Rating], "Not Found")</f>
        <v>3.6</v>
      </c>
      <c r="E304" s="10">
        <f>ROUND(_xlfn.XLOOKUP(b.nike.views[[#This Row],[product_ID]], a.nike.original.man[Product_ID], a.nike.original.man[Sale Price], "Not Found"), 0)</f>
        <v>135</v>
      </c>
      <c r="F304" s="5" t="str" cm="1">
        <f t="array" ref="F304">_xlfn.IFS(b.nike.views[[#This Row],[Sales_Price]]&lt;=9, "under $10",b.nike.views[[#This Row],[Sales_Price]]&lt;=20, "$20 and under",b.nike.views[[#This Row],[Sales_Price]]&lt;=50, "$50 and under", b.nike.views[[#This Row],[Sales_Price]]&lt;=99, "under $100", b.nike.views[[#This Row],[Sales_Price]]&gt;=100, "$100 +")</f>
        <v>$100 +</v>
      </c>
      <c r="G304">
        <f>COUNTIF(a.nike.original.man[Product_ID], A304)</f>
        <v>1</v>
      </c>
      <c r="H304" t="str" cm="1">
        <f t="array" ref="H304">_xlfn.IFS(b.nike.views[[#This Row],[Review_Count]]&lt;=7, "Below Average",b.nike.views[[#This Row],[Review_Count]]&gt;=8, "Average +")</f>
        <v>Average +</v>
      </c>
      <c r="I304">
        <f>SUMIF(a.nike.original.man[Product_ID],b.nike.views[[#This Row],[product_ID]], a.nike.original.man[Reviews])</f>
        <v>20</v>
      </c>
      <c r="J304" s="41">
        <f>_xlfn.XLOOKUP(b.nike.views[[#This Row],[product_ID]],a.nike.original.man[Product_ID], a.nike.original.man[Discount %], "Not Found")</f>
        <v>0</v>
      </c>
      <c r="K304" s="41"/>
      <c r="L304" t="s">
        <v>1470</v>
      </c>
    </row>
    <row r="305" spans="1:12" x14ac:dyDescent="0.2">
      <c r="A305" t="s">
        <v>1243</v>
      </c>
      <c r="B305" t="str">
        <f>_xlfn.XLOOKUP(b.nike.views[[#This Row],[product_ID]], a.nike.original.man[Product_ID], a.nike.original.man[Product Name], "Not Found")</f>
        <v>Nike Zoom Pegasus Turbo</v>
      </c>
      <c r="C305" s="5" t="str">
        <f>_xlfn.XLOOKUP(b.nike.views[[#This Row],[product_ID]], a.nike.original.man[Product_ID], a.nike.original.man[Rating_Group], "Not Found")</f>
        <v>3 - 3.9</v>
      </c>
      <c r="D305">
        <f>_xlfn.XLOOKUP(b.nike.views[[#This Row],[product_ID]], a.nike.original.man[Product_ID], a.nike.original.man[Rating], "Not Found")</f>
        <v>3.6</v>
      </c>
      <c r="E305" s="10">
        <f>ROUND(_xlfn.XLOOKUP(b.nike.views[[#This Row],[product_ID]], a.nike.original.man[Product_ID], a.nike.original.man[Sale Price], "Not Found"), 0)</f>
        <v>160</v>
      </c>
      <c r="F305" s="5" t="str" cm="1">
        <f t="array" ref="F305">_xlfn.IFS(b.nike.views[[#This Row],[Sales_Price]]&lt;=9, "under $10",b.nike.views[[#This Row],[Sales_Price]]&lt;=20, "$20 and under",b.nike.views[[#This Row],[Sales_Price]]&lt;=50, "$50 and under", b.nike.views[[#This Row],[Sales_Price]]&lt;=99, "under $100", b.nike.views[[#This Row],[Sales_Price]]&gt;=100, "$100 +")</f>
        <v>$100 +</v>
      </c>
      <c r="G305">
        <f>COUNTIF(a.nike.original.man[Product_ID], A305)</f>
        <v>1</v>
      </c>
      <c r="H305" t="str" cm="1">
        <f t="array" ref="H305">_xlfn.IFS(b.nike.views[[#This Row],[Review_Count]]&lt;=7, "Below Average",b.nike.views[[#This Row],[Review_Count]]&gt;=8, "Average +")</f>
        <v>Average +</v>
      </c>
      <c r="I305">
        <f>SUMIF(a.nike.original.man[Product_ID],b.nike.views[[#This Row],[product_ID]], a.nike.original.man[Reviews])</f>
        <v>20</v>
      </c>
      <c r="J305" s="41">
        <f>_xlfn.XLOOKUP(b.nike.views[[#This Row],[product_ID]],a.nike.original.man[Product_ID], a.nike.original.man[Discount %], "Not Found")</f>
        <v>0</v>
      </c>
      <c r="K305" s="41"/>
      <c r="L305" t="s">
        <v>1470</v>
      </c>
    </row>
    <row r="306" spans="1:12" x14ac:dyDescent="0.2">
      <c r="A306" t="s">
        <v>489</v>
      </c>
      <c r="B306" t="str">
        <f>_xlfn.XLOOKUP(b.nike.views[[#This Row],[product_ID]], a.nike.original.man[Product_ID], a.nike.original.man[Product Name], "Not Found")</f>
        <v>Nike Metcon Sport</v>
      </c>
      <c r="C306" s="5" t="str">
        <f>_xlfn.XLOOKUP(b.nike.views[[#This Row],[product_ID]], a.nike.original.man[Product_ID], a.nike.original.man[Rating_Group], "Not Found")</f>
        <v>3 - 3.9</v>
      </c>
      <c r="D306">
        <f>_xlfn.XLOOKUP(b.nike.views[[#This Row],[product_ID]], a.nike.original.man[Product_ID], a.nike.original.man[Rating], "Not Found")</f>
        <v>3.6</v>
      </c>
      <c r="E306" s="10">
        <f>ROUND(_xlfn.XLOOKUP(b.nike.views[[#This Row],[product_ID]], a.nike.original.man[Product_ID], a.nike.original.man[Sale Price], "Not Found"), 0)</f>
        <v>80</v>
      </c>
      <c r="F306" s="5" t="str" cm="1">
        <f t="array" ref="F306">_xlfn.IFS(b.nike.views[[#This Row],[Sales_Price]]&lt;=9, "under $10",b.nike.views[[#This Row],[Sales_Price]]&lt;=20, "$20 and under",b.nike.views[[#This Row],[Sales_Price]]&lt;=50, "$50 and under", b.nike.views[[#This Row],[Sales_Price]]&lt;=99, "under $100", b.nike.views[[#This Row],[Sales_Price]]&gt;=100, "$100 +")</f>
        <v>under $100</v>
      </c>
      <c r="G306">
        <f>COUNTIF(a.nike.original.man[Product_ID], A306)</f>
        <v>1</v>
      </c>
      <c r="H306" t="str" cm="1">
        <f t="array" ref="H306">_xlfn.IFS(b.nike.views[[#This Row],[Review_Count]]&lt;=7, "Below Average",b.nike.views[[#This Row],[Review_Count]]&gt;=8, "Average +")</f>
        <v>Average +</v>
      </c>
      <c r="I306">
        <f>SUMIF(a.nike.original.man[Product_ID],b.nike.views[[#This Row],[product_ID]], a.nike.original.man[Reviews])</f>
        <v>14</v>
      </c>
      <c r="J306" s="41">
        <f>_xlfn.XLOOKUP(b.nike.views[[#This Row],[product_ID]],a.nike.original.man[Product_ID], a.nike.original.man[Discount %], "Not Found")</f>
        <v>0</v>
      </c>
      <c r="K306" s="41"/>
      <c r="L306" t="s">
        <v>1470</v>
      </c>
    </row>
    <row r="307" spans="1:12" x14ac:dyDescent="0.2">
      <c r="A307" t="s">
        <v>798</v>
      </c>
      <c r="B307" t="str">
        <f>_xlfn.XLOOKUP(b.nike.views[[#This Row],[product_ID]], a.nike.original.man[Product_ID], a.nike.original.man[Product Name], "Not Found")</f>
        <v>Nike Air Zoom Structure 22</v>
      </c>
      <c r="C307" s="5" t="str">
        <f>_xlfn.XLOOKUP(b.nike.views[[#This Row],[product_ID]], a.nike.original.man[Product_ID], a.nike.original.man[Rating_Group], "Not Found")</f>
        <v>3 - 3.9</v>
      </c>
      <c r="D307">
        <f>_xlfn.XLOOKUP(b.nike.views[[#This Row],[product_ID]], a.nike.original.man[Product_ID], a.nike.original.man[Rating], "Not Found")</f>
        <v>3.6</v>
      </c>
      <c r="E307" s="10">
        <f>ROUND(_xlfn.XLOOKUP(b.nike.views[[#This Row],[product_ID]], a.nike.original.man[Product_ID], a.nike.original.man[Sale Price], "Not Found"), 0)</f>
        <v>70</v>
      </c>
      <c r="F307" s="5" t="str" cm="1">
        <f t="array" ref="F307">_xlfn.IFS(b.nike.views[[#This Row],[Sales_Price]]&lt;=9, "under $10",b.nike.views[[#This Row],[Sales_Price]]&lt;=20, "$20 and under",b.nike.views[[#This Row],[Sales_Price]]&lt;=50, "$50 and under", b.nike.views[[#This Row],[Sales_Price]]&lt;=99, "under $100", b.nike.views[[#This Row],[Sales_Price]]&gt;=100, "$100 +")</f>
        <v>under $100</v>
      </c>
      <c r="G307">
        <f>COUNTIF(a.nike.original.man[Product_ID], A307)</f>
        <v>1</v>
      </c>
      <c r="H307" t="str" cm="1">
        <f t="array" ref="H307">_xlfn.IFS(b.nike.views[[#This Row],[Review_Count]]&lt;=7, "Below Average",b.nike.views[[#This Row],[Review_Count]]&gt;=8, "Average +")</f>
        <v>Average +</v>
      </c>
      <c r="I307">
        <f>SUMIF(a.nike.original.man[Product_ID],b.nike.views[[#This Row],[product_ID]], a.nike.original.man[Reviews])</f>
        <v>10</v>
      </c>
      <c r="J307" s="41">
        <f>_xlfn.XLOOKUP(b.nike.views[[#This Row],[product_ID]],a.nike.original.man[Product_ID], a.nike.original.man[Discount %], "Not Found")</f>
        <v>0.3</v>
      </c>
      <c r="K307" s="41"/>
      <c r="L307" t="s">
        <v>1470</v>
      </c>
    </row>
    <row r="308" spans="1:12" x14ac:dyDescent="0.2">
      <c r="A308" t="s">
        <v>1328</v>
      </c>
      <c r="B308" t="str">
        <f>_xlfn.XLOOKUP(b.nike.views[[#This Row],[product_ID]], a.nike.original.man[Product_ID], a.nike.original.man[Product Name], "Not Found")</f>
        <v>Nike Air Force 1 '07 SE</v>
      </c>
      <c r="C308" s="5" t="str">
        <f>_xlfn.XLOOKUP(b.nike.views[[#This Row],[product_ID]], a.nike.original.man[Product_ID], a.nike.original.man[Rating_Group], "Not Found")</f>
        <v>3 - 3.9</v>
      </c>
      <c r="D308">
        <f>_xlfn.XLOOKUP(b.nike.views[[#This Row],[product_ID]], a.nike.original.man[Product_ID], a.nike.original.man[Rating], "Not Found")</f>
        <v>3.6</v>
      </c>
      <c r="E308" s="10">
        <f>ROUND(_xlfn.XLOOKUP(b.nike.views[[#This Row],[product_ID]], a.nike.original.man[Product_ID], a.nike.original.man[Sale Price], "Not Found"), 0)</f>
        <v>68</v>
      </c>
      <c r="F308" s="5" t="str" cm="1">
        <f t="array" ref="F308">_xlfn.IFS(b.nike.views[[#This Row],[Sales_Price]]&lt;=9, "under $10",b.nike.views[[#This Row],[Sales_Price]]&lt;=20, "$20 and under",b.nike.views[[#This Row],[Sales_Price]]&lt;=50, "$50 and under", b.nike.views[[#This Row],[Sales_Price]]&lt;=99, "under $100", b.nike.views[[#This Row],[Sales_Price]]&gt;=100, "$100 +")</f>
        <v>under $100</v>
      </c>
      <c r="G308">
        <f>COUNTIF(a.nike.original.man[Product_ID], A308)</f>
        <v>1</v>
      </c>
      <c r="H308" t="str" cm="1">
        <f t="array" ref="H308">_xlfn.IFS(b.nike.views[[#This Row],[Review_Count]]&lt;=7, "Below Average",b.nike.views[[#This Row],[Review_Count]]&gt;=8, "Average +")</f>
        <v>Below Average</v>
      </c>
      <c r="I308">
        <f>SUMIF(a.nike.original.man[Product_ID],b.nike.views[[#This Row],[product_ID]], a.nike.original.man[Reviews])</f>
        <v>5</v>
      </c>
      <c r="J308" s="41">
        <f>_xlfn.XLOOKUP(b.nike.views[[#This Row],[product_ID]],a.nike.original.man[Product_ID], a.nike.original.man[Discount %], "Not Found")</f>
        <v>0.2</v>
      </c>
      <c r="K308" s="41"/>
      <c r="L308" t="s">
        <v>1470</v>
      </c>
    </row>
    <row r="309" spans="1:12" x14ac:dyDescent="0.2">
      <c r="A309" t="s">
        <v>1387</v>
      </c>
      <c r="B309" t="str">
        <f>_xlfn.XLOOKUP(b.nike.views[[#This Row],[product_ID]], a.nike.original.man[Product_ID], a.nike.original.man[Product Name], "Not Found")</f>
        <v>Nike Air Max 90</v>
      </c>
      <c r="C309" s="5" t="str">
        <f>_xlfn.XLOOKUP(b.nike.views[[#This Row],[product_ID]], a.nike.original.man[Product_ID], a.nike.original.man[Rating_Group], "Not Found")</f>
        <v>3 - 3.9</v>
      </c>
      <c r="D309">
        <f>_xlfn.XLOOKUP(b.nike.views[[#This Row],[product_ID]], a.nike.original.man[Product_ID], a.nike.original.man[Rating], "Not Found")</f>
        <v>3.6</v>
      </c>
      <c r="E309" s="10">
        <f>ROUND(_xlfn.XLOOKUP(b.nike.views[[#This Row],[product_ID]], a.nike.original.man[Product_ID], a.nike.original.man[Sale Price], "Not Found"), 0)</f>
        <v>76</v>
      </c>
      <c r="F309" s="5" t="str" cm="1">
        <f t="array" ref="F309">_xlfn.IFS(b.nike.views[[#This Row],[Sales_Price]]&lt;=9, "under $10",b.nike.views[[#This Row],[Sales_Price]]&lt;=20, "$20 and under",b.nike.views[[#This Row],[Sales_Price]]&lt;=50, "$50 and under", b.nike.views[[#This Row],[Sales_Price]]&lt;=99, "under $100", b.nike.views[[#This Row],[Sales_Price]]&gt;=100, "$100 +")</f>
        <v>under $100</v>
      </c>
      <c r="G309">
        <f>COUNTIF(a.nike.original.man[Product_ID], A309)</f>
        <v>1</v>
      </c>
      <c r="H309" t="str" cm="1">
        <f t="array" ref="H309">_xlfn.IFS(b.nike.views[[#This Row],[Review_Count]]&lt;=7, "Below Average",b.nike.views[[#This Row],[Review_Count]]&gt;=8, "Average +")</f>
        <v>Below Average</v>
      </c>
      <c r="I309">
        <f>SUMIF(a.nike.original.man[Product_ID],b.nike.views[[#This Row],[product_ID]], a.nike.original.man[Reviews])</f>
        <v>5</v>
      </c>
      <c r="J309" s="41">
        <f>_xlfn.XLOOKUP(b.nike.views[[#This Row],[product_ID]],a.nike.original.man[Product_ID], a.nike.original.man[Discount %], "Not Found")</f>
        <v>0.2</v>
      </c>
      <c r="K309" s="41"/>
      <c r="L309" t="s">
        <v>1470</v>
      </c>
    </row>
    <row r="310" spans="1:12" x14ac:dyDescent="0.2">
      <c r="A310" t="s">
        <v>1316</v>
      </c>
      <c r="B310" t="str">
        <f>_xlfn.XLOOKUP(b.nike.views[[#This Row],[product_ID]], a.nike.original.man[Product_ID], a.nike.original.man[Product Name], "Not Found")</f>
        <v>Nike Air Max 2017</v>
      </c>
      <c r="C310" s="5" t="str">
        <f>_xlfn.XLOOKUP(b.nike.views[[#This Row],[product_ID]], a.nike.original.man[Product_ID], a.nike.original.man[Rating_Group], "Not Found")</f>
        <v>3 - 3.9</v>
      </c>
      <c r="D310">
        <f>_xlfn.XLOOKUP(b.nike.views[[#This Row],[product_ID]], a.nike.original.man[Product_ID], a.nike.original.man[Rating], "Not Found")</f>
        <v>3.5</v>
      </c>
      <c r="E310" s="10">
        <f>ROUND(_xlfn.XLOOKUP(b.nike.views[[#This Row],[product_ID]], a.nike.original.man[Product_ID], a.nike.original.man[Sale Price], "Not Found"), 0)</f>
        <v>160</v>
      </c>
      <c r="F310" s="5" t="str" cm="1">
        <f t="array" ref="F310">_xlfn.IFS(b.nike.views[[#This Row],[Sales_Price]]&lt;=9, "under $10",b.nike.views[[#This Row],[Sales_Price]]&lt;=20, "$20 and under",b.nike.views[[#This Row],[Sales_Price]]&lt;=50, "$50 and under", b.nike.views[[#This Row],[Sales_Price]]&lt;=99, "under $100", b.nike.views[[#This Row],[Sales_Price]]&gt;=100, "$100 +")</f>
        <v>$100 +</v>
      </c>
      <c r="G310">
        <f>COUNTIF(a.nike.original.man[Product_ID], A310)</f>
        <v>1</v>
      </c>
      <c r="H310" t="str" cm="1">
        <f t="array" ref="H310">_xlfn.IFS(b.nike.views[[#This Row],[Review_Count]]&lt;=7, "Below Average",b.nike.views[[#This Row],[Review_Count]]&gt;=8, "Average +")</f>
        <v>Average +</v>
      </c>
      <c r="I310">
        <f>SUMIF(a.nike.original.man[Product_ID],b.nike.views[[#This Row],[product_ID]], a.nike.original.man[Reviews])</f>
        <v>18</v>
      </c>
      <c r="J310" s="41">
        <f>_xlfn.XLOOKUP(b.nike.views[[#This Row],[product_ID]],a.nike.original.man[Product_ID], a.nike.original.man[Discount %], "Not Found")</f>
        <v>0</v>
      </c>
      <c r="K310" s="41"/>
      <c r="L310" t="s">
        <v>1470</v>
      </c>
    </row>
    <row r="311" spans="1:12" x14ac:dyDescent="0.2">
      <c r="A311" t="s">
        <v>1331</v>
      </c>
      <c r="B311" t="str">
        <f>_xlfn.XLOOKUP(b.nike.views[[#This Row],[product_ID]], a.nike.original.man[Product_ID], a.nike.original.man[Product Name], "Not Found")</f>
        <v>Nike Air VaporMax 2019</v>
      </c>
      <c r="C311" s="5" t="str">
        <f>_xlfn.XLOOKUP(b.nike.views[[#This Row],[product_ID]], a.nike.original.man[Product_ID], a.nike.original.man[Rating_Group], "Not Found")</f>
        <v>3 - 3.9</v>
      </c>
      <c r="D311">
        <f>_xlfn.XLOOKUP(b.nike.views[[#This Row],[product_ID]], a.nike.original.man[Product_ID], a.nike.original.man[Rating], "Not Found")</f>
        <v>3.5</v>
      </c>
      <c r="E311" s="10">
        <f>ROUND(_xlfn.XLOOKUP(b.nike.views[[#This Row],[product_ID]], a.nike.original.man[Product_ID], a.nike.original.man[Sale Price], "Not Found"), 0)</f>
        <v>96</v>
      </c>
      <c r="F311" s="5" t="str" cm="1">
        <f t="array" ref="F311">_xlfn.IFS(b.nike.views[[#This Row],[Sales_Price]]&lt;=9, "under $10",b.nike.views[[#This Row],[Sales_Price]]&lt;=20, "$20 and under",b.nike.views[[#This Row],[Sales_Price]]&lt;=50, "$50 and under", b.nike.views[[#This Row],[Sales_Price]]&lt;=99, "under $100", b.nike.views[[#This Row],[Sales_Price]]&gt;=100, "$100 +")</f>
        <v>under $100</v>
      </c>
      <c r="G311">
        <f>COUNTIF(a.nike.original.man[Product_ID], A311)</f>
        <v>1</v>
      </c>
      <c r="H311" t="str" cm="1">
        <f t="array" ref="H311">_xlfn.IFS(b.nike.views[[#This Row],[Review_Count]]&lt;=7, "Below Average",b.nike.views[[#This Row],[Review_Count]]&gt;=8, "Average +")</f>
        <v>Average +</v>
      </c>
      <c r="I311">
        <f>SUMIF(a.nike.original.man[Product_ID],b.nike.views[[#This Row],[product_ID]], a.nike.original.man[Reviews])</f>
        <v>11</v>
      </c>
      <c r="J311" s="41">
        <f>_xlfn.XLOOKUP(b.nike.views[[#This Row],[product_ID]],a.nike.original.man[Product_ID], a.nike.original.man[Discount %], "Not Found")</f>
        <v>0.4</v>
      </c>
      <c r="K311" s="41"/>
      <c r="L311" t="s">
        <v>1470</v>
      </c>
    </row>
    <row r="312" spans="1:12" x14ac:dyDescent="0.2">
      <c r="A312" t="s">
        <v>539</v>
      </c>
      <c r="B312" t="str">
        <f>_xlfn.XLOOKUP(b.nike.views[[#This Row],[product_ID]], a.nike.original.man[Product_ID], a.nike.original.man[Product Name], "Not Found")</f>
        <v>Nike Mercurial Vapor 13 Elite FG</v>
      </c>
      <c r="C312" s="5" t="str">
        <f>_xlfn.XLOOKUP(b.nike.views[[#This Row],[product_ID]], a.nike.original.man[Product_ID], a.nike.original.man[Rating_Group], "Not Found")</f>
        <v>3 - 3.9</v>
      </c>
      <c r="D312">
        <f>_xlfn.XLOOKUP(b.nike.views[[#This Row],[product_ID]], a.nike.original.man[Product_ID], a.nike.original.man[Rating], "Not Found")</f>
        <v>3.5</v>
      </c>
      <c r="E312" s="10">
        <f>ROUND(_xlfn.XLOOKUP(b.nike.views[[#This Row],[product_ID]], a.nike.original.man[Product_ID], a.nike.original.man[Sale Price], "Not Found"), 0)</f>
        <v>220</v>
      </c>
      <c r="F312" s="5" t="str" cm="1">
        <f t="array" ref="F312">_xlfn.IFS(b.nike.views[[#This Row],[Sales_Price]]&lt;=9, "under $10",b.nike.views[[#This Row],[Sales_Price]]&lt;=20, "$20 and under",b.nike.views[[#This Row],[Sales_Price]]&lt;=50, "$50 and under", b.nike.views[[#This Row],[Sales_Price]]&lt;=99, "under $100", b.nike.views[[#This Row],[Sales_Price]]&gt;=100, "$100 +")</f>
        <v>$100 +</v>
      </c>
      <c r="G312">
        <f>COUNTIF(a.nike.original.man[Product_ID], A312)</f>
        <v>2</v>
      </c>
      <c r="H312" t="str" cm="1">
        <f t="array" ref="H312">_xlfn.IFS(b.nike.views[[#This Row],[Review_Count]]&lt;=7, "Below Average",b.nike.views[[#This Row],[Review_Count]]&gt;=8, "Average +")</f>
        <v>Average +</v>
      </c>
      <c r="I312">
        <f>SUMIF(a.nike.original.man[Product_ID],b.nike.views[[#This Row],[product_ID]], a.nike.original.man[Reviews])</f>
        <v>8</v>
      </c>
      <c r="J312" s="41">
        <f>_xlfn.XLOOKUP(b.nike.views[[#This Row],[product_ID]],a.nike.original.man[Product_ID], a.nike.original.man[Discount %], "Not Found")</f>
        <v>0</v>
      </c>
      <c r="K312" s="41"/>
      <c r="L312" t="s">
        <v>1470</v>
      </c>
    </row>
    <row r="313" spans="1:12" x14ac:dyDescent="0.2">
      <c r="A313" t="s">
        <v>1079</v>
      </c>
      <c r="B313" t="str">
        <f>_xlfn.XLOOKUP(b.nike.views[[#This Row],[product_ID]], a.nike.original.man[Product_ID], a.nike.original.man[Product Name], "Not Found")</f>
        <v>Nike Air Max FF 720</v>
      </c>
      <c r="C313" s="5" t="str">
        <f>_xlfn.XLOOKUP(b.nike.views[[#This Row],[product_ID]], a.nike.original.man[Product_ID], a.nike.original.man[Rating_Group], "Not Found")</f>
        <v>3 - 3.9</v>
      </c>
      <c r="D313">
        <f>_xlfn.XLOOKUP(b.nike.views[[#This Row],[product_ID]], a.nike.original.man[Product_ID], a.nike.original.man[Rating], "Not Found")</f>
        <v>3.5</v>
      </c>
      <c r="E313" s="10">
        <f>ROUND(_xlfn.XLOOKUP(b.nike.views[[#This Row],[product_ID]], a.nike.original.man[Product_ID], a.nike.original.man[Sale Price], "Not Found"), 0)</f>
        <v>133</v>
      </c>
      <c r="F313" s="5" t="str" cm="1">
        <f t="array" ref="F313">_xlfn.IFS(b.nike.views[[#This Row],[Sales_Price]]&lt;=9, "under $10",b.nike.views[[#This Row],[Sales_Price]]&lt;=20, "$20 and under",b.nike.views[[#This Row],[Sales_Price]]&lt;=50, "$50 and under", b.nike.views[[#This Row],[Sales_Price]]&lt;=99, "under $100", b.nike.views[[#This Row],[Sales_Price]]&gt;=100, "$100 +")</f>
        <v>$100 +</v>
      </c>
      <c r="G313">
        <f>COUNTIF(a.nike.original.man[Product_ID], A313)</f>
        <v>1</v>
      </c>
      <c r="H313" t="str" cm="1">
        <f t="array" ref="H313">_xlfn.IFS(b.nike.views[[#This Row],[Review_Count]]&lt;=7, "Below Average",b.nike.views[[#This Row],[Review_Count]]&gt;=8, "Average +")</f>
        <v>Below Average</v>
      </c>
      <c r="I313">
        <f>SUMIF(a.nike.original.man[Product_ID],b.nike.views[[#This Row],[product_ID]], a.nike.original.man[Reviews])</f>
        <v>6</v>
      </c>
      <c r="J313" s="41">
        <f>_xlfn.XLOOKUP(b.nike.views[[#This Row],[product_ID]],a.nike.original.man[Product_ID], a.nike.original.man[Discount %], "Not Found")</f>
        <v>0.3</v>
      </c>
      <c r="K313" s="41"/>
      <c r="L313" t="s">
        <v>1470</v>
      </c>
    </row>
    <row r="314" spans="1:12" x14ac:dyDescent="0.2">
      <c r="A314" t="s">
        <v>995</v>
      </c>
      <c r="B314" t="str">
        <f>_xlfn.XLOOKUP(b.nike.views[[#This Row],[product_ID]], a.nike.original.man[Product_ID], a.nike.original.man[Product Name], "Not Found")</f>
        <v>NikeCourt Air Max Vapor Wing MS</v>
      </c>
      <c r="C314" s="5" t="str">
        <f>_xlfn.XLOOKUP(b.nike.views[[#This Row],[product_ID]], a.nike.original.man[Product_ID], a.nike.original.man[Rating_Group], "Not Found")</f>
        <v>3 - 3.9</v>
      </c>
      <c r="D314">
        <f>_xlfn.XLOOKUP(b.nike.views[[#This Row],[product_ID]], a.nike.original.man[Product_ID], a.nike.original.man[Rating], "Not Found")</f>
        <v>3.5</v>
      </c>
      <c r="E314" s="10">
        <f>ROUND(_xlfn.XLOOKUP(b.nike.views[[#This Row],[product_ID]], a.nike.original.man[Product_ID], a.nike.original.man[Sale Price], "Not Found"), 0)</f>
        <v>65</v>
      </c>
      <c r="F314" s="5" t="str" cm="1">
        <f t="array" ref="F314">_xlfn.IFS(b.nike.views[[#This Row],[Sales_Price]]&lt;=9, "under $10",b.nike.views[[#This Row],[Sales_Price]]&lt;=20, "$20 and under",b.nike.views[[#This Row],[Sales_Price]]&lt;=50, "$50 and under", b.nike.views[[#This Row],[Sales_Price]]&lt;=99, "under $100", b.nike.views[[#This Row],[Sales_Price]]&gt;=100, "$100 +")</f>
        <v>under $100</v>
      </c>
      <c r="G314">
        <f>COUNTIF(a.nike.original.man[Product_ID], A314)</f>
        <v>2</v>
      </c>
      <c r="H314" t="str" cm="1">
        <f t="array" ref="H314">_xlfn.IFS(b.nike.views[[#This Row],[Review_Count]]&lt;=7, "Below Average",b.nike.views[[#This Row],[Review_Count]]&gt;=8, "Average +")</f>
        <v>Below Average</v>
      </c>
      <c r="I314">
        <f>SUMIF(a.nike.original.man[Product_ID],b.nike.views[[#This Row],[product_ID]], a.nike.original.man[Reviews])</f>
        <v>4</v>
      </c>
      <c r="J314" s="41">
        <f>_xlfn.XLOOKUP(b.nike.views[[#This Row],[product_ID]],a.nike.original.man[Product_ID], a.nike.original.man[Discount %], "Not Found")</f>
        <v>0</v>
      </c>
      <c r="K314" s="41"/>
      <c r="L314" t="s">
        <v>1470</v>
      </c>
    </row>
    <row r="315" spans="1:12" x14ac:dyDescent="0.2">
      <c r="A315" t="s">
        <v>329</v>
      </c>
      <c r="B315" t="str">
        <f>_xlfn.XLOOKUP(b.nike.views[[#This Row],[product_ID]], a.nike.original.man[Product_ID], a.nike.original.man[Product Name], "Not Found")</f>
        <v>Nike ACG MOC 3.0</v>
      </c>
      <c r="C315" s="5" t="str">
        <f>_xlfn.XLOOKUP(b.nike.views[[#This Row],[product_ID]], a.nike.original.man[Product_ID], a.nike.original.man[Rating_Group], "Not Found")</f>
        <v>3 - 3.9</v>
      </c>
      <c r="D315">
        <f>_xlfn.XLOOKUP(b.nike.views[[#This Row],[product_ID]], a.nike.original.man[Product_ID], a.nike.original.man[Rating], "Not Found")</f>
        <v>3.5</v>
      </c>
      <c r="E315" s="10">
        <f>ROUND(_xlfn.XLOOKUP(b.nike.views[[#This Row],[product_ID]], a.nike.original.man[Product_ID], a.nike.original.man[Sale Price], "Not Found"), 0)</f>
        <v>80</v>
      </c>
      <c r="F315" s="5" t="str" cm="1">
        <f t="array" ref="F315">_xlfn.IFS(b.nike.views[[#This Row],[Sales_Price]]&lt;=9, "under $10",b.nike.views[[#This Row],[Sales_Price]]&lt;=20, "$20 and under",b.nike.views[[#This Row],[Sales_Price]]&lt;=50, "$50 and under", b.nike.views[[#This Row],[Sales_Price]]&lt;=99, "under $100", b.nike.views[[#This Row],[Sales_Price]]&gt;=100, "$100 +")</f>
        <v>under $100</v>
      </c>
      <c r="G315">
        <f>COUNTIF(a.nike.original.man[Product_ID], A315)</f>
        <v>1</v>
      </c>
      <c r="H315" t="str" cm="1">
        <f t="array" ref="H315">_xlfn.IFS(b.nike.views[[#This Row],[Review_Count]]&lt;=7, "Below Average",b.nike.views[[#This Row],[Review_Count]]&gt;=8, "Average +")</f>
        <v>Below Average</v>
      </c>
      <c r="I315">
        <f>SUMIF(a.nike.original.man[Product_ID],b.nike.views[[#This Row],[product_ID]], a.nike.original.man[Reviews])</f>
        <v>2</v>
      </c>
      <c r="J315" s="41">
        <f>_xlfn.XLOOKUP(b.nike.views[[#This Row],[product_ID]],a.nike.original.man[Product_ID], a.nike.original.man[Discount %], "Not Found")</f>
        <v>0</v>
      </c>
      <c r="K315" s="41"/>
      <c r="L315" t="s">
        <v>1470</v>
      </c>
    </row>
    <row r="316" spans="1:12" x14ac:dyDescent="0.2">
      <c r="A316" t="s">
        <v>278</v>
      </c>
      <c r="B316" t="str">
        <f>_xlfn.XLOOKUP(b.nike.views[[#This Row],[product_ID]], a.nike.original.man[Product_ID], a.nike.original.man[Product Name], "Not Found")</f>
        <v>Nike x MMW Joyride CC3 Setter</v>
      </c>
      <c r="C316" s="5" t="str">
        <f>_xlfn.XLOOKUP(b.nike.views[[#This Row],[product_ID]], a.nike.original.man[Product_ID], a.nike.original.man[Rating_Group], "Not Found")</f>
        <v>3 - 3.9</v>
      </c>
      <c r="D316">
        <f>_xlfn.XLOOKUP(b.nike.views[[#This Row],[product_ID]], a.nike.original.man[Product_ID], a.nike.original.man[Rating], "Not Found")</f>
        <v>3.5</v>
      </c>
      <c r="E316" s="10">
        <f>ROUND(_xlfn.XLOOKUP(b.nike.views[[#This Row],[product_ID]], a.nike.original.man[Product_ID], a.nike.original.man[Sale Price], "Not Found"), 0)</f>
        <v>170</v>
      </c>
      <c r="F316" s="5" t="str" cm="1">
        <f t="array" ref="F316">_xlfn.IFS(b.nike.views[[#This Row],[Sales_Price]]&lt;=9, "under $10",b.nike.views[[#This Row],[Sales_Price]]&lt;=20, "$20 and under",b.nike.views[[#This Row],[Sales_Price]]&lt;=50, "$50 and under", b.nike.views[[#This Row],[Sales_Price]]&lt;=99, "under $100", b.nike.views[[#This Row],[Sales_Price]]&gt;=100, "$100 +")</f>
        <v>$100 +</v>
      </c>
      <c r="G316">
        <f>COUNTIF(a.nike.original.man[Product_ID], A316)</f>
        <v>1</v>
      </c>
      <c r="H316" t="str" cm="1">
        <f t="array" ref="H316">_xlfn.IFS(b.nike.views[[#This Row],[Review_Count]]&lt;=7, "Below Average",b.nike.views[[#This Row],[Review_Count]]&gt;=8, "Average +")</f>
        <v>Below Average</v>
      </c>
      <c r="I316">
        <f>SUMIF(a.nike.original.man[Product_ID],b.nike.views[[#This Row],[product_ID]], a.nike.original.man[Reviews])</f>
        <v>2</v>
      </c>
      <c r="J316" s="41">
        <f>_xlfn.XLOOKUP(b.nike.views[[#This Row],[product_ID]],a.nike.original.man[Product_ID], a.nike.original.man[Discount %], "Not Found")</f>
        <v>0</v>
      </c>
      <c r="K316" s="41"/>
      <c r="L316" t="s">
        <v>1470</v>
      </c>
    </row>
    <row r="317" spans="1:12" x14ac:dyDescent="0.2">
      <c r="A317" t="s">
        <v>1082</v>
      </c>
      <c r="B317" t="str">
        <f>_xlfn.XLOOKUP(b.nike.views[[#This Row],[product_ID]], a.nike.original.man[Product_ID], a.nike.original.man[Product Name], "Not Found")</f>
        <v>Nike Odyssey React Flyknit 2</v>
      </c>
      <c r="C317" s="5" t="str">
        <f>_xlfn.XLOOKUP(b.nike.views[[#This Row],[product_ID]], a.nike.original.man[Product_ID], a.nike.original.man[Rating_Group], "Not Found")</f>
        <v>3 - 3.9</v>
      </c>
      <c r="D317">
        <f>_xlfn.XLOOKUP(b.nike.views[[#This Row],[product_ID]], a.nike.original.man[Product_ID], a.nike.original.man[Rating], "Not Found")</f>
        <v>3.4</v>
      </c>
      <c r="E317" s="10">
        <f>ROUND(_xlfn.XLOOKUP(b.nike.views[[#This Row],[product_ID]], a.nike.original.man[Product_ID], a.nike.original.man[Sale Price], "Not Found"), 0)</f>
        <v>60</v>
      </c>
      <c r="F317" s="5" t="str" cm="1">
        <f t="array" ref="F317">_xlfn.IFS(b.nike.views[[#This Row],[Sales_Price]]&lt;=9, "under $10",b.nike.views[[#This Row],[Sales_Price]]&lt;=20, "$20 and under",b.nike.views[[#This Row],[Sales_Price]]&lt;=50, "$50 and under", b.nike.views[[#This Row],[Sales_Price]]&lt;=99, "under $100", b.nike.views[[#This Row],[Sales_Price]]&gt;=100, "$100 +")</f>
        <v>under $100</v>
      </c>
      <c r="G317">
        <f>COUNTIF(a.nike.original.man[Product_ID], A317)</f>
        <v>1</v>
      </c>
      <c r="H317" t="str" cm="1">
        <f t="array" ref="H317">_xlfn.IFS(b.nike.views[[#This Row],[Review_Count]]&lt;=7, "Below Average",b.nike.views[[#This Row],[Review_Count]]&gt;=8, "Average +")</f>
        <v>Average +</v>
      </c>
      <c r="I317">
        <f>SUMIF(a.nike.original.man[Product_ID],b.nike.views[[#This Row],[product_ID]], a.nike.original.man[Reviews])</f>
        <v>26</v>
      </c>
      <c r="J317" s="41">
        <f>_xlfn.XLOOKUP(b.nike.views[[#This Row],[product_ID]],a.nike.original.man[Product_ID], a.nike.original.man[Discount %], "Not Found")</f>
        <v>0.4</v>
      </c>
      <c r="K317" s="41"/>
      <c r="L317" t="s">
        <v>1470</v>
      </c>
    </row>
    <row r="318" spans="1:12" x14ac:dyDescent="0.2">
      <c r="A318" t="s">
        <v>552</v>
      </c>
      <c r="B318" t="str">
        <f>_xlfn.XLOOKUP(b.nike.views[[#This Row],[product_ID]], a.nike.original.man[Product_ID], a.nike.original.man[Product Name], "Not Found")</f>
        <v>Nike Free X Metcon 2</v>
      </c>
      <c r="C318" s="5" t="str">
        <f>_xlfn.XLOOKUP(b.nike.views[[#This Row],[product_ID]], a.nike.original.man[Product_ID], a.nike.original.man[Rating_Group], "Not Found")</f>
        <v>3 - 3.9</v>
      </c>
      <c r="D318">
        <f>_xlfn.XLOOKUP(b.nike.views[[#This Row],[product_ID]], a.nike.original.man[Product_ID], a.nike.original.man[Rating], "Not Found")</f>
        <v>3.4</v>
      </c>
      <c r="E318" s="10">
        <f>ROUND(_xlfn.XLOOKUP(b.nike.views[[#This Row],[product_ID]], a.nike.original.man[Product_ID], a.nike.original.man[Sale Price], "Not Found"), 0)</f>
        <v>80</v>
      </c>
      <c r="F318" s="5" t="str" cm="1">
        <f t="array" ref="F318">_xlfn.IFS(b.nike.views[[#This Row],[Sales_Price]]&lt;=9, "under $10",b.nike.views[[#This Row],[Sales_Price]]&lt;=20, "$20 and under",b.nike.views[[#This Row],[Sales_Price]]&lt;=50, "$50 and under", b.nike.views[[#This Row],[Sales_Price]]&lt;=99, "under $100", b.nike.views[[#This Row],[Sales_Price]]&gt;=100, "$100 +")</f>
        <v>under $100</v>
      </c>
      <c r="G318">
        <f>COUNTIF(a.nike.original.man[Product_ID], A318)</f>
        <v>1</v>
      </c>
      <c r="H318" t="str" cm="1">
        <f t="array" ref="H318">_xlfn.IFS(b.nike.views[[#This Row],[Review_Count]]&lt;=7, "Below Average",b.nike.views[[#This Row],[Review_Count]]&gt;=8, "Average +")</f>
        <v>Average +</v>
      </c>
      <c r="I318">
        <f>SUMIF(a.nike.original.man[Product_ID],b.nike.views[[#This Row],[product_ID]], a.nike.original.man[Reviews])</f>
        <v>23</v>
      </c>
      <c r="J318" s="41">
        <f>_xlfn.XLOOKUP(b.nike.views[[#This Row],[product_ID]],a.nike.original.man[Product_ID], a.nike.original.man[Discount %], "Not Found")</f>
        <v>0.2</v>
      </c>
      <c r="K318" s="41"/>
      <c r="L318" t="s">
        <v>1470</v>
      </c>
    </row>
    <row r="319" spans="1:12" x14ac:dyDescent="0.2">
      <c r="A319" t="s">
        <v>1145</v>
      </c>
      <c r="B319" t="str">
        <f>_xlfn.XLOOKUP(b.nike.views[[#This Row],[product_ID]], a.nike.original.man[Product_ID], a.nike.original.man[Product Name], "Not Found")</f>
        <v>Nike SB Zoom Stefan Janoski Canvas RM</v>
      </c>
      <c r="C319" s="5" t="str">
        <f>_xlfn.XLOOKUP(b.nike.views[[#This Row],[product_ID]], a.nike.original.man[Product_ID], a.nike.original.man[Rating_Group], "Not Found")</f>
        <v>3 - 3.9</v>
      </c>
      <c r="D319">
        <f>_xlfn.XLOOKUP(b.nike.views[[#This Row],[product_ID]], a.nike.original.man[Product_ID], a.nike.original.man[Rating], "Not Found")</f>
        <v>3.4</v>
      </c>
      <c r="E319" s="10">
        <f>ROUND(_xlfn.XLOOKUP(b.nike.views[[#This Row],[product_ID]], a.nike.original.man[Product_ID], a.nike.original.man[Sale Price], "Not Found"), 0)</f>
        <v>70</v>
      </c>
      <c r="F319" s="5" t="str" cm="1">
        <f t="array" ref="F319">_xlfn.IFS(b.nike.views[[#This Row],[Sales_Price]]&lt;=9, "under $10",b.nike.views[[#This Row],[Sales_Price]]&lt;=20, "$20 and under",b.nike.views[[#This Row],[Sales_Price]]&lt;=50, "$50 and under", b.nike.views[[#This Row],[Sales_Price]]&lt;=99, "under $100", b.nike.views[[#This Row],[Sales_Price]]&gt;=100, "$100 +")</f>
        <v>under $100</v>
      </c>
      <c r="G319">
        <f>COUNTIF(a.nike.original.man[Product_ID], A319)</f>
        <v>2</v>
      </c>
      <c r="H319" t="str" cm="1">
        <f t="array" ref="H319">_xlfn.IFS(b.nike.views[[#This Row],[Review_Count]]&lt;=7, "Below Average",b.nike.views[[#This Row],[Review_Count]]&gt;=8, "Average +")</f>
        <v>Average +</v>
      </c>
      <c r="I319">
        <f>SUMIF(a.nike.original.man[Product_ID],b.nike.views[[#This Row],[product_ID]], a.nike.original.man[Reviews])</f>
        <v>10</v>
      </c>
      <c r="J319" s="41">
        <f>_xlfn.XLOOKUP(b.nike.views[[#This Row],[product_ID]],a.nike.original.man[Product_ID], a.nike.original.man[Discount %], "Not Found")</f>
        <v>0</v>
      </c>
      <c r="K319" s="41"/>
      <c r="L319" t="s">
        <v>1470</v>
      </c>
    </row>
    <row r="320" spans="1:12" x14ac:dyDescent="0.2">
      <c r="A320" t="s">
        <v>1010</v>
      </c>
      <c r="B320" t="str">
        <f>_xlfn.XLOOKUP(b.nike.views[[#This Row],[product_ID]], a.nike.original.man[Product_ID], a.nike.original.man[Product Name], "Not Found")</f>
        <v>Nike Air Wildwood ACG</v>
      </c>
      <c r="C320" s="5" t="str">
        <f>_xlfn.XLOOKUP(b.nike.views[[#This Row],[product_ID]], a.nike.original.man[Product_ID], a.nike.original.man[Rating_Group], "Not Found")</f>
        <v>3 - 3.9</v>
      </c>
      <c r="D320">
        <f>_xlfn.XLOOKUP(b.nike.views[[#This Row],[product_ID]], a.nike.original.man[Product_ID], a.nike.original.man[Rating], "Not Found")</f>
        <v>3.4</v>
      </c>
      <c r="E320" s="10">
        <f>ROUND(_xlfn.XLOOKUP(b.nike.views[[#This Row],[product_ID]], a.nike.original.man[Product_ID], a.nike.original.man[Sale Price], "Not Found"), 0)</f>
        <v>54</v>
      </c>
      <c r="F320" s="5" t="str" cm="1">
        <f t="array" ref="F320">_xlfn.IFS(b.nike.views[[#This Row],[Sales_Price]]&lt;=9, "under $10",b.nike.views[[#This Row],[Sales_Price]]&lt;=20, "$20 and under",b.nike.views[[#This Row],[Sales_Price]]&lt;=50, "$50 and under", b.nike.views[[#This Row],[Sales_Price]]&lt;=99, "under $100", b.nike.views[[#This Row],[Sales_Price]]&gt;=100, "$100 +")</f>
        <v>under $100</v>
      </c>
      <c r="G320">
        <f>COUNTIF(a.nike.original.man[Product_ID], A320)</f>
        <v>1</v>
      </c>
      <c r="H320" t="str" cm="1">
        <f t="array" ref="H320">_xlfn.IFS(b.nike.views[[#This Row],[Review_Count]]&lt;=7, "Below Average",b.nike.views[[#This Row],[Review_Count]]&gt;=8, "Average +")</f>
        <v>Below Average</v>
      </c>
      <c r="I320">
        <f>SUMIF(a.nike.original.man[Product_ID],b.nike.views[[#This Row],[product_ID]], a.nike.original.man[Reviews])</f>
        <v>7</v>
      </c>
      <c r="J320" s="41">
        <f>_xlfn.XLOOKUP(b.nike.views[[#This Row],[product_ID]],a.nike.original.man[Product_ID], a.nike.original.man[Discount %], "Not Found")</f>
        <v>0.4</v>
      </c>
      <c r="K320" s="41"/>
      <c r="L320" t="s">
        <v>1470</v>
      </c>
    </row>
    <row r="321" spans="1:12" x14ac:dyDescent="0.2">
      <c r="A321" t="s">
        <v>650</v>
      </c>
      <c r="B321" t="str">
        <f>_xlfn.XLOOKUP(b.nike.views[[#This Row],[product_ID]], a.nike.original.man[Product_ID], a.nike.original.man[Product Name], "Not Found")</f>
        <v>NikeCourt Air Zoom Vapor X</v>
      </c>
      <c r="C321" s="5" t="str">
        <f>_xlfn.XLOOKUP(b.nike.views[[#This Row],[product_ID]], a.nike.original.man[Product_ID], a.nike.original.man[Rating_Group], "Not Found")</f>
        <v>3 - 3.9</v>
      </c>
      <c r="D321">
        <f>_xlfn.XLOOKUP(b.nike.views[[#This Row],[product_ID]], a.nike.original.man[Product_ID], a.nike.original.man[Rating], "Not Found")</f>
        <v>3.3</v>
      </c>
      <c r="E321" s="10">
        <f>ROUND(_xlfn.XLOOKUP(b.nike.views[[#This Row],[product_ID]], a.nike.original.man[Product_ID], a.nike.original.man[Sale Price], "Not Found"), 0)</f>
        <v>150</v>
      </c>
      <c r="F321" s="5" t="str" cm="1">
        <f t="array" ref="F321">_xlfn.IFS(b.nike.views[[#This Row],[Sales_Price]]&lt;=9, "under $10",b.nike.views[[#This Row],[Sales_Price]]&lt;=20, "$20 and under",b.nike.views[[#This Row],[Sales_Price]]&lt;=50, "$50 and under", b.nike.views[[#This Row],[Sales_Price]]&lt;=99, "under $100", b.nike.views[[#This Row],[Sales_Price]]&gt;=100, "$100 +")</f>
        <v>$100 +</v>
      </c>
      <c r="G321">
        <f>COUNTIF(a.nike.original.man[Product_ID], A321)</f>
        <v>1</v>
      </c>
      <c r="H321" t="str" cm="1">
        <f t="array" ref="H321">_xlfn.IFS(b.nike.views[[#This Row],[Review_Count]]&lt;=7, "Below Average",b.nike.views[[#This Row],[Review_Count]]&gt;=8, "Average +")</f>
        <v>Average +</v>
      </c>
      <c r="I321">
        <f>SUMIF(a.nike.original.man[Product_ID],b.nike.views[[#This Row],[product_ID]], a.nike.original.man[Reviews])</f>
        <v>13</v>
      </c>
      <c r="J321" s="41">
        <f>_xlfn.XLOOKUP(b.nike.views[[#This Row],[product_ID]],a.nike.original.man[Product_ID], a.nike.original.man[Discount %], "Not Found")</f>
        <v>0</v>
      </c>
      <c r="K321" s="41"/>
      <c r="L321" t="s">
        <v>1470</v>
      </c>
    </row>
    <row r="322" spans="1:12" x14ac:dyDescent="0.2">
      <c r="A322" t="s">
        <v>1450</v>
      </c>
      <c r="B322" t="str">
        <f>_xlfn.XLOOKUP(b.nike.views[[#This Row],[product_ID]], a.nike.original.man[Product_ID], a.nike.original.man[Product Name], "Not Found")</f>
        <v>Air Jordan 5 Retro</v>
      </c>
      <c r="C322" s="5" t="str">
        <f>_xlfn.XLOOKUP(b.nike.views[[#This Row],[product_ID]], a.nike.original.man[Product_ID], a.nike.original.man[Rating_Group], "Not Found")</f>
        <v>3 - 3.9</v>
      </c>
      <c r="D322">
        <f>_xlfn.XLOOKUP(b.nike.views[[#This Row],[product_ID]], a.nike.original.man[Product_ID], a.nike.original.man[Rating], "Not Found")</f>
        <v>3.3</v>
      </c>
      <c r="E322" s="10">
        <f>ROUND(_xlfn.XLOOKUP(b.nike.views[[#This Row],[product_ID]], a.nike.original.man[Product_ID], a.nike.original.man[Sale Price], "Not Found"), 0)</f>
        <v>160</v>
      </c>
      <c r="F322" s="5" t="str" cm="1">
        <f t="array" ref="F322">_xlfn.IFS(b.nike.views[[#This Row],[Sales_Price]]&lt;=9, "under $10",b.nike.views[[#This Row],[Sales_Price]]&lt;=20, "$20 and under",b.nike.views[[#This Row],[Sales_Price]]&lt;=50, "$50 and under", b.nike.views[[#This Row],[Sales_Price]]&lt;=99, "under $100", b.nike.views[[#This Row],[Sales_Price]]&gt;=100, "$100 +")</f>
        <v>$100 +</v>
      </c>
      <c r="G322">
        <f>COUNTIF(a.nike.original.man[Product_ID], A322)</f>
        <v>1</v>
      </c>
      <c r="H322" t="str" cm="1">
        <f t="array" ref="H322">_xlfn.IFS(b.nike.views[[#This Row],[Review_Count]]&lt;=7, "Below Average",b.nike.views[[#This Row],[Review_Count]]&gt;=8, "Average +")</f>
        <v>Below Average</v>
      </c>
      <c r="I322">
        <f>SUMIF(a.nike.original.man[Product_ID],b.nike.views[[#This Row],[product_ID]], a.nike.original.man[Reviews])</f>
        <v>3</v>
      </c>
      <c r="J322" s="41">
        <f>_xlfn.XLOOKUP(b.nike.views[[#This Row],[product_ID]],a.nike.original.man[Product_ID], a.nike.original.man[Discount %], "Not Found")</f>
        <v>0</v>
      </c>
      <c r="K322" s="41"/>
      <c r="L322" t="s">
        <v>1470</v>
      </c>
    </row>
    <row r="323" spans="1:12" x14ac:dyDescent="0.2">
      <c r="A323" t="s">
        <v>1319</v>
      </c>
      <c r="B323" t="str">
        <f>_xlfn.XLOOKUP(b.nike.views[[#This Row],[product_ID]], a.nike.original.man[Product_ID], a.nike.original.man[Product Name], "Not Found")</f>
        <v>Nike Flex RN 2018</v>
      </c>
      <c r="C323" s="5" t="str">
        <f>_xlfn.XLOOKUP(b.nike.views[[#This Row],[product_ID]], a.nike.original.man[Product_ID], a.nike.original.man[Rating_Group], "Not Found")</f>
        <v>3 - 3.9</v>
      </c>
      <c r="D323">
        <f>_xlfn.XLOOKUP(b.nike.views[[#This Row],[product_ID]], a.nike.original.man[Product_ID], a.nike.original.man[Rating], "Not Found")</f>
        <v>3.2</v>
      </c>
      <c r="E323" s="10">
        <f>ROUND(_xlfn.XLOOKUP(b.nike.views[[#This Row],[product_ID]], a.nike.original.man[Product_ID], a.nike.original.man[Sale Price], "Not Found"), 0)</f>
        <v>60</v>
      </c>
      <c r="F323" s="5" t="str" cm="1">
        <f t="array" ref="F323">_xlfn.IFS(b.nike.views[[#This Row],[Sales_Price]]&lt;=9, "under $10",b.nike.views[[#This Row],[Sales_Price]]&lt;=20, "$20 and under",b.nike.views[[#This Row],[Sales_Price]]&lt;=50, "$50 and under", b.nike.views[[#This Row],[Sales_Price]]&lt;=99, "under $100", b.nike.views[[#This Row],[Sales_Price]]&gt;=100, "$100 +")</f>
        <v>under $100</v>
      </c>
      <c r="G323">
        <f>COUNTIF(a.nike.original.man[Product_ID], A323)</f>
        <v>1</v>
      </c>
      <c r="H323" t="str" cm="1">
        <f t="array" ref="H323">_xlfn.IFS(b.nike.views[[#This Row],[Review_Count]]&lt;=7, "Below Average",b.nike.views[[#This Row],[Review_Count]]&gt;=8, "Average +")</f>
        <v>Average +</v>
      </c>
      <c r="I323">
        <f>SUMIF(a.nike.original.man[Product_ID],b.nike.views[[#This Row],[product_ID]], a.nike.original.man[Reviews])</f>
        <v>15</v>
      </c>
      <c r="J323" s="41">
        <f>_xlfn.XLOOKUP(b.nike.views[[#This Row],[product_ID]],a.nike.original.man[Product_ID], a.nike.original.man[Discount %], "Not Found")</f>
        <v>0.2</v>
      </c>
      <c r="K323" s="41"/>
      <c r="L323" t="s">
        <v>1470</v>
      </c>
    </row>
    <row r="324" spans="1:12" x14ac:dyDescent="0.2">
      <c r="A324" t="s">
        <v>670</v>
      </c>
      <c r="B324" t="str">
        <f>_xlfn.XLOOKUP(b.nike.views[[#This Row],[product_ID]], a.nike.original.man[Product_ID], a.nike.original.man[Product Name], "Not Found")</f>
        <v>Nike Air Max 90</v>
      </c>
      <c r="C324" s="5" t="str">
        <f>_xlfn.XLOOKUP(b.nike.views[[#This Row],[product_ID]], a.nike.original.man[Product_ID], a.nike.original.man[Rating_Group], "Not Found")</f>
        <v>3 - 3.9</v>
      </c>
      <c r="D324">
        <f>_xlfn.XLOOKUP(b.nike.views[[#This Row],[product_ID]], a.nike.original.man[Product_ID], a.nike.original.man[Rating], "Not Found")</f>
        <v>3.2</v>
      </c>
      <c r="E324" s="10">
        <f>ROUND(_xlfn.XLOOKUP(b.nike.views[[#This Row],[product_ID]], a.nike.original.man[Product_ID], a.nike.original.man[Sale Price], "Not Found"), 0)</f>
        <v>72</v>
      </c>
      <c r="F324" s="5" t="str" cm="1">
        <f t="array" ref="F324">_xlfn.IFS(b.nike.views[[#This Row],[Sales_Price]]&lt;=9, "under $10",b.nike.views[[#This Row],[Sales_Price]]&lt;=20, "$20 and under",b.nike.views[[#This Row],[Sales_Price]]&lt;=50, "$50 and under", b.nike.views[[#This Row],[Sales_Price]]&lt;=99, "under $100", b.nike.views[[#This Row],[Sales_Price]]&gt;=100, "$100 +")</f>
        <v>under $100</v>
      </c>
      <c r="G324">
        <f>COUNTIF(a.nike.original.man[Product_ID], A324)</f>
        <v>1</v>
      </c>
      <c r="H324" t="str" cm="1">
        <f t="array" ref="H324">_xlfn.IFS(b.nike.views[[#This Row],[Review_Count]]&lt;=7, "Below Average",b.nike.views[[#This Row],[Review_Count]]&gt;=8, "Average +")</f>
        <v>Below Average</v>
      </c>
      <c r="I324">
        <f>SUMIF(a.nike.original.man[Product_ID],b.nike.views[[#This Row],[product_ID]], a.nike.original.man[Reviews])</f>
        <v>5</v>
      </c>
      <c r="J324" s="41">
        <f>_xlfn.XLOOKUP(b.nike.views[[#This Row],[product_ID]],a.nike.original.man[Product_ID], a.nike.original.man[Discount %], "Not Found")</f>
        <v>0.4</v>
      </c>
      <c r="K324" s="41"/>
      <c r="L324" t="s">
        <v>1470</v>
      </c>
    </row>
    <row r="325" spans="1:12" x14ac:dyDescent="0.2">
      <c r="A325" t="s">
        <v>431</v>
      </c>
      <c r="B325" t="str">
        <f>_xlfn.XLOOKUP(b.nike.views[[#This Row],[product_ID]], a.nike.original.man[Product_ID], a.nike.original.man[Product Name], "Not Found")</f>
        <v>Nike Zoom Pegasus Turbo 2</v>
      </c>
      <c r="C325" s="5" t="str">
        <f>_xlfn.XLOOKUP(b.nike.views[[#This Row],[product_ID]], a.nike.original.man[Product_ID], a.nike.original.man[Rating_Group], "Not Found")</f>
        <v>3 - 3.9</v>
      </c>
      <c r="D325">
        <f>_xlfn.XLOOKUP(b.nike.views[[#This Row],[product_ID]], a.nike.original.man[Product_ID], a.nike.original.man[Rating], "Not Found")</f>
        <v>3.1</v>
      </c>
      <c r="E325" s="10">
        <f>ROUND(_xlfn.XLOOKUP(b.nike.views[[#This Row],[product_ID]], a.nike.original.man[Product_ID], a.nike.original.man[Sale Price], "Not Found"), 0)</f>
        <v>160</v>
      </c>
      <c r="F325" s="5" t="str" cm="1">
        <f t="array" ref="F325">_xlfn.IFS(b.nike.views[[#This Row],[Sales_Price]]&lt;=9, "under $10",b.nike.views[[#This Row],[Sales_Price]]&lt;=20, "$20 and under",b.nike.views[[#This Row],[Sales_Price]]&lt;=50, "$50 and under", b.nike.views[[#This Row],[Sales_Price]]&lt;=99, "under $100", b.nike.views[[#This Row],[Sales_Price]]&gt;=100, "$100 +")</f>
        <v>$100 +</v>
      </c>
      <c r="G325">
        <f>COUNTIF(a.nike.original.man[Product_ID], A325)</f>
        <v>1</v>
      </c>
      <c r="H325" t="str" cm="1">
        <f t="array" ref="H325">_xlfn.IFS(b.nike.views[[#This Row],[Review_Count]]&lt;=7, "Below Average",b.nike.views[[#This Row],[Review_Count]]&gt;=8, "Average +")</f>
        <v>Average +</v>
      </c>
      <c r="I325">
        <f>SUMIF(a.nike.original.man[Product_ID],b.nike.views[[#This Row],[product_ID]], a.nike.original.man[Reviews])</f>
        <v>54</v>
      </c>
      <c r="J325" s="41">
        <f>_xlfn.XLOOKUP(b.nike.views[[#This Row],[product_ID]],a.nike.original.man[Product_ID], a.nike.original.man[Discount %], "Not Found")</f>
        <v>0</v>
      </c>
      <c r="K325" s="41"/>
      <c r="L325" t="s">
        <v>1470</v>
      </c>
    </row>
    <row r="326" spans="1:12" x14ac:dyDescent="0.2">
      <c r="A326" t="s">
        <v>344</v>
      </c>
      <c r="B326" t="str">
        <f>_xlfn.XLOOKUP(b.nike.views[[#This Row],[product_ID]], a.nike.original.man[Product_ID], a.nike.original.man[Product Name], "Not Found")</f>
        <v>Nike Tiempo Legend 8 Elite FG</v>
      </c>
      <c r="C326" s="5" t="str">
        <f>_xlfn.XLOOKUP(b.nike.views[[#This Row],[product_ID]], a.nike.original.man[Product_ID], a.nike.original.man[Rating_Group], "Not Found")</f>
        <v>3 - 3.9</v>
      </c>
      <c r="D326">
        <f>_xlfn.XLOOKUP(b.nike.views[[#This Row],[product_ID]], a.nike.original.man[Product_ID], a.nike.original.man[Rating], "Not Found")</f>
        <v>3.1</v>
      </c>
      <c r="E326" s="10">
        <f>ROUND(_xlfn.XLOOKUP(b.nike.views[[#This Row],[product_ID]], a.nike.original.man[Product_ID], a.nike.original.man[Sale Price], "Not Found"), 0)</f>
        <v>210</v>
      </c>
      <c r="F326" s="5" t="str" cm="1">
        <f t="array" ref="F326">_xlfn.IFS(b.nike.views[[#This Row],[Sales_Price]]&lt;=9, "under $10",b.nike.views[[#This Row],[Sales_Price]]&lt;=20, "$20 and under",b.nike.views[[#This Row],[Sales_Price]]&lt;=50, "$50 and under", b.nike.views[[#This Row],[Sales_Price]]&lt;=99, "under $100", b.nike.views[[#This Row],[Sales_Price]]&gt;=100, "$100 +")</f>
        <v>$100 +</v>
      </c>
      <c r="G326">
        <f>COUNTIF(a.nike.original.man[Product_ID], A326)</f>
        <v>2</v>
      </c>
      <c r="H326" t="str" cm="1">
        <f t="array" ref="H326">_xlfn.IFS(b.nike.views[[#This Row],[Review_Count]]&lt;=7, "Below Average",b.nike.views[[#This Row],[Review_Count]]&gt;=8, "Average +")</f>
        <v>Average +</v>
      </c>
      <c r="I326">
        <f>SUMIF(a.nike.original.man[Product_ID],b.nike.views[[#This Row],[product_ID]], a.nike.original.man[Reviews])</f>
        <v>14</v>
      </c>
      <c r="J326" s="41">
        <f>_xlfn.XLOOKUP(b.nike.views[[#This Row],[product_ID]],a.nike.original.man[Product_ID], a.nike.original.man[Discount %], "Not Found")</f>
        <v>0</v>
      </c>
      <c r="K326" s="41"/>
      <c r="L326" t="s">
        <v>1470</v>
      </c>
    </row>
    <row r="327" spans="1:12" x14ac:dyDescent="0.2">
      <c r="A327" t="s">
        <v>209</v>
      </c>
      <c r="B327" t="str">
        <f>_xlfn.XLOOKUP(b.nike.views[[#This Row],[product_ID]], a.nike.original.man[Product_ID], a.nike.original.man[Product Name], "Not Found")</f>
        <v>Nike Zoom Gravity</v>
      </c>
      <c r="C327" s="5" t="str">
        <f>_xlfn.XLOOKUP(b.nike.views[[#This Row],[product_ID]], a.nike.original.man[Product_ID], a.nike.original.man[Rating_Group], "Not Found")</f>
        <v>3 - 3.9</v>
      </c>
      <c r="D327">
        <f>_xlfn.XLOOKUP(b.nike.views[[#This Row],[product_ID]], a.nike.original.man[Product_ID], a.nike.original.man[Rating], "Not Found")</f>
        <v>3.1</v>
      </c>
      <c r="E327" s="10">
        <f>ROUND(_xlfn.XLOOKUP(b.nike.views[[#This Row],[product_ID]], a.nike.original.man[Product_ID], a.nike.original.man[Sale Price], "Not Found"), 0)</f>
        <v>80</v>
      </c>
      <c r="F327" s="5" t="str" cm="1">
        <f t="array" ref="F327">_xlfn.IFS(b.nike.views[[#This Row],[Sales_Price]]&lt;=9, "under $10",b.nike.views[[#This Row],[Sales_Price]]&lt;=20, "$20 and under",b.nike.views[[#This Row],[Sales_Price]]&lt;=50, "$50 and under", b.nike.views[[#This Row],[Sales_Price]]&lt;=99, "under $100", b.nike.views[[#This Row],[Sales_Price]]&gt;=100, "$100 +")</f>
        <v>under $100</v>
      </c>
      <c r="G327">
        <f>COUNTIF(a.nike.original.man[Product_ID], A327)</f>
        <v>1</v>
      </c>
      <c r="H327" t="str" cm="1">
        <f t="array" ref="H327">_xlfn.IFS(b.nike.views[[#This Row],[Review_Count]]&lt;=7, "Below Average",b.nike.views[[#This Row],[Review_Count]]&gt;=8, "Average +")</f>
        <v>Average +</v>
      </c>
      <c r="I327">
        <f>SUMIF(a.nike.original.man[Product_ID],b.nike.views[[#This Row],[product_ID]], a.nike.original.man[Reviews])</f>
        <v>8</v>
      </c>
      <c r="J327" s="41">
        <f>_xlfn.XLOOKUP(b.nike.views[[#This Row],[product_ID]],a.nike.original.man[Product_ID], a.nike.original.man[Discount %], "Not Found")</f>
        <v>0</v>
      </c>
      <c r="K327" s="41"/>
      <c r="L327" t="s">
        <v>1470</v>
      </c>
    </row>
    <row r="328" spans="1:12" x14ac:dyDescent="0.2">
      <c r="A328" t="s">
        <v>1264</v>
      </c>
      <c r="B328" t="str">
        <f>_xlfn.XLOOKUP(b.nike.views[[#This Row],[product_ID]], a.nike.original.man[Product_ID], a.nike.original.man[Product Name], "Not Found")</f>
        <v>Nike Free X Metcon 2</v>
      </c>
      <c r="C328" s="5" t="str">
        <f>_xlfn.XLOOKUP(b.nike.views[[#This Row],[product_ID]], a.nike.original.man[Product_ID], a.nike.original.man[Rating_Group], "Not Found")</f>
        <v>3 - 3.9</v>
      </c>
      <c r="D328">
        <f>_xlfn.XLOOKUP(b.nike.views[[#This Row],[product_ID]], a.nike.original.man[Product_ID], a.nike.original.man[Rating], "Not Found")</f>
        <v>3</v>
      </c>
      <c r="E328" s="10">
        <f>ROUND(_xlfn.XLOOKUP(b.nike.views[[#This Row],[product_ID]], a.nike.original.man[Product_ID], a.nike.original.man[Sale Price], "Not Found"), 0)</f>
        <v>100</v>
      </c>
      <c r="F328" s="5" t="str" cm="1">
        <f t="array" ref="F328">_xlfn.IFS(b.nike.views[[#This Row],[Sales_Price]]&lt;=9, "under $10",b.nike.views[[#This Row],[Sales_Price]]&lt;=20, "$20 and under",b.nike.views[[#This Row],[Sales_Price]]&lt;=50, "$50 and under", b.nike.views[[#This Row],[Sales_Price]]&lt;=99, "under $100", b.nike.views[[#This Row],[Sales_Price]]&gt;=100, "$100 +")</f>
        <v>$100 +</v>
      </c>
      <c r="G328">
        <f>COUNTIF(a.nike.original.man[Product_ID], A328)</f>
        <v>1</v>
      </c>
      <c r="H328" t="str" cm="1">
        <f t="array" ref="H328">_xlfn.IFS(b.nike.views[[#This Row],[Review_Count]]&lt;=7, "Below Average",b.nike.views[[#This Row],[Review_Count]]&gt;=8, "Average +")</f>
        <v>Below Average</v>
      </c>
      <c r="I328">
        <f>SUMIF(a.nike.original.man[Product_ID],b.nike.views[[#This Row],[product_ID]], a.nike.original.man[Reviews])</f>
        <v>7</v>
      </c>
      <c r="J328" s="41">
        <f>_xlfn.XLOOKUP(b.nike.views[[#This Row],[product_ID]],a.nike.original.man[Product_ID], a.nike.original.man[Discount %], "Not Found")</f>
        <v>0</v>
      </c>
      <c r="K328" s="41"/>
      <c r="L328" t="s">
        <v>1470</v>
      </c>
    </row>
    <row r="329" spans="1:12" x14ac:dyDescent="0.2">
      <c r="A329" t="s">
        <v>668</v>
      </c>
      <c r="B329" t="str">
        <f>_xlfn.XLOOKUP(b.nike.views[[#This Row],[product_ID]], a.nike.original.man[Product_ID], a.nike.original.man[Product Name], "Not Found")</f>
        <v>Nike Air Zoom Winflo 5</v>
      </c>
      <c r="C329" s="5" t="str">
        <f>_xlfn.XLOOKUP(b.nike.views[[#This Row],[product_ID]], a.nike.original.man[Product_ID], a.nike.original.man[Rating_Group], "Not Found")</f>
        <v>3 - 3.9</v>
      </c>
      <c r="D329">
        <f>_xlfn.XLOOKUP(b.nike.views[[#This Row],[product_ID]], a.nike.original.man[Product_ID], a.nike.original.man[Rating], "Not Found")</f>
        <v>3</v>
      </c>
      <c r="E329" s="10">
        <f>ROUND(_xlfn.XLOOKUP(b.nike.views[[#This Row],[product_ID]], a.nike.original.man[Product_ID], a.nike.original.man[Sale Price], "Not Found"), 0)</f>
        <v>64</v>
      </c>
      <c r="F329" s="5" t="str" cm="1">
        <f t="array" ref="F329">_xlfn.IFS(b.nike.views[[#This Row],[Sales_Price]]&lt;=9, "under $10",b.nike.views[[#This Row],[Sales_Price]]&lt;=20, "$20 and under",b.nike.views[[#This Row],[Sales_Price]]&lt;=50, "$50 and under", b.nike.views[[#This Row],[Sales_Price]]&lt;=99, "under $100", b.nike.views[[#This Row],[Sales_Price]]&gt;=100, "$100 +")</f>
        <v>under $100</v>
      </c>
      <c r="G329">
        <f>COUNTIF(a.nike.original.man[Product_ID], A329)</f>
        <v>1</v>
      </c>
      <c r="H329" t="str" cm="1">
        <f t="array" ref="H329">_xlfn.IFS(b.nike.views[[#This Row],[Review_Count]]&lt;=7, "Below Average",b.nike.views[[#This Row],[Review_Count]]&gt;=8, "Average +")</f>
        <v>Below Average</v>
      </c>
      <c r="I329">
        <f>SUMIF(a.nike.original.man[Product_ID],b.nike.views[[#This Row],[product_ID]], a.nike.original.man[Reviews])</f>
        <v>6</v>
      </c>
      <c r="J329" s="41">
        <f>_xlfn.XLOOKUP(b.nike.views[[#This Row],[product_ID]],a.nike.original.man[Product_ID], a.nike.original.man[Discount %], "Not Found")</f>
        <v>0.2</v>
      </c>
      <c r="K329" s="41"/>
      <c r="L329" t="s">
        <v>1470</v>
      </c>
    </row>
    <row r="330" spans="1:12" x14ac:dyDescent="0.2">
      <c r="A330" t="s">
        <v>773</v>
      </c>
      <c r="B330" t="str">
        <f>_xlfn.XLOOKUP(b.nike.views[[#This Row],[product_ID]], a.nike.original.man[Product_ID], a.nike.original.man[Product Name], "Not Found")</f>
        <v>Nike Benassi JDI</v>
      </c>
      <c r="C330" s="5" t="str">
        <f>_xlfn.XLOOKUP(b.nike.views[[#This Row],[product_ID]], a.nike.original.man[Product_ID], a.nike.original.man[Rating_Group], "Not Found")</f>
        <v>3 - 3.9</v>
      </c>
      <c r="D330">
        <f>_xlfn.XLOOKUP(b.nike.views[[#This Row],[product_ID]], a.nike.original.man[Product_ID], a.nike.original.man[Rating], "Not Found")</f>
        <v>3</v>
      </c>
      <c r="E330" s="10">
        <f>ROUND(_xlfn.XLOOKUP(b.nike.views[[#This Row],[product_ID]], a.nike.original.man[Product_ID], a.nike.original.man[Sale Price], "Not Found"), 0)</f>
        <v>28</v>
      </c>
      <c r="F330" s="5" t="str" cm="1">
        <f t="array" ref="F330">_xlfn.IFS(b.nike.views[[#This Row],[Sales_Price]]&lt;=9, "under $10",b.nike.views[[#This Row],[Sales_Price]]&lt;=20, "$20 and under",b.nike.views[[#This Row],[Sales_Price]]&lt;=50, "$50 and under", b.nike.views[[#This Row],[Sales_Price]]&lt;=99, "under $100", b.nike.views[[#This Row],[Sales_Price]]&gt;=100, "$100 +")</f>
        <v>$50 and under</v>
      </c>
      <c r="G330">
        <f>COUNTIF(a.nike.original.man[Product_ID], A330)</f>
        <v>1</v>
      </c>
      <c r="H330" t="str" cm="1">
        <f t="array" ref="H330">_xlfn.IFS(b.nike.views[[#This Row],[Review_Count]]&lt;=7, "Below Average",b.nike.views[[#This Row],[Review_Count]]&gt;=8, "Average +")</f>
        <v>Below Average</v>
      </c>
      <c r="I330">
        <f>SUMIF(a.nike.original.man[Product_ID],b.nike.views[[#This Row],[product_ID]], a.nike.original.man[Reviews])</f>
        <v>5</v>
      </c>
      <c r="J330" s="41">
        <f>_xlfn.XLOOKUP(b.nike.views[[#This Row],[product_ID]],a.nike.original.man[Product_ID], a.nike.original.man[Discount %], "Not Found")</f>
        <v>0</v>
      </c>
      <c r="K330" s="41"/>
      <c r="L330" t="s">
        <v>1470</v>
      </c>
    </row>
    <row r="331" spans="1:12" x14ac:dyDescent="0.2">
      <c r="A331" t="s">
        <v>975</v>
      </c>
      <c r="B331" t="str">
        <f>_xlfn.XLOOKUP(b.nike.views[[#This Row],[product_ID]], a.nike.original.man[Product_ID], a.nike.original.man[Product Name], "Not Found")</f>
        <v>Nike Air Max Tailwind IV SP</v>
      </c>
      <c r="C331" s="5" t="str">
        <f>_xlfn.XLOOKUP(b.nike.views[[#This Row],[product_ID]], a.nike.original.man[Product_ID], a.nike.original.man[Rating_Group], "Not Found")</f>
        <v>3 - 3.9</v>
      </c>
      <c r="D331">
        <f>_xlfn.XLOOKUP(b.nike.views[[#This Row],[product_ID]], a.nike.original.man[Product_ID], a.nike.original.man[Rating], "Not Found")</f>
        <v>3</v>
      </c>
      <c r="E331" s="10">
        <f>ROUND(_xlfn.XLOOKUP(b.nike.views[[#This Row],[product_ID]], a.nike.original.man[Product_ID], a.nike.original.man[Sale Price], "Not Found"), 0)</f>
        <v>96</v>
      </c>
      <c r="F331" s="5" t="str" cm="1">
        <f t="array" ref="F331">_xlfn.IFS(b.nike.views[[#This Row],[Sales_Price]]&lt;=9, "under $10",b.nike.views[[#This Row],[Sales_Price]]&lt;=20, "$20 and under",b.nike.views[[#This Row],[Sales_Price]]&lt;=50, "$50 and under", b.nike.views[[#This Row],[Sales_Price]]&lt;=99, "under $100", b.nike.views[[#This Row],[Sales_Price]]&gt;=100, "$100 +")</f>
        <v>under $100</v>
      </c>
      <c r="G331">
        <f>COUNTIF(a.nike.original.man[Product_ID], A331)</f>
        <v>1</v>
      </c>
      <c r="H331" t="str" cm="1">
        <f t="array" ref="H331">_xlfn.IFS(b.nike.views[[#This Row],[Review_Count]]&lt;=7, "Below Average",b.nike.views[[#This Row],[Review_Count]]&gt;=8, "Average +")</f>
        <v>Below Average</v>
      </c>
      <c r="I331">
        <f>SUMIF(a.nike.original.man[Product_ID],b.nike.views[[#This Row],[product_ID]], a.nike.original.man[Reviews])</f>
        <v>5</v>
      </c>
      <c r="J331" s="41">
        <f>_xlfn.XLOOKUP(b.nike.views[[#This Row],[product_ID]],a.nike.original.man[Product_ID], a.nike.original.man[Discount %], "Not Found")</f>
        <v>0.4</v>
      </c>
      <c r="K331" s="41"/>
      <c r="L331" t="s">
        <v>1470</v>
      </c>
    </row>
    <row r="332" spans="1:12" x14ac:dyDescent="0.2">
      <c r="A332" t="s">
        <v>579</v>
      </c>
      <c r="B332" t="str">
        <f>_xlfn.XLOOKUP(b.nike.views[[#This Row],[product_ID]], a.nike.original.man[Product_ID], a.nike.original.man[Product Name], "Not Found")</f>
        <v>Nike ISPA Air Max 720</v>
      </c>
      <c r="C332" s="5" t="str">
        <f>_xlfn.XLOOKUP(b.nike.views[[#This Row],[product_ID]], a.nike.original.man[Product_ID], a.nike.original.man[Rating_Group], "Not Found")</f>
        <v>3 - 3.9</v>
      </c>
      <c r="D332">
        <f>_xlfn.XLOOKUP(b.nike.views[[#This Row],[product_ID]], a.nike.original.man[Product_ID], a.nike.original.man[Rating], "Not Found")</f>
        <v>3</v>
      </c>
      <c r="E332" s="10">
        <f>ROUND(_xlfn.XLOOKUP(b.nike.views[[#This Row],[product_ID]], a.nike.original.man[Product_ID], a.nike.original.man[Sale Price], "Not Found"), 0)</f>
        <v>144</v>
      </c>
      <c r="F332" s="5" t="str" cm="1">
        <f t="array" ref="F332">_xlfn.IFS(b.nike.views[[#This Row],[Sales_Price]]&lt;=9, "under $10",b.nike.views[[#This Row],[Sales_Price]]&lt;=20, "$20 and under",b.nike.views[[#This Row],[Sales_Price]]&lt;=50, "$50 and under", b.nike.views[[#This Row],[Sales_Price]]&lt;=99, "under $100", b.nike.views[[#This Row],[Sales_Price]]&gt;=100, "$100 +")</f>
        <v>$100 +</v>
      </c>
      <c r="G332">
        <f>COUNTIF(a.nike.original.man[Product_ID], A332)</f>
        <v>1</v>
      </c>
      <c r="H332" t="str" cm="1">
        <f t="array" ref="H332">_xlfn.IFS(b.nike.views[[#This Row],[Review_Count]]&lt;=7, "Below Average",b.nike.views[[#This Row],[Review_Count]]&gt;=8, "Average +")</f>
        <v>Below Average</v>
      </c>
      <c r="I332">
        <f>SUMIF(a.nike.original.man[Product_ID],b.nike.views[[#This Row],[product_ID]], a.nike.original.man[Reviews])</f>
        <v>4</v>
      </c>
      <c r="J332" s="41">
        <f>_xlfn.XLOOKUP(b.nike.views[[#This Row],[product_ID]],a.nike.original.man[Product_ID], a.nike.original.man[Discount %], "Not Found")</f>
        <v>0.2</v>
      </c>
      <c r="K332" s="41"/>
      <c r="L332" t="s">
        <v>1470</v>
      </c>
    </row>
    <row r="333" spans="1:12" x14ac:dyDescent="0.2">
      <c r="A333" t="s">
        <v>576</v>
      </c>
      <c r="B333" t="str">
        <f>_xlfn.XLOOKUP(b.nike.views[[#This Row],[product_ID]], a.nike.original.man[Product_ID], a.nike.original.man[Product Name], "Not Found")</f>
        <v>Nike Pegasus 36 FlyEase (Extra Wide)</v>
      </c>
      <c r="C333" s="5" t="str">
        <f>_xlfn.XLOOKUP(b.nike.views[[#This Row],[product_ID]], a.nike.original.man[Product_ID], a.nike.original.man[Rating_Group], "Not Found")</f>
        <v>3 - 3.9</v>
      </c>
      <c r="D333">
        <f>_xlfn.XLOOKUP(b.nike.views[[#This Row],[product_ID]], a.nike.original.man[Product_ID], a.nike.original.man[Rating], "Not Found")</f>
        <v>3</v>
      </c>
      <c r="E333" s="10">
        <f>ROUND(_xlfn.XLOOKUP(b.nike.views[[#This Row],[product_ID]], a.nike.original.man[Product_ID], a.nike.original.man[Sale Price], "Not Found"), 0)</f>
        <v>100</v>
      </c>
      <c r="F333" s="5" t="str" cm="1">
        <f t="array" ref="F333">_xlfn.IFS(b.nike.views[[#This Row],[Sales_Price]]&lt;=9, "under $10",b.nike.views[[#This Row],[Sales_Price]]&lt;=20, "$20 and under",b.nike.views[[#This Row],[Sales_Price]]&lt;=50, "$50 and under", b.nike.views[[#This Row],[Sales_Price]]&lt;=99, "under $100", b.nike.views[[#This Row],[Sales_Price]]&gt;=100, "$100 +")</f>
        <v>$100 +</v>
      </c>
      <c r="G333">
        <f>COUNTIF(a.nike.original.man[Product_ID], A333)</f>
        <v>1</v>
      </c>
      <c r="H333" t="str" cm="1">
        <f t="array" ref="H333">_xlfn.IFS(b.nike.views[[#This Row],[Review_Count]]&lt;=7, "Below Average",b.nike.views[[#This Row],[Review_Count]]&gt;=8, "Average +")</f>
        <v>Below Average</v>
      </c>
      <c r="I333">
        <f>SUMIF(a.nike.original.man[Product_ID],b.nike.views[[#This Row],[product_ID]], a.nike.original.man[Reviews])</f>
        <v>4</v>
      </c>
      <c r="J333" s="41">
        <f>_xlfn.XLOOKUP(b.nike.views[[#This Row],[product_ID]],a.nike.original.man[Product_ID], a.nike.original.man[Discount %], "Not Found")</f>
        <v>0</v>
      </c>
      <c r="K333" s="41"/>
      <c r="L333" t="s">
        <v>1470</v>
      </c>
    </row>
    <row r="334" spans="1:12" x14ac:dyDescent="0.2">
      <c r="A334" t="s">
        <v>1417</v>
      </c>
      <c r="B334" t="str">
        <f>_xlfn.XLOOKUP(b.nike.views[[#This Row],[product_ID]], a.nike.original.man[Product_ID], a.nike.original.man[Product Name], "Not Found")</f>
        <v>Nike Air Zoom Pegasus 36 FlyEase</v>
      </c>
      <c r="C334" s="5" t="str">
        <f>_xlfn.XLOOKUP(b.nike.views[[#This Row],[product_ID]], a.nike.original.man[Product_ID], a.nike.original.man[Rating_Group], "Not Found")</f>
        <v>3 - 3.9</v>
      </c>
      <c r="D334">
        <f>_xlfn.XLOOKUP(b.nike.views[[#This Row],[product_ID]], a.nike.original.man[Product_ID], a.nike.original.man[Rating], "Not Found")</f>
        <v>3</v>
      </c>
      <c r="E334" s="10">
        <f>ROUND(_xlfn.XLOOKUP(b.nike.views[[#This Row],[product_ID]], a.nike.original.man[Product_ID], a.nike.original.man[Sale Price], "Not Found"), 0)</f>
        <v>80</v>
      </c>
      <c r="F334" s="5" t="str" cm="1">
        <f t="array" ref="F334">_xlfn.IFS(b.nike.views[[#This Row],[Sales_Price]]&lt;=9, "under $10",b.nike.views[[#This Row],[Sales_Price]]&lt;=20, "$20 and under",b.nike.views[[#This Row],[Sales_Price]]&lt;=50, "$50 and under", b.nike.views[[#This Row],[Sales_Price]]&lt;=99, "under $100", b.nike.views[[#This Row],[Sales_Price]]&gt;=100, "$100 +")</f>
        <v>under $100</v>
      </c>
      <c r="G334">
        <f>COUNTIF(a.nike.original.man[Product_ID], A334)</f>
        <v>1</v>
      </c>
      <c r="H334" t="str" cm="1">
        <f t="array" ref="H334">_xlfn.IFS(b.nike.views[[#This Row],[Review_Count]]&lt;=7, "Below Average",b.nike.views[[#This Row],[Review_Count]]&gt;=8, "Average +")</f>
        <v>Below Average</v>
      </c>
      <c r="I334">
        <f>SUMIF(a.nike.original.man[Product_ID],b.nike.views[[#This Row],[product_ID]], a.nike.original.man[Reviews])</f>
        <v>4</v>
      </c>
      <c r="J334" s="41">
        <f>_xlfn.XLOOKUP(b.nike.views[[#This Row],[product_ID]],a.nike.original.man[Product_ID], a.nike.original.man[Discount %], "Not Found")</f>
        <v>0.2</v>
      </c>
      <c r="K334" s="41"/>
      <c r="L334" t="s">
        <v>1470</v>
      </c>
    </row>
    <row r="335" spans="1:12" x14ac:dyDescent="0.2">
      <c r="A335" t="s">
        <v>423</v>
      </c>
      <c r="B335" t="str">
        <f>_xlfn.XLOOKUP(b.nike.views[[#This Row],[product_ID]], a.nike.original.man[Product_ID], a.nike.original.man[Product Name], "Not Found")</f>
        <v>Nike TiempoX Lunar Legend VII Pro TF</v>
      </c>
      <c r="C335" s="5" t="str">
        <f>_xlfn.XLOOKUP(b.nike.views[[#This Row],[product_ID]], a.nike.original.man[Product_ID], a.nike.original.man[Rating_Group], "Not Found")</f>
        <v>3 - 3.9</v>
      </c>
      <c r="D335">
        <f>_xlfn.XLOOKUP(b.nike.views[[#This Row],[product_ID]], a.nike.original.man[Product_ID], a.nike.original.man[Rating], "Not Found")</f>
        <v>3</v>
      </c>
      <c r="E335" s="10">
        <f>ROUND(_xlfn.XLOOKUP(b.nike.views[[#This Row],[product_ID]], a.nike.original.man[Product_ID], a.nike.original.man[Sale Price], "Not Found"), 0)</f>
        <v>72</v>
      </c>
      <c r="F335" s="5" t="str" cm="1">
        <f t="array" ref="F335">_xlfn.IFS(b.nike.views[[#This Row],[Sales_Price]]&lt;=9, "under $10",b.nike.views[[#This Row],[Sales_Price]]&lt;=20, "$20 and under",b.nike.views[[#This Row],[Sales_Price]]&lt;=50, "$50 and under", b.nike.views[[#This Row],[Sales_Price]]&lt;=99, "under $100", b.nike.views[[#This Row],[Sales_Price]]&gt;=100, "$100 +")</f>
        <v>under $100</v>
      </c>
      <c r="G335">
        <f>COUNTIF(a.nike.original.man[Product_ID], A335)</f>
        <v>2</v>
      </c>
      <c r="H335" t="str" cm="1">
        <f t="array" ref="H335">_xlfn.IFS(b.nike.views[[#This Row],[Review_Count]]&lt;=7, "Below Average",b.nike.views[[#This Row],[Review_Count]]&gt;=8, "Average +")</f>
        <v>Below Average</v>
      </c>
      <c r="I335">
        <f>SUMIF(a.nike.original.man[Product_ID],b.nike.views[[#This Row],[product_ID]], a.nike.original.man[Reviews])</f>
        <v>2</v>
      </c>
      <c r="J335" s="41">
        <f>_xlfn.XLOOKUP(b.nike.views[[#This Row],[product_ID]],a.nike.original.man[Product_ID], a.nike.original.man[Discount %], "Not Found")</f>
        <v>0.2</v>
      </c>
      <c r="K335" s="41"/>
      <c r="L335" t="s">
        <v>1470</v>
      </c>
    </row>
    <row r="336" spans="1:12" x14ac:dyDescent="0.2">
      <c r="A336" t="s">
        <v>177</v>
      </c>
      <c r="B336" t="str">
        <f>_xlfn.XLOOKUP(b.nike.views[[#This Row],[product_ID]], a.nike.original.man[Product_ID], a.nike.original.man[Product Name], "Not Found")</f>
        <v>LeBron 17 Low</v>
      </c>
      <c r="C336" s="5" t="str">
        <f>_xlfn.XLOOKUP(b.nike.views[[#This Row],[product_ID]], a.nike.original.man[Product_ID], a.nike.original.man[Rating_Group], "Not Found")</f>
        <v>3 - 3.9</v>
      </c>
      <c r="D336">
        <f>_xlfn.XLOOKUP(b.nike.views[[#This Row],[product_ID]], a.nike.original.man[Product_ID], a.nike.original.man[Rating], "Not Found")</f>
        <v>3</v>
      </c>
      <c r="E336" s="10">
        <f>ROUND(_xlfn.XLOOKUP(b.nike.views[[#This Row],[product_ID]], a.nike.original.man[Product_ID], a.nike.original.man[Sale Price], "Not Found"), 0)</f>
        <v>140</v>
      </c>
      <c r="F336" s="5" t="str" cm="1">
        <f t="array" ref="F336">_xlfn.IFS(b.nike.views[[#This Row],[Sales_Price]]&lt;=9, "under $10",b.nike.views[[#This Row],[Sales_Price]]&lt;=20, "$20 and under",b.nike.views[[#This Row],[Sales_Price]]&lt;=50, "$50 and under", b.nike.views[[#This Row],[Sales_Price]]&lt;=99, "under $100", b.nike.views[[#This Row],[Sales_Price]]&gt;=100, "$100 +")</f>
        <v>$100 +</v>
      </c>
      <c r="G336">
        <f>COUNTIF(a.nike.original.man[Product_ID], A336)</f>
        <v>1</v>
      </c>
      <c r="H336" t="str" cm="1">
        <f t="array" ref="H336">_xlfn.IFS(b.nike.views[[#This Row],[Review_Count]]&lt;=7, "Below Average",b.nike.views[[#This Row],[Review_Count]]&gt;=8, "Average +")</f>
        <v>Below Average</v>
      </c>
      <c r="I336">
        <f>SUMIF(a.nike.original.man[Product_ID],b.nike.views[[#This Row],[product_ID]], a.nike.original.man[Reviews])</f>
        <v>2</v>
      </c>
      <c r="J336" s="41">
        <f>_xlfn.XLOOKUP(b.nike.views[[#This Row],[product_ID]],a.nike.original.man[Product_ID], a.nike.original.man[Discount %], "Not Found")</f>
        <v>0</v>
      </c>
      <c r="K336" s="41"/>
      <c r="L336" t="s">
        <v>1470</v>
      </c>
    </row>
    <row r="337" spans="1:12" x14ac:dyDescent="0.2">
      <c r="A337" t="s">
        <v>1151</v>
      </c>
      <c r="B337" t="str">
        <f>_xlfn.XLOOKUP(b.nike.views[[#This Row],[product_ID]], a.nike.original.man[Product_ID], a.nike.original.man[Product Name], "Not Found")</f>
        <v>Jordan 'Why Not?' Zer0.2 SE PF</v>
      </c>
      <c r="C337" s="5" t="str">
        <f>_xlfn.XLOOKUP(b.nike.views[[#This Row],[product_ID]], a.nike.original.man[Product_ID], a.nike.original.man[Rating_Group], "Not Found")</f>
        <v>3 - 3.9</v>
      </c>
      <c r="D337">
        <f>_xlfn.XLOOKUP(b.nike.views[[#This Row],[product_ID]], a.nike.original.man[Product_ID], a.nike.original.man[Rating], "Not Found")</f>
        <v>3</v>
      </c>
      <c r="E337" s="10">
        <f>ROUND(_xlfn.XLOOKUP(b.nike.views[[#This Row],[product_ID]], a.nike.original.man[Product_ID], a.nike.original.man[Sale Price], "Not Found"), 0)</f>
        <v>110</v>
      </c>
      <c r="F337" s="5" t="str" cm="1">
        <f t="array" ref="F337">_xlfn.IFS(b.nike.views[[#This Row],[Sales_Price]]&lt;=9, "under $10",b.nike.views[[#This Row],[Sales_Price]]&lt;=20, "$20 and under",b.nike.views[[#This Row],[Sales_Price]]&lt;=50, "$50 and under", b.nike.views[[#This Row],[Sales_Price]]&lt;=99, "under $100", b.nike.views[[#This Row],[Sales_Price]]&gt;=100, "$100 +")</f>
        <v>$100 +</v>
      </c>
      <c r="G337">
        <f>COUNTIF(a.nike.original.man[Product_ID], A337)</f>
        <v>1</v>
      </c>
      <c r="H337" t="str" cm="1">
        <f t="array" ref="H337">_xlfn.IFS(b.nike.views[[#This Row],[Review_Count]]&lt;=7, "Below Average",b.nike.views[[#This Row],[Review_Count]]&gt;=8, "Average +")</f>
        <v>Below Average</v>
      </c>
      <c r="I337">
        <f>SUMIF(a.nike.original.man[Product_ID],b.nike.views[[#This Row],[product_ID]], a.nike.original.man[Reviews])</f>
        <v>2</v>
      </c>
      <c r="J337" s="41">
        <f>_xlfn.XLOOKUP(b.nike.views[[#This Row],[product_ID]],a.nike.original.man[Product_ID], a.nike.original.man[Discount %], "Not Found")</f>
        <v>0</v>
      </c>
      <c r="K337" s="41"/>
      <c r="L337" t="s">
        <v>1470</v>
      </c>
    </row>
    <row r="338" spans="1:12" x14ac:dyDescent="0.2">
      <c r="A338" t="s">
        <v>1167</v>
      </c>
      <c r="B338" t="str">
        <f>_xlfn.XLOOKUP(b.nike.views[[#This Row],[product_ID]], a.nike.original.man[Product_ID], a.nike.original.man[Product Name], "Not Found")</f>
        <v>Nike M2K Tekno</v>
      </c>
      <c r="C338" s="5" t="str">
        <f>_xlfn.XLOOKUP(b.nike.views[[#This Row],[product_ID]], a.nike.original.man[Product_ID], a.nike.original.man[Rating_Group], "Not Found")</f>
        <v>3 - 3.9</v>
      </c>
      <c r="D338">
        <f>_xlfn.XLOOKUP(b.nike.views[[#This Row],[product_ID]], a.nike.original.man[Product_ID], a.nike.original.man[Rating], "Not Found")</f>
        <v>3</v>
      </c>
      <c r="E338" s="10">
        <f>ROUND(_xlfn.XLOOKUP(b.nike.views[[#This Row],[product_ID]], a.nike.original.man[Product_ID], a.nike.original.man[Sale Price], "Not Found"), 0)</f>
        <v>72</v>
      </c>
      <c r="F338" s="5" t="str" cm="1">
        <f t="array" ref="F338">_xlfn.IFS(b.nike.views[[#This Row],[Sales_Price]]&lt;=9, "under $10",b.nike.views[[#This Row],[Sales_Price]]&lt;=20, "$20 and under",b.nike.views[[#This Row],[Sales_Price]]&lt;=50, "$50 and under", b.nike.views[[#This Row],[Sales_Price]]&lt;=99, "under $100", b.nike.views[[#This Row],[Sales_Price]]&gt;=100, "$100 +")</f>
        <v>under $100</v>
      </c>
      <c r="G338">
        <f>COUNTIF(a.nike.original.man[Product_ID], A338)</f>
        <v>1</v>
      </c>
      <c r="H338" t="str" cm="1">
        <f t="array" ref="H338">_xlfn.IFS(b.nike.views[[#This Row],[Review_Count]]&lt;=7, "Below Average",b.nike.views[[#This Row],[Review_Count]]&gt;=8, "Average +")</f>
        <v>Below Average</v>
      </c>
      <c r="I338">
        <f>SUMIF(a.nike.original.man[Product_ID],b.nike.views[[#This Row],[product_ID]], a.nike.original.man[Reviews])</f>
        <v>1</v>
      </c>
      <c r="J338" s="41">
        <f>_xlfn.XLOOKUP(b.nike.views[[#This Row],[product_ID]],a.nike.original.man[Product_ID], a.nike.original.man[Discount %], "Not Found")</f>
        <v>0.2</v>
      </c>
      <c r="K338" s="41"/>
      <c r="L338" t="s">
        <v>1470</v>
      </c>
    </row>
    <row r="339" spans="1:12" x14ac:dyDescent="0.2">
      <c r="A339" t="s">
        <v>1209</v>
      </c>
      <c r="B339" t="str">
        <f>_xlfn.XLOOKUP(b.nike.views[[#This Row],[product_ID]], a.nike.original.man[Product_ID], a.nike.original.man[Product Name], "Not Found")</f>
        <v>Nike Air Max 720 SE</v>
      </c>
      <c r="C339" s="5" t="str">
        <f>_xlfn.XLOOKUP(b.nike.views[[#This Row],[product_ID]], a.nike.original.man[Product_ID], a.nike.original.man[Rating_Group], "Not Found")</f>
        <v>3 - 3.9</v>
      </c>
      <c r="D339">
        <f>_xlfn.XLOOKUP(b.nike.views[[#This Row],[product_ID]], a.nike.original.man[Product_ID], a.nike.original.man[Rating], "Not Found")</f>
        <v>3</v>
      </c>
      <c r="E339" s="10">
        <f>ROUND(_xlfn.XLOOKUP(b.nike.views[[#This Row],[product_ID]], a.nike.original.man[Product_ID], a.nike.original.man[Sale Price], "Not Found"), 0)</f>
        <v>160</v>
      </c>
      <c r="F339" s="5" t="str" cm="1">
        <f t="array" ref="F339">_xlfn.IFS(b.nike.views[[#This Row],[Sales_Price]]&lt;=9, "under $10",b.nike.views[[#This Row],[Sales_Price]]&lt;=20, "$20 and under",b.nike.views[[#This Row],[Sales_Price]]&lt;=50, "$50 and under", b.nike.views[[#This Row],[Sales_Price]]&lt;=99, "under $100", b.nike.views[[#This Row],[Sales_Price]]&gt;=100, "$100 +")</f>
        <v>$100 +</v>
      </c>
      <c r="G339">
        <f>COUNTIF(a.nike.original.man[Product_ID], A339)</f>
        <v>1</v>
      </c>
      <c r="H339" t="str" cm="1">
        <f t="array" ref="H339">_xlfn.IFS(b.nike.views[[#This Row],[Review_Count]]&lt;=7, "Below Average",b.nike.views[[#This Row],[Review_Count]]&gt;=8, "Average +")</f>
        <v>Below Average</v>
      </c>
      <c r="I339">
        <f>SUMIF(a.nike.original.man[Product_ID],b.nike.views[[#This Row],[product_ID]], a.nike.original.man[Reviews])</f>
        <v>1</v>
      </c>
      <c r="J339" s="41">
        <f>_xlfn.XLOOKUP(b.nike.views[[#This Row],[product_ID]],a.nike.original.man[Product_ID], a.nike.original.man[Discount %], "Not Found")</f>
        <v>0</v>
      </c>
      <c r="K339" s="41"/>
      <c r="L339" t="s">
        <v>1470</v>
      </c>
    </row>
    <row r="340" spans="1:12" x14ac:dyDescent="0.2">
      <c r="A340" t="s">
        <v>1455</v>
      </c>
      <c r="B340" t="str">
        <f>_xlfn.XLOOKUP(b.nike.views[[#This Row],[product_ID]], a.nike.original.man[Product_ID], a.nike.original.man[Product Name], "Not Found")</f>
        <v>Nike React Metcon AMP</v>
      </c>
      <c r="C340" s="5" t="str">
        <f>_xlfn.XLOOKUP(b.nike.views[[#This Row],[product_ID]], a.nike.original.man[Product_ID], a.nike.original.man[Rating_Group], "Not Found")</f>
        <v>3 - 3.9</v>
      </c>
      <c r="D340">
        <f>_xlfn.XLOOKUP(b.nike.views[[#This Row],[product_ID]], a.nike.original.man[Product_ID], a.nike.original.man[Rating], "Not Found")</f>
        <v>3</v>
      </c>
      <c r="E340" s="10">
        <f>ROUND(_xlfn.XLOOKUP(b.nike.views[[#This Row],[product_ID]], a.nike.original.man[Product_ID], a.nike.original.man[Sale Price], "Not Found"), 0)</f>
        <v>140</v>
      </c>
      <c r="F340" s="5" t="str" cm="1">
        <f t="array" ref="F340">_xlfn.IFS(b.nike.views[[#This Row],[Sales_Price]]&lt;=9, "under $10",b.nike.views[[#This Row],[Sales_Price]]&lt;=20, "$20 and under",b.nike.views[[#This Row],[Sales_Price]]&lt;=50, "$50 and under", b.nike.views[[#This Row],[Sales_Price]]&lt;=99, "under $100", b.nike.views[[#This Row],[Sales_Price]]&gt;=100, "$100 +")</f>
        <v>$100 +</v>
      </c>
      <c r="G340">
        <f>COUNTIF(a.nike.original.man[Product_ID], A340)</f>
        <v>1</v>
      </c>
      <c r="H340" t="str" cm="1">
        <f t="array" ref="H340">_xlfn.IFS(b.nike.views[[#This Row],[Review_Count]]&lt;=7, "Below Average",b.nike.views[[#This Row],[Review_Count]]&gt;=8, "Average +")</f>
        <v>Below Average</v>
      </c>
      <c r="I340">
        <f>SUMIF(a.nike.original.man[Product_ID],b.nike.views[[#This Row],[product_ID]], a.nike.original.man[Reviews])</f>
        <v>1</v>
      </c>
      <c r="J340" s="41">
        <f>_xlfn.XLOOKUP(b.nike.views[[#This Row],[product_ID]],a.nike.original.man[Product_ID], a.nike.original.man[Discount %], "Not Found")</f>
        <v>0</v>
      </c>
      <c r="K340" s="41"/>
      <c r="L340" t="s">
        <v>1470</v>
      </c>
    </row>
    <row r="341" spans="1:12" x14ac:dyDescent="0.2">
      <c r="A341" t="s">
        <v>864</v>
      </c>
      <c r="B341" t="str">
        <f>_xlfn.XLOOKUP(b.nike.views[[#This Row],[product_ID]], a.nike.original.man[Product_ID], a.nike.original.man[Product Name], "Not Found")</f>
        <v>Nike Air Max 2017</v>
      </c>
      <c r="C341" s="5" t="str">
        <f>_xlfn.XLOOKUP(b.nike.views[[#This Row],[product_ID]], a.nike.original.man[Product_ID], a.nike.original.man[Rating_Group], "Not Found")</f>
        <v>0 - 2.9</v>
      </c>
      <c r="D341">
        <f>_xlfn.XLOOKUP(b.nike.views[[#This Row],[product_ID]], a.nike.original.man[Product_ID], a.nike.original.man[Rating], "Not Found")</f>
        <v>2.9</v>
      </c>
      <c r="E341" s="10">
        <f>ROUND(_xlfn.XLOOKUP(b.nike.views[[#This Row],[product_ID]], a.nike.original.man[Product_ID], a.nike.original.man[Sale Price], "Not Found"), 0)</f>
        <v>160</v>
      </c>
      <c r="F341" s="5" t="str" cm="1">
        <f t="array" ref="F341">_xlfn.IFS(b.nike.views[[#This Row],[Sales_Price]]&lt;=9, "under $10",b.nike.views[[#This Row],[Sales_Price]]&lt;=20, "$20 and under",b.nike.views[[#This Row],[Sales_Price]]&lt;=50, "$50 and under", b.nike.views[[#This Row],[Sales_Price]]&lt;=99, "under $100", b.nike.views[[#This Row],[Sales_Price]]&gt;=100, "$100 +")</f>
        <v>$100 +</v>
      </c>
      <c r="G341">
        <f>COUNTIF(a.nike.original.man[Product_ID], A341)</f>
        <v>1</v>
      </c>
      <c r="H341" t="str" cm="1">
        <f t="array" ref="H341">_xlfn.IFS(b.nike.views[[#This Row],[Review_Count]]&lt;=7, "Below Average",b.nike.views[[#This Row],[Review_Count]]&gt;=8, "Average +")</f>
        <v>Average +</v>
      </c>
      <c r="I341">
        <f>SUMIF(a.nike.original.man[Product_ID],b.nike.views[[#This Row],[product_ID]], a.nike.original.man[Reviews])</f>
        <v>71</v>
      </c>
      <c r="J341" s="41">
        <f>_xlfn.XLOOKUP(b.nike.views[[#This Row],[product_ID]],a.nike.original.man[Product_ID], a.nike.original.man[Discount %], "Not Found")</f>
        <v>0</v>
      </c>
      <c r="K341" s="41"/>
      <c r="L341" t="s">
        <v>1470</v>
      </c>
    </row>
    <row r="342" spans="1:12" x14ac:dyDescent="0.2">
      <c r="A342" t="s">
        <v>272</v>
      </c>
      <c r="B342" t="str">
        <f>_xlfn.XLOOKUP(b.nike.views[[#This Row],[product_ID]], a.nike.original.man[Product_ID], a.nike.original.man[Product Name], "Not Found")</f>
        <v>Nike AlphaDunk</v>
      </c>
      <c r="C342" s="5" t="str">
        <f>_xlfn.XLOOKUP(b.nike.views[[#This Row],[product_ID]], a.nike.original.man[Product_ID], a.nike.original.man[Rating_Group], "Not Found")</f>
        <v>0 - 2.9</v>
      </c>
      <c r="D342">
        <f>_xlfn.XLOOKUP(b.nike.views[[#This Row],[product_ID]], a.nike.original.man[Product_ID], a.nike.original.man[Rating], "Not Found")</f>
        <v>2.9</v>
      </c>
      <c r="E342" s="10">
        <f>ROUND(_xlfn.XLOOKUP(b.nike.views[[#This Row],[product_ID]], a.nike.original.man[Product_ID], a.nike.original.man[Sale Price], "Not Found"), 0)</f>
        <v>112</v>
      </c>
      <c r="F342" s="5" t="str" cm="1">
        <f t="array" ref="F342">_xlfn.IFS(b.nike.views[[#This Row],[Sales_Price]]&lt;=9, "under $10",b.nike.views[[#This Row],[Sales_Price]]&lt;=20, "$20 and under",b.nike.views[[#This Row],[Sales_Price]]&lt;=50, "$50 and under", b.nike.views[[#This Row],[Sales_Price]]&lt;=99, "under $100", b.nike.views[[#This Row],[Sales_Price]]&gt;=100, "$100 +")</f>
        <v>$100 +</v>
      </c>
      <c r="G342">
        <f>COUNTIF(a.nike.original.man[Product_ID], A342)</f>
        <v>1</v>
      </c>
      <c r="H342" t="str" cm="1">
        <f t="array" ref="H342">_xlfn.IFS(b.nike.views[[#This Row],[Review_Count]]&lt;=7, "Below Average",b.nike.views[[#This Row],[Review_Count]]&gt;=8, "Average +")</f>
        <v>Average +</v>
      </c>
      <c r="I342">
        <f>SUMIF(a.nike.original.man[Product_ID],b.nike.views[[#This Row],[product_ID]], a.nike.original.man[Reviews])</f>
        <v>12</v>
      </c>
      <c r="J342" s="41">
        <f>_xlfn.XLOOKUP(b.nike.views[[#This Row],[product_ID]],a.nike.original.man[Product_ID], a.nike.original.man[Discount %], "Not Found")</f>
        <v>0.3</v>
      </c>
      <c r="K342" s="41"/>
      <c r="L342" t="s">
        <v>1470</v>
      </c>
    </row>
    <row r="343" spans="1:12" x14ac:dyDescent="0.2">
      <c r="A343" t="s">
        <v>1030</v>
      </c>
      <c r="B343" t="str">
        <f>_xlfn.XLOOKUP(b.nike.views[[#This Row],[product_ID]], a.nike.original.man[Product_ID], a.nike.original.man[Product Name], "Not Found")</f>
        <v>Nike Flex TR 9</v>
      </c>
      <c r="C343" s="5" t="str">
        <f>_xlfn.XLOOKUP(b.nike.views[[#This Row],[product_ID]], a.nike.original.man[Product_ID], a.nike.original.man[Rating_Group], "Not Found")</f>
        <v>0 - 2.9</v>
      </c>
      <c r="D343">
        <f>_xlfn.XLOOKUP(b.nike.views[[#This Row],[product_ID]], a.nike.original.man[Product_ID], a.nike.original.man[Rating], "Not Found")</f>
        <v>2.9</v>
      </c>
      <c r="E343" s="10">
        <f>ROUND(_xlfn.XLOOKUP(b.nike.views[[#This Row],[product_ID]], a.nike.original.man[Product_ID], a.nike.original.man[Sale Price], "Not Found"), 0)</f>
        <v>55</v>
      </c>
      <c r="F343" s="5" t="str" cm="1">
        <f t="array" ref="F343">_xlfn.IFS(b.nike.views[[#This Row],[Sales_Price]]&lt;=9, "under $10",b.nike.views[[#This Row],[Sales_Price]]&lt;=20, "$20 and under",b.nike.views[[#This Row],[Sales_Price]]&lt;=50, "$50 and under", b.nike.views[[#This Row],[Sales_Price]]&lt;=99, "under $100", b.nike.views[[#This Row],[Sales_Price]]&gt;=100, "$100 +")</f>
        <v>under $100</v>
      </c>
      <c r="G343">
        <f>COUNTIF(a.nike.original.man[Product_ID], A343)</f>
        <v>1</v>
      </c>
      <c r="H343" t="str" cm="1">
        <f t="array" ref="H343">_xlfn.IFS(b.nike.views[[#This Row],[Review_Count]]&lt;=7, "Below Average",b.nike.views[[#This Row],[Review_Count]]&gt;=8, "Average +")</f>
        <v>Average +</v>
      </c>
      <c r="I343">
        <f>SUMIF(a.nike.original.man[Product_ID],b.nike.views[[#This Row],[product_ID]], a.nike.original.man[Reviews])</f>
        <v>8</v>
      </c>
      <c r="J343" s="41">
        <f>_xlfn.XLOOKUP(b.nike.views[[#This Row],[product_ID]],a.nike.original.man[Product_ID], a.nike.original.man[Discount %], "Not Found")</f>
        <v>0</v>
      </c>
      <c r="K343" s="41"/>
      <c r="L343" t="s">
        <v>1470</v>
      </c>
    </row>
    <row r="344" spans="1:12" x14ac:dyDescent="0.2">
      <c r="A344" t="s">
        <v>1395</v>
      </c>
      <c r="B344" t="str">
        <f>_xlfn.XLOOKUP(b.nike.views[[#This Row],[product_ID]], a.nike.original.man[Product_ID], a.nike.original.man[Product Name], "Not Found")</f>
        <v>Nike Air Zoom Vomero 14</v>
      </c>
      <c r="C344" s="5" t="str">
        <f>_xlfn.XLOOKUP(b.nike.views[[#This Row],[product_ID]], a.nike.original.man[Product_ID], a.nike.original.man[Rating_Group], "Not Found")</f>
        <v>0 - 2.9</v>
      </c>
      <c r="D344">
        <f>_xlfn.XLOOKUP(b.nike.views[[#This Row],[product_ID]], a.nike.original.man[Product_ID], a.nike.original.man[Rating], "Not Found")</f>
        <v>2.8</v>
      </c>
      <c r="E344" s="10">
        <f>ROUND(_xlfn.XLOOKUP(b.nike.views[[#This Row],[product_ID]], a.nike.original.man[Product_ID], a.nike.original.man[Sale Price], "Not Found"), 0)</f>
        <v>96</v>
      </c>
      <c r="F344" s="5" t="str" cm="1">
        <f t="array" ref="F344">_xlfn.IFS(b.nike.views[[#This Row],[Sales_Price]]&lt;=9, "under $10",b.nike.views[[#This Row],[Sales_Price]]&lt;=20, "$20 and under",b.nike.views[[#This Row],[Sales_Price]]&lt;=50, "$50 and under", b.nike.views[[#This Row],[Sales_Price]]&lt;=99, "under $100", b.nike.views[[#This Row],[Sales_Price]]&gt;=100, "$100 +")</f>
        <v>under $100</v>
      </c>
      <c r="G344">
        <f>COUNTIF(a.nike.original.man[Product_ID], A344)</f>
        <v>1</v>
      </c>
      <c r="H344" t="str" cm="1">
        <f t="array" ref="H344">_xlfn.IFS(b.nike.views[[#This Row],[Review_Count]]&lt;=7, "Below Average",b.nike.views[[#This Row],[Review_Count]]&gt;=8, "Average +")</f>
        <v>Average +</v>
      </c>
      <c r="I344">
        <f>SUMIF(a.nike.original.man[Product_ID],b.nike.views[[#This Row],[product_ID]], a.nike.original.man[Reviews])</f>
        <v>11</v>
      </c>
      <c r="J344" s="41">
        <f>_xlfn.XLOOKUP(b.nike.views[[#This Row],[product_ID]],a.nike.original.man[Product_ID], a.nike.original.man[Discount %], "Not Found")</f>
        <v>0.2</v>
      </c>
      <c r="K344" s="41"/>
      <c r="L344" t="s">
        <v>1470</v>
      </c>
    </row>
    <row r="345" spans="1:12" x14ac:dyDescent="0.2">
      <c r="A345" t="s">
        <v>257</v>
      </c>
      <c r="B345" t="str">
        <f>_xlfn.XLOOKUP(b.nike.views[[#This Row],[product_ID]], a.nike.original.man[Product_ID], a.nike.original.man[Product Name], "Not Found")</f>
        <v>Nike Phantom Venom Academy FG</v>
      </c>
      <c r="C345" s="5" t="str">
        <f>_xlfn.XLOOKUP(b.nike.views[[#This Row],[product_ID]], a.nike.original.man[Product_ID], a.nike.original.man[Rating_Group], "Not Found")</f>
        <v>0 - 2.9</v>
      </c>
      <c r="D345">
        <f>_xlfn.XLOOKUP(b.nike.views[[#This Row],[product_ID]], a.nike.original.man[Product_ID], a.nike.original.man[Rating], "Not Found")</f>
        <v>2.8</v>
      </c>
      <c r="E345" s="10">
        <f>ROUND(_xlfn.XLOOKUP(b.nike.views[[#This Row],[product_ID]], a.nike.original.man[Product_ID], a.nike.original.man[Sale Price], "Not Found"), 0)</f>
        <v>75</v>
      </c>
      <c r="F345" s="5" t="str" cm="1">
        <f t="array" ref="F345">_xlfn.IFS(b.nike.views[[#This Row],[Sales_Price]]&lt;=9, "under $10",b.nike.views[[#This Row],[Sales_Price]]&lt;=20, "$20 and under",b.nike.views[[#This Row],[Sales_Price]]&lt;=50, "$50 and under", b.nike.views[[#This Row],[Sales_Price]]&lt;=99, "under $100", b.nike.views[[#This Row],[Sales_Price]]&gt;=100, "$100 +")</f>
        <v>under $100</v>
      </c>
      <c r="G345">
        <f>COUNTIF(a.nike.original.man[Product_ID], A345)</f>
        <v>2</v>
      </c>
      <c r="H345" t="str" cm="1">
        <f t="array" ref="H345">_xlfn.IFS(b.nike.views[[#This Row],[Review_Count]]&lt;=7, "Below Average",b.nike.views[[#This Row],[Review_Count]]&gt;=8, "Average +")</f>
        <v>Average +</v>
      </c>
      <c r="I345">
        <f>SUMIF(a.nike.original.man[Product_ID],b.nike.views[[#This Row],[product_ID]], a.nike.original.man[Reviews])</f>
        <v>10</v>
      </c>
      <c r="J345" s="41">
        <f>_xlfn.XLOOKUP(b.nike.views[[#This Row],[product_ID]],a.nike.original.man[Product_ID], a.nike.original.man[Discount %], "Not Found")</f>
        <v>0</v>
      </c>
      <c r="K345" s="41"/>
      <c r="L345" t="s">
        <v>1470</v>
      </c>
    </row>
    <row r="346" spans="1:12" x14ac:dyDescent="0.2">
      <c r="A346" t="s">
        <v>1391</v>
      </c>
      <c r="B346" t="str">
        <f>_xlfn.XLOOKUP(b.nike.views[[#This Row],[product_ID]], a.nike.original.man[Product_ID], a.nike.original.man[Product Name], "Not Found")</f>
        <v>Nike Legend React</v>
      </c>
      <c r="C346" s="5" t="str">
        <f>_xlfn.XLOOKUP(b.nike.views[[#This Row],[product_ID]], a.nike.original.man[Product_ID], a.nike.original.man[Rating_Group], "Not Found")</f>
        <v>0 - 2.9</v>
      </c>
      <c r="D346">
        <f>_xlfn.XLOOKUP(b.nike.views[[#This Row],[product_ID]], a.nike.original.man[Product_ID], a.nike.original.man[Rating], "Not Found")</f>
        <v>2.7</v>
      </c>
      <c r="E346" s="10">
        <f>ROUND(_xlfn.XLOOKUP(b.nike.views[[#This Row],[product_ID]], a.nike.original.man[Product_ID], a.nike.original.man[Sale Price], "Not Found"), 0)</f>
        <v>88</v>
      </c>
      <c r="F346" s="5" t="str" cm="1">
        <f t="array" ref="F346">_xlfn.IFS(b.nike.views[[#This Row],[Sales_Price]]&lt;=9, "under $10",b.nike.views[[#This Row],[Sales_Price]]&lt;=20, "$20 and under",b.nike.views[[#This Row],[Sales_Price]]&lt;=50, "$50 and under", b.nike.views[[#This Row],[Sales_Price]]&lt;=99, "under $100", b.nike.views[[#This Row],[Sales_Price]]&gt;=100, "$100 +")</f>
        <v>under $100</v>
      </c>
      <c r="G346">
        <f>COUNTIF(a.nike.original.man[Product_ID], A346)</f>
        <v>1</v>
      </c>
      <c r="H346" t="str" cm="1">
        <f t="array" ref="H346">_xlfn.IFS(b.nike.views[[#This Row],[Review_Count]]&lt;=7, "Below Average",b.nike.views[[#This Row],[Review_Count]]&gt;=8, "Average +")</f>
        <v>Average +</v>
      </c>
      <c r="I346">
        <f>SUMIF(a.nike.original.man[Product_ID],b.nike.views[[#This Row],[product_ID]], a.nike.original.man[Reviews])</f>
        <v>19</v>
      </c>
      <c r="J346" s="41">
        <f>_xlfn.XLOOKUP(b.nike.views[[#This Row],[product_ID]],a.nike.original.man[Product_ID], a.nike.original.man[Discount %], "Not Found")</f>
        <v>0</v>
      </c>
      <c r="K346" s="41"/>
      <c r="L346" t="s">
        <v>1470</v>
      </c>
    </row>
    <row r="347" spans="1:12" x14ac:dyDescent="0.2">
      <c r="A347" t="s">
        <v>32</v>
      </c>
      <c r="B347" t="str">
        <f>_xlfn.XLOOKUP(b.nike.views[[#This Row],[product_ID]], a.nike.original.man[Product_ID], a.nike.original.man[Product Name], "Not Found")</f>
        <v>Nike Zoom Pegasus Turbo 2</v>
      </c>
      <c r="C347" s="5" t="str">
        <f>_xlfn.XLOOKUP(b.nike.views[[#This Row],[product_ID]], a.nike.original.man[Product_ID], a.nike.original.man[Rating_Group], "Not Found")</f>
        <v>0 - 2.9</v>
      </c>
      <c r="D347">
        <f>_xlfn.XLOOKUP(b.nike.views[[#This Row],[product_ID]], a.nike.original.man[Product_ID], a.nike.original.man[Rating], "Not Found")</f>
        <v>2.7</v>
      </c>
      <c r="E347" s="10">
        <f>ROUND(_xlfn.XLOOKUP(b.nike.views[[#This Row],[product_ID]], a.nike.original.man[Product_ID], a.nike.original.man[Sale Price], "Not Found"), 0)</f>
        <v>160</v>
      </c>
      <c r="F347" s="5" t="str" cm="1">
        <f t="array" ref="F347">_xlfn.IFS(b.nike.views[[#This Row],[Sales_Price]]&lt;=9, "under $10",b.nike.views[[#This Row],[Sales_Price]]&lt;=20, "$20 and under",b.nike.views[[#This Row],[Sales_Price]]&lt;=50, "$50 and under", b.nike.views[[#This Row],[Sales_Price]]&lt;=99, "under $100", b.nike.views[[#This Row],[Sales_Price]]&gt;=100, "$100 +")</f>
        <v>$100 +</v>
      </c>
      <c r="G347">
        <f>COUNTIF(a.nike.original.man[Product_ID], A347)</f>
        <v>1</v>
      </c>
      <c r="H347" t="str" cm="1">
        <f t="array" ref="H347">_xlfn.IFS(b.nike.views[[#This Row],[Review_Count]]&lt;=7, "Below Average",b.nike.views[[#This Row],[Review_Count]]&gt;=8, "Average +")</f>
        <v>Average +</v>
      </c>
      <c r="I347">
        <f>SUMIF(a.nike.original.man[Product_ID],b.nike.views[[#This Row],[product_ID]], a.nike.original.man[Reviews])</f>
        <v>14</v>
      </c>
      <c r="J347" s="41">
        <f>_xlfn.XLOOKUP(b.nike.views[[#This Row],[product_ID]],a.nike.original.man[Product_ID], a.nike.original.man[Discount %], "Not Found")</f>
        <v>0</v>
      </c>
      <c r="K347" s="41"/>
      <c r="L347" t="s">
        <v>1470</v>
      </c>
    </row>
    <row r="348" spans="1:12" x14ac:dyDescent="0.2">
      <c r="A348" t="s">
        <v>1073</v>
      </c>
      <c r="B348" t="str">
        <f>_xlfn.XLOOKUP(b.nike.views[[#This Row],[product_ID]], a.nike.original.man[Product_ID], a.nike.original.man[Product Name], "Not Found")</f>
        <v>Nike Zoom Pegasus Turbo 2</v>
      </c>
      <c r="C348" s="5" t="str">
        <f>_xlfn.XLOOKUP(b.nike.views[[#This Row],[product_ID]], a.nike.original.man[Product_ID], a.nike.original.man[Rating_Group], "Not Found")</f>
        <v>0 - 2.9</v>
      </c>
      <c r="D348">
        <f>_xlfn.XLOOKUP(b.nike.views[[#This Row],[product_ID]], a.nike.original.man[Product_ID], a.nike.original.man[Rating], "Not Found")</f>
        <v>2.7</v>
      </c>
      <c r="E348" s="10">
        <f>ROUND(_xlfn.XLOOKUP(b.nike.views[[#This Row],[product_ID]], a.nike.original.man[Product_ID], a.nike.original.man[Sale Price], "Not Found"), 0)</f>
        <v>128</v>
      </c>
      <c r="F348" s="5" t="str" cm="1">
        <f t="array" ref="F348">_xlfn.IFS(b.nike.views[[#This Row],[Sales_Price]]&lt;=9, "under $10",b.nike.views[[#This Row],[Sales_Price]]&lt;=20, "$20 and under",b.nike.views[[#This Row],[Sales_Price]]&lt;=50, "$50 and under", b.nike.views[[#This Row],[Sales_Price]]&lt;=99, "under $100", b.nike.views[[#This Row],[Sales_Price]]&gt;=100, "$100 +")</f>
        <v>$100 +</v>
      </c>
      <c r="G348">
        <f>COUNTIF(a.nike.original.man[Product_ID], A348)</f>
        <v>1</v>
      </c>
      <c r="H348" t="str" cm="1">
        <f t="array" ref="H348">_xlfn.IFS(b.nike.views[[#This Row],[Review_Count]]&lt;=7, "Below Average",b.nike.views[[#This Row],[Review_Count]]&gt;=8, "Average +")</f>
        <v>Below Average</v>
      </c>
      <c r="I348">
        <f>SUMIF(a.nike.original.man[Product_ID],b.nike.views[[#This Row],[product_ID]], a.nike.original.man[Reviews])</f>
        <v>3</v>
      </c>
      <c r="J348" s="41">
        <f>_xlfn.XLOOKUP(b.nike.views[[#This Row],[product_ID]],a.nike.original.man[Product_ID], a.nike.original.man[Discount %], "Not Found")</f>
        <v>0.2</v>
      </c>
      <c r="K348" s="41"/>
      <c r="L348" t="s">
        <v>1470</v>
      </c>
    </row>
    <row r="349" spans="1:12" x14ac:dyDescent="0.2">
      <c r="A349" t="s">
        <v>227</v>
      </c>
      <c r="B349" t="str">
        <f>_xlfn.XLOOKUP(b.nike.views[[#This Row],[product_ID]], a.nike.original.man[Product_ID], a.nike.original.man[Product Name], "Not Found")</f>
        <v>NikeCourt Air Max Wildcard</v>
      </c>
      <c r="C349" s="5" t="str">
        <f>_xlfn.XLOOKUP(b.nike.views[[#This Row],[product_ID]], a.nike.original.man[Product_ID], a.nike.original.man[Rating_Group], "Not Found")</f>
        <v>0 - 2.9</v>
      </c>
      <c r="D349">
        <f>_xlfn.XLOOKUP(b.nike.views[[#This Row],[product_ID]], a.nike.original.man[Product_ID], a.nike.original.man[Rating], "Not Found")</f>
        <v>2.7</v>
      </c>
      <c r="E349" s="10">
        <f>ROUND(_xlfn.XLOOKUP(b.nike.views[[#This Row],[product_ID]], a.nike.original.man[Product_ID], a.nike.original.man[Sale Price], "Not Found"), 0)</f>
        <v>80</v>
      </c>
      <c r="F349" s="5" t="str" cm="1">
        <f t="array" ref="F349">_xlfn.IFS(b.nike.views[[#This Row],[Sales_Price]]&lt;=9, "under $10",b.nike.views[[#This Row],[Sales_Price]]&lt;=20, "$20 and under",b.nike.views[[#This Row],[Sales_Price]]&lt;=50, "$50 and under", b.nike.views[[#This Row],[Sales_Price]]&lt;=99, "under $100", b.nike.views[[#This Row],[Sales_Price]]&gt;=100, "$100 +")</f>
        <v>under $100</v>
      </c>
      <c r="G349">
        <f>COUNTIF(a.nike.original.man[Product_ID], A349)</f>
        <v>1</v>
      </c>
      <c r="H349" t="str" cm="1">
        <f t="array" ref="H349">_xlfn.IFS(b.nike.views[[#This Row],[Review_Count]]&lt;=7, "Below Average",b.nike.views[[#This Row],[Review_Count]]&gt;=8, "Average +")</f>
        <v>Below Average</v>
      </c>
      <c r="I349">
        <f>SUMIF(a.nike.original.man[Product_ID],b.nike.views[[#This Row],[product_ID]], a.nike.original.man[Reviews])</f>
        <v>3</v>
      </c>
      <c r="J349" s="41">
        <f>_xlfn.XLOOKUP(b.nike.views[[#This Row],[product_ID]],a.nike.original.man[Product_ID], a.nike.original.man[Discount %], "Not Found")</f>
        <v>0</v>
      </c>
      <c r="K349" s="41"/>
      <c r="L349" t="s">
        <v>1470</v>
      </c>
    </row>
    <row r="350" spans="1:12" x14ac:dyDescent="0.2">
      <c r="A350" t="s">
        <v>1048</v>
      </c>
      <c r="B350" t="str">
        <f>_xlfn.XLOOKUP(b.nike.views[[#This Row],[product_ID]], a.nike.original.man[Product_ID], a.nike.original.man[Product Name], "Not Found")</f>
        <v>Nike Signal D/MS/X</v>
      </c>
      <c r="C350" s="5" t="str">
        <f>_xlfn.XLOOKUP(b.nike.views[[#This Row],[product_ID]], a.nike.original.man[Product_ID], a.nike.original.man[Rating_Group], "Not Found")</f>
        <v>0 - 2.9</v>
      </c>
      <c r="D350">
        <f>_xlfn.XLOOKUP(b.nike.views[[#This Row],[product_ID]], a.nike.original.man[Product_ID], a.nike.original.man[Rating], "Not Found")</f>
        <v>2.7</v>
      </c>
      <c r="E350" s="10">
        <f>ROUND(_xlfn.XLOOKUP(b.nike.views[[#This Row],[product_ID]], a.nike.original.man[Product_ID], a.nike.original.man[Sale Price], "Not Found"), 0)</f>
        <v>77</v>
      </c>
      <c r="F350" s="5" t="str" cm="1">
        <f t="array" ref="F350">_xlfn.IFS(b.nike.views[[#This Row],[Sales_Price]]&lt;=9, "under $10",b.nike.views[[#This Row],[Sales_Price]]&lt;=20, "$20 and under",b.nike.views[[#This Row],[Sales_Price]]&lt;=50, "$50 and under", b.nike.views[[#This Row],[Sales_Price]]&lt;=99, "under $100", b.nike.views[[#This Row],[Sales_Price]]&gt;=100, "$100 +")</f>
        <v>under $100</v>
      </c>
      <c r="G350">
        <f>COUNTIF(a.nike.original.man[Product_ID], A350)</f>
        <v>1</v>
      </c>
      <c r="H350" t="str" cm="1">
        <f t="array" ref="H350">_xlfn.IFS(b.nike.views[[#This Row],[Review_Count]]&lt;=7, "Below Average",b.nike.views[[#This Row],[Review_Count]]&gt;=8, "Average +")</f>
        <v>Below Average</v>
      </c>
      <c r="I350">
        <f>SUMIF(a.nike.original.man[Product_ID],b.nike.views[[#This Row],[product_ID]], a.nike.original.man[Reviews])</f>
        <v>3</v>
      </c>
      <c r="J350" s="41">
        <f>_xlfn.XLOOKUP(b.nike.views[[#This Row],[product_ID]],a.nike.original.man[Product_ID], a.nike.original.man[Discount %], "Not Found")</f>
        <v>0.3</v>
      </c>
      <c r="K350" s="41"/>
      <c r="L350" t="s">
        <v>1470</v>
      </c>
    </row>
    <row r="351" spans="1:12" x14ac:dyDescent="0.2">
      <c r="A351" t="s">
        <v>246</v>
      </c>
      <c r="B351" t="str">
        <f>_xlfn.XLOOKUP(b.nike.views[[#This Row],[product_ID]], a.nike.original.man[Product_ID], a.nike.original.man[Product Name], "Not Found")</f>
        <v>Nike SB Air Max Stefan Janoski 2</v>
      </c>
      <c r="C351" s="5" t="str">
        <f>_xlfn.XLOOKUP(b.nike.views[[#This Row],[product_ID]], a.nike.original.man[Product_ID], a.nike.original.man[Rating_Group], "Not Found")</f>
        <v>0 - 2.9</v>
      </c>
      <c r="D351">
        <f>_xlfn.XLOOKUP(b.nike.views[[#This Row],[product_ID]], a.nike.original.man[Product_ID], a.nike.original.man[Rating], "Not Found")</f>
        <v>2.6</v>
      </c>
      <c r="E351" s="10">
        <f>ROUND(_xlfn.XLOOKUP(b.nike.views[[#This Row],[product_ID]], a.nike.original.man[Product_ID], a.nike.original.man[Sale Price], "Not Found"), 0)</f>
        <v>100</v>
      </c>
      <c r="F351" s="5" t="str" cm="1">
        <f t="array" ref="F351">_xlfn.IFS(b.nike.views[[#This Row],[Sales_Price]]&lt;=9, "under $10",b.nike.views[[#This Row],[Sales_Price]]&lt;=20, "$20 and under",b.nike.views[[#This Row],[Sales_Price]]&lt;=50, "$50 and under", b.nike.views[[#This Row],[Sales_Price]]&lt;=99, "under $100", b.nike.views[[#This Row],[Sales_Price]]&gt;=100, "$100 +")</f>
        <v>$100 +</v>
      </c>
      <c r="G351">
        <f>COUNTIF(a.nike.original.man[Product_ID], A351)</f>
        <v>2</v>
      </c>
      <c r="H351" t="str" cm="1">
        <f t="array" ref="H351">_xlfn.IFS(b.nike.views[[#This Row],[Review_Count]]&lt;=7, "Below Average",b.nike.views[[#This Row],[Review_Count]]&gt;=8, "Average +")</f>
        <v>Average +</v>
      </c>
      <c r="I351">
        <f>SUMIF(a.nike.original.man[Product_ID],b.nike.views[[#This Row],[product_ID]], a.nike.original.man[Reviews])</f>
        <v>22</v>
      </c>
      <c r="J351" s="41">
        <f>_xlfn.XLOOKUP(b.nike.views[[#This Row],[product_ID]],a.nike.original.man[Product_ID], a.nike.original.man[Discount %], "Not Found")</f>
        <v>0</v>
      </c>
      <c r="K351" s="41"/>
      <c r="L351" t="s">
        <v>1470</v>
      </c>
    </row>
    <row r="352" spans="1:12" x14ac:dyDescent="0.2">
      <c r="A352" t="s">
        <v>263</v>
      </c>
      <c r="B352" t="str">
        <f>_xlfn.XLOOKUP(b.nike.views[[#This Row],[product_ID]], a.nike.original.man[Product_ID], a.nike.original.man[Product Name], "Not Found")</f>
        <v>Nike ACG Air Terra Antarktik</v>
      </c>
      <c r="C352" s="5" t="str">
        <f>_xlfn.XLOOKUP(b.nike.views[[#This Row],[product_ID]], a.nike.original.man[Product_ID], a.nike.original.man[Rating_Group], "Not Found")</f>
        <v>0 - 2.9</v>
      </c>
      <c r="D352">
        <f>_xlfn.XLOOKUP(b.nike.views[[#This Row],[product_ID]], a.nike.original.man[Product_ID], a.nike.original.man[Rating], "Not Found")</f>
        <v>2.6</v>
      </c>
      <c r="E352" s="10">
        <f>ROUND(_xlfn.XLOOKUP(b.nike.views[[#This Row],[product_ID]], a.nike.original.man[Product_ID], a.nike.original.man[Sale Price], "Not Found"), 0)</f>
        <v>160</v>
      </c>
      <c r="F352" s="5" t="str" cm="1">
        <f t="array" ref="F352">_xlfn.IFS(b.nike.views[[#This Row],[Sales_Price]]&lt;=9, "under $10",b.nike.views[[#This Row],[Sales_Price]]&lt;=20, "$20 and under",b.nike.views[[#This Row],[Sales_Price]]&lt;=50, "$50 and under", b.nike.views[[#This Row],[Sales_Price]]&lt;=99, "under $100", b.nike.views[[#This Row],[Sales_Price]]&gt;=100, "$100 +")</f>
        <v>$100 +</v>
      </c>
      <c r="G352">
        <f>COUNTIF(a.nike.original.man[Product_ID], A352)</f>
        <v>1</v>
      </c>
      <c r="H352" t="str" cm="1">
        <f t="array" ref="H352">_xlfn.IFS(b.nike.views[[#This Row],[Review_Count]]&lt;=7, "Below Average",b.nike.views[[#This Row],[Review_Count]]&gt;=8, "Average +")</f>
        <v>Average +</v>
      </c>
      <c r="I352">
        <f>SUMIF(a.nike.original.man[Product_ID],b.nike.views[[#This Row],[product_ID]], a.nike.original.man[Reviews])</f>
        <v>20</v>
      </c>
      <c r="J352" s="41">
        <f>_xlfn.XLOOKUP(b.nike.views[[#This Row],[product_ID]],a.nike.original.man[Product_ID], a.nike.original.man[Discount %], "Not Found")</f>
        <v>0</v>
      </c>
      <c r="K352" s="41"/>
      <c r="L352" t="s">
        <v>1470</v>
      </c>
    </row>
    <row r="353" spans="1:12" x14ac:dyDescent="0.2">
      <c r="A353" t="s">
        <v>829</v>
      </c>
      <c r="B353" t="str">
        <f>_xlfn.XLOOKUP(b.nike.views[[#This Row],[product_ID]], a.nike.original.man[Product_ID], a.nike.original.man[Product Name], "Not Found")</f>
        <v>NikeCourt Air Zoom Resistance</v>
      </c>
      <c r="C353" s="5" t="str">
        <f>_xlfn.XLOOKUP(b.nike.views[[#This Row],[product_ID]], a.nike.original.man[Product_ID], a.nike.original.man[Rating_Group], "Not Found")</f>
        <v>0 - 2.9</v>
      </c>
      <c r="D353">
        <f>_xlfn.XLOOKUP(b.nike.views[[#This Row],[product_ID]], a.nike.original.man[Product_ID], a.nike.original.man[Rating], "Not Found")</f>
        <v>2.5</v>
      </c>
      <c r="E353" s="10">
        <f>ROUND(_xlfn.XLOOKUP(b.nike.views[[#This Row],[product_ID]], a.nike.original.man[Product_ID], a.nike.original.man[Sale Price], "Not Found"), 0)</f>
        <v>56</v>
      </c>
      <c r="F353" s="5" t="str" cm="1">
        <f t="array" ref="F353">_xlfn.IFS(b.nike.views[[#This Row],[Sales_Price]]&lt;=9, "under $10",b.nike.views[[#This Row],[Sales_Price]]&lt;=20, "$20 and under",b.nike.views[[#This Row],[Sales_Price]]&lt;=50, "$50 and under", b.nike.views[[#This Row],[Sales_Price]]&lt;=99, "under $100", b.nike.views[[#This Row],[Sales_Price]]&gt;=100, "$100 +")</f>
        <v>under $100</v>
      </c>
      <c r="G353">
        <f>COUNTIF(a.nike.original.man[Product_ID], A353)</f>
        <v>1</v>
      </c>
      <c r="H353" t="str" cm="1">
        <f t="array" ref="H353">_xlfn.IFS(b.nike.views[[#This Row],[Review_Count]]&lt;=7, "Below Average",b.nike.views[[#This Row],[Review_Count]]&gt;=8, "Average +")</f>
        <v>Below Average</v>
      </c>
      <c r="I353">
        <f>SUMIF(a.nike.original.man[Product_ID],b.nike.views[[#This Row],[product_ID]], a.nike.original.man[Reviews])</f>
        <v>6</v>
      </c>
      <c r="J353" s="41">
        <f>_xlfn.XLOOKUP(b.nike.views[[#This Row],[product_ID]],a.nike.original.man[Product_ID], a.nike.original.man[Discount %], "Not Found")</f>
        <v>0.2</v>
      </c>
      <c r="K353" s="41"/>
      <c r="L353" t="s">
        <v>1470</v>
      </c>
    </row>
    <row r="354" spans="1:12" x14ac:dyDescent="0.2">
      <c r="A354" t="s">
        <v>978</v>
      </c>
      <c r="B354" t="str">
        <f>_xlfn.XLOOKUP(b.nike.views[[#This Row],[product_ID]], a.nike.original.man[Product_ID], a.nike.original.man[Product Name], "Not Found")</f>
        <v>Jordan Proto-Lyte</v>
      </c>
      <c r="C354" s="5" t="str">
        <f>_xlfn.XLOOKUP(b.nike.views[[#This Row],[product_ID]], a.nike.original.man[Product_ID], a.nike.original.man[Rating_Group], "Not Found")</f>
        <v>0 - 2.9</v>
      </c>
      <c r="D354">
        <f>_xlfn.XLOOKUP(b.nike.views[[#This Row],[product_ID]], a.nike.original.man[Product_ID], a.nike.original.man[Rating], "Not Found")</f>
        <v>2.4</v>
      </c>
      <c r="E354" s="10">
        <f>ROUND(_xlfn.XLOOKUP(b.nike.views[[#This Row],[product_ID]], a.nike.original.man[Product_ID], a.nike.original.man[Sale Price], "Not Found"), 0)</f>
        <v>64</v>
      </c>
      <c r="F354" s="5" t="str" cm="1">
        <f t="array" ref="F354">_xlfn.IFS(b.nike.views[[#This Row],[Sales_Price]]&lt;=9, "under $10",b.nike.views[[#This Row],[Sales_Price]]&lt;=20, "$20 and under",b.nike.views[[#This Row],[Sales_Price]]&lt;=50, "$50 and under", b.nike.views[[#This Row],[Sales_Price]]&lt;=99, "under $100", b.nike.views[[#This Row],[Sales_Price]]&gt;=100, "$100 +")</f>
        <v>under $100</v>
      </c>
      <c r="G354">
        <f>COUNTIF(a.nike.original.man[Product_ID], A354)</f>
        <v>1</v>
      </c>
      <c r="H354" t="str" cm="1">
        <f t="array" ref="H354">_xlfn.IFS(b.nike.views[[#This Row],[Review_Count]]&lt;=7, "Below Average",b.nike.views[[#This Row],[Review_Count]]&gt;=8, "Average +")</f>
        <v>Below Average</v>
      </c>
      <c r="I354">
        <f>SUMIF(a.nike.original.man[Product_ID],b.nike.views[[#This Row],[product_ID]], a.nike.original.man[Reviews])</f>
        <v>5</v>
      </c>
      <c r="J354" s="41">
        <f>_xlfn.XLOOKUP(b.nike.views[[#This Row],[product_ID]],a.nike.original.man[Product_ID], a.nike.original.man[Discount %], "Not Found")</f>
        <v>0.2</v>
      </c>
      <c r="K354" s="41"/>
      <c r="L354" t="s">
        <v>1470</v>
      </c>
    </row>
    <row r="355" spans="1:12" x14ac:dyDescent="0.2">
      <c r="A355" t="s">
        <v>1076</v>
      </c>
      <c r="B355" t="str">
        <f>_xlfn.XLOOKUP(b.nike.views[[#This Row],[product_ID]], a.nike.original.man[Product_ID], a.nike.original.man[Product Name], "Not Found")</f>
        <v>Nike Air VaporMax 360</v>
      </c>
      <c r="C355" s="5" t="str">
        <f>_xlfn.XLOOKUP(b.nike.views[[#This Row],[product_ID]], a.nike.original.man[Product_ID], a.nike.original.man[Rating_Group], "Not Found")</f>
        <v>0 - 2.9</v>
      </c>
      <c r="D355">
        <f>_xlfn.XLOOKUP(b.nike.views[[#This Row],[product_ID]], a.nike.original.man[Product_ID], a.nike.original.man[Rating], "Not Found")</f>
        <v>2.2000000000000002</v>
      </c>
      <c r="E355" s="10">
        <f>ROUND(_xlfn.XLOOKUP(b.nike.views[[#This Row],[product_ID]], a.nike.original.man[Product_ID], a.nike.original.man[Sale Price], "Not Found"), 0)</f>
        <v>190</v>
      </c>
      <c r="F355" s="5" t="str" cm="1">
        <f t="array" ref="F355">_xlfn.IFS(b.nike.views[[#This Row],[Sales_Price]]&lt;=9, "under $10",b.nike.views[[#This Row],[Sales_Price]]&lt;=20, "$20 and under",b.nike.views[[#This Row],[Sales_Price]]&lt;=50, "$50 and under", b.nike.views[[#This Row],[Sales_Price]]&lt;=99, "under $100", b.nike.views[[#This Row],[Sales_Price]]&gt;=100, "$100 +")</f>
        <v>$100 +</v>
      </c>
      <c r="G355">
        <f>COUNTIF(a.nike.original.man[Product_ID], A355)</f>
        <v>1</v>
      </c>
      <c r="H355" t="str" cm="1">
        <f t="array" ref="H355">_xlfn.IFS(b.nike.views[[#This Row],[Review_Count]]&lt;=7, "Below Average",b.nike.views[[#This Row],[Review_Count]]&gt;=8, "Average +")</f>
        <v>Below Average</v>
      </c>
      <c r="I355">
        <f>SUMIF(a.nike.original.man[Product_ID],b.nike.views[[#This Row],[product_ID]], a.nike.original.man[Reviews])</f>
        <v>5</v>
      </c>
      <c r="J355" s="41">
        <f>_xlfn.XLOOKUP(b.nike.views[[#This Row],[product_ID]],a.nike.original.man[Product_ID], a.nike.original.man[Discount %], "Not Found")</f>
        <v>0</v>
      </c>
      <c r="K355" s="41"/>
      <c r="L355" t="s">
        <v>1470</v>
      </c>
    </row>
    <row r="356" spans="1:12" x14ac:dyDescent="0.2">
      <c r="A356" t="s">
        <v>1027</v>
      </c>
      <c r="B356" t="str">
        <f>_xlfn.XLOOKUP(b.nike.views[[#This Row],[product_ID]], a.nike.original.man[Product_ID], a.nike.original.man[Product Name], "Not Found")</f>
        <v>Nike Tiempo Legend 8 Club IC</v>
      </c>
      <c r="C356" s="5" t="str">
        <f>_xlfn.XLOOKUP(b.nike.views[[#This Row],[product_ID]], a.nike.original.man[Product_ID], a.nike.original.man[Rating_Group], "Not Found")</f>
        <v>0 - 2.9</v>
      </c>
      <c r="D356">
        <f>_xlfn.XLOOKUP(b.nike.views[[#This Row],[product_ID]], a.nike.original.man[Product_ID], a.nike.original.man[Rating], "Not Found")</f>
        <v>2</v>
      </c>
      <c r="E356" s="10">
        <f>ROUND(_xlfn.XLOOKUP(b.nike.views[[#This Row],[product_ID]], a.nike.original.man[Product_ID], a.nike.original.man[Sale Price], "Not Found"), 0)</f>
        <v>31</v>
      </c>
      <c r="F356" s="5" t="str" cm="1">
        <f t="array" ref="F356">_xlfn.IFS(b.nike.views[[#This Row],[Sales_Price]]&lt;=9, "under $10",b.nike.views[[#This Row],[Sales_Price]]&lt;=20, "$20 and under",b.nike.views[[#This Row],[Sales_Price]]&lt;=50, "$50 and under", b.nike.views[[#This Row],[Sales_Price]]&lt;=99, "under $100", b.nike.views[[#This Row],[Sales_Price]]&gt;=100, "$100 +")</f>
        <v>$50 and under</v>
      </c>
      <c r="G356">
        <f>COUNTIF(a.nike.original.man[Product_ID], A356)</f>
        <v>2</v>
      </c>
      <c r="H356" t="str" cm="1">
        <f t="array" ref="H356">_xlfn.IFS(b.nike.views[[#This Row],[Review_Count]]&lt;=7, "Below Average",b.nike.views[[#This Row],[Review_Count]]&gt;=8, "Average +")</f>
        <v>Below Average</v>
      </c>
      <c r="I356">
        <f>SUMIF(a.nike.original.man[Product_ID],b.nike.views[[#This Row],[product_ID]], a.nike.original.man[Reviews])</f>
        <v>2</v>
      </c>
      <c r="J356" s="41">
        <f>_xlfn.XLOOKUP(b.nike.views[[#This Row],[product_ID]],a.nike.original.man[Product_ID], a.nike.original.man[Discount %], "Not Found")</f>
        <v>0.3</v>
      </c>
      <c r="K356" s="41"/>
      <c r="L356" t="s">
        <v>1470</v>
      </c>
    </row>
    <row r="357" spans="1:12" x14ac:dyDescent="0.2">
      <c r="A357" t="s">
        <v>460</v>
      </c>
      <c r="B357" t="str">
        <f>_xlfn.XLOOKUP(b.nike.views[[#This Row],[product_ID]], a.nike.original.man[Product_ID], a.nike.original.man[Product Name], "Not Found")</f>
        <v>Nike Blazer Low QS Flyleather with at least 50% leather fibre</v>
      </c>
      <c r="C357" s="5" t="str">
        <f>_xlfn.XLOOKUP(b.nike.views[[#This Row],[product_ID]], a.nike.original.man[Product_ID], a.nike.original.man[Rating_Group], "Not Found")</f>
        <v>0 - 2.9</v>
      </c>
      <c r="D357">
        <f>_xlfn.XLOOKUP(b.nike.views[[#This Row],[product_ID]], a.nike.original.man[Product_ID], a.nike.original.man[Rating], "Not Found")</f>
        <v>2</v>
      </c>
      <c r="E357" s="10">
        <f>ROUND(_xlfn.XLOOKUP(b.nike.views[[#This Row],[product_ID]], a.nike.original.man[Product_ID], a.nike.original.man[Sale Price], "Not Found"), 0)</f>
        <v>65</v>
      </c>
      <c r="F357" s="5" t="str" cm="1">
        <f t="array" ref="F357">_xlfn.IFS(b.nike.views[[#This Row],[Sales_Price]]&lt;=9, "under $10",b.nike.views[[#This Row],[Sales_Price]]&lt;=20, "$20 and under",b.nike.views[[#This Row],[Sales_Price]]&lt;=50, "$50 and under", b.nike.views[[#This Row],[Sales_Price]]&lt;=99, "under $100", b.nike.views[[#This Row],[Sales_Price]]&gt;=100, "$100 +")</f>
        <v>under $100</v>
      </c>
      <c r="G357">
        <f>COUNTIF(a.nike.original.man[Product_ID], A357)</f>
        <v>1</v>
      </c>
      <c r="H357" t="str" cm="1">
        <f t="array" ref="H357">_xlfn.IFS(b.nike.views[[#This Row],[Review_Count]]&lt;=7, "Below Average",b.nike.views[[#This Row],[Review_Count]]&gt;=8, "Average +")</f>
        <v>Below Average</v>
      </c>
      <c r="I357">
        <f>SUMIF(a.nike.original.man[Product_ID],b.nike.views[[#This Row],[product_ID]], a.nike.original.man[Reviews])</f>
        <v>2</v>
      </c>
      <c r="J357" s="41">
        <f>_xlfn.XLOOKUP(b.nike.views[[#This Row],[product_ID]],a.nike.original.man[Product_ID], a.nike.original.man[Discount %], "Not Found")</f>
        <v>0</v>
      </c>
      <c r="K357" s="41"/>
      <c r="L357" t="s">
        <v>1470</v>
      </c>
    </row>
    <row r="358" spans="1:12" x14ac:dyDescent="0.2">
      <c r="A358" t="s">
        <v>717</v>
      </c>
      <c r="B358" t="str">
        <f>_xlfn.XLOOKUP(b.nike.views[[#This Row],[product_ID]], a.nike.original.man[Product_ID], a.nike.original.man[Product Name], "Not Found")</f>
        <v>Nike Tiempo Legend 8 Academy MG</v>
      </c>
      <c r="C358" s="5" t="str">
        <f>_xlfn.XLOOKUP(b.nike.views[[#This Row],[product_ID]], a.nike.original.man[Product_ID], a.nike.original.man[Rating_Group], "Not Found")</f>
        <v>0 - 2.9</v>
      </c>
      <c r="D358">
        <f>_xlfn.XLOOKUP(b.nike.views[[#This Row],[product_ID]], a.nike.original.man[Product_ID], a.nike.original.man[Rating], "Not Found")</f>
        <v>2</v>
      </c>
      <c r="E358" s="10">
        <f>ROUND(_xlfn.XLOOKUP(b.nike.views[[#This Row],[product_ID]], a.nike.original.man[Product_ID], a.nike.original.man[Sale Price], "Not Found"), 0)</f>
        <v>65</v>
      </c>
      <c r="F358" s="5" t="str" cm="1">
        <f t="array" ref="F358">_xlfn.IFS(b.nike.views[[#This Row],[Sales_Price]]&lt;=9, "under $10",b.nike.views[[#This Row],[Sales_Price]]&lt;=20, "$20 and under",b.nike.views[[#This Row],[Sales_Price]]&lt;=50, "$50 and under", b.nike.views[[#This Row],[Sales_Price]]&lt;=99, "under $100", b.nike.views[[#This Row],[Sales_Price]]&gt;=100, "$100 +")</f>
        <v>under $100</v>
      </c>
      <c r="G358">
        <f>COUNTIF(a.nike.original.man[Product_ID], A358)</f>
        <v>1</v>
      </c>
      <c r="H358" t="str" cm="1">
        <f t="array" ref="H358">_xlfn.IFS(b.nike.views[[#This Row],[Review_Count]]&lt;=7, "Below Average",b.nike.views[[#This Row],[Review_Count]]&gt;=8, "Average +")</f>
        <v>Below Average</v>
      </c>
      <c r="I358">
        <f>SUMIF(a.nike.original.man[Product_ID],b.nike.views[[#This Row],[product_ID]], a.nike.original.man[Reviews])</f>
        <v>1</v>
      </c>
      <c r="J358" s="41">
        <f>_xlfn.XLOOKUP(b.nike.views[[#This Row],[product_ID]],a.nike.original.man[Product_ID], a.nike.original.man[Discount %], "Not Found")</f>
        <v>0</v>
      </c>
      <c r="K358" s="41"/>
      <c r="L358" t="s">
        <v>1470</v>
      </c>
    </row>
    <row r="359" spans="1:12" x14ac:dyDescent="0.2">
      <c r="A359" t="s">
        <v>1188</v>
      </c>
      <c r="B359" t="str">
        <f>_xlfn.XLOOKUP(b.nike.views[[#This Row],[product_ID]], a.nike.original.man[Product_ID], a.nike.original.man[Product Name], "Not Found")</f>
        <v>Nike Tiempo Legend 8 Academy MG</v>
      </c>
      <c r="C359" s="5" t="str">
        <f>_xlfn.XLOOKUP(b.nike.views[[#This Row],[product_ID]], a.nike.original.man[Product_ID], a.nike.original.man[Rating_Group], "Not Found")</f>
        <v>0 - 2.9</v>
      </c>
      <c r="D359">
        <f>_xlfn.XLOOKUP(b.nike.views[[#This Row],[product_ID]], a.nike.original.man[Product_ID], a.nike.original.man[Rating], "Not Found")</f>
        <v>2</v>
      </c>
      <c r="E359" s="10">
        <f>ROUND(_xlfn.XLOOKUP(b.nike.views[[#This Row],[product_ID]], a.nike.original.man[Product_ID], a.nike.original.man[Sale Price], "Not Found"), 0)</f>
        <v>45</v>
      </c>
      <c r="F359" s="5" t="str" cm="1">
        <f t="array" ref="F359">_xlfn.IFS(b.nike.views[[#This Row],[Sales_Price]]&lt;=9, "under $10",b.nike.views[[#This Row],[Sales_Price]]&lt;=20, "$20 and under",b.nike.views[[#This Row],[Sales_Price]]&lt;=50, "$50 and under", b.nike.views[[#This Row],[Sales_Price]]&lt;=99, "under $100", b.nike.views[[#This Row],[Sales_Price]]&gt;=100, "$100 +")</f>
        <v>$50 and under</v>
      </c>
      <c r="G359">
        <f>COUNTIF(a.nike.original.man[Product_ID], A359)</f>
        <v>1</v>
      </c>
      <c r="H359" t="str" cm="1">
        <f t="array" ref="H359">_xlfn.IFS(b.nike.views[[#This Row],[Review_Count]]&lt;=7, "Below Average",b.nike.views[[#This Row],[Review_Count]]&gt;=8, "Average +")</f>
        <v>Below Average</v>
      </c>
      <c r="I359">
        <f>SUMIF(a.nike.original.man[Product_ID],b.nike.views[[#This Row],[product_ID]], a.nike.original.man[Reviews])</f>
        <v>1</v>
      </c>
      <c r="J359" s="41">
        <f>_xlfn.XLOOKUP(b.nike.views[[#This Row],[product_ID]],a.nike.original.man[Product_ID], a.nike.original.man[Discount %], "Not Found")</f>
        <v>0.3</v>
      </c>
      <c r="K359" s="41"/>
      <c r="L359" t="s">
        <v>1470</v>
      </c>
    </row>
    <row r="360" spans="1:12" x14ac:dyDescent="0.2">
      <c r="A360" t="s">
        <v>1124</v>
      </c>
      <c r="B360" t="str">
        <f>_xlfn.XLOOKUP(b.nike.views[[#This Row],[product_ID]], a.nike.original.man[Product_ID], a.nike.original.man[Product Name], "Not Found")</f>
        <v>NikeCourt Royale</v>
      </c>
      <c r="C360" s="5" t="str">
        <f>_xlfn.XLOOKUP(b.nike.views[[#This Row],[product_ID]], a.nike.original.man[Product_ID], a.nike.original.man[Rating_Group], "Not Found")</f>
        <v>0 - 2.9</v>
      </c>
      <c r="D360">
        <f>_xlfn.XLOOKUP(b.nike.views[[#This Row],[product_ID]], a.nike.original.man[Product_ID], a.nike.original.man[Rating], "Not Found")</f>
        <v>1.5</v>
      </c>
      <c r="E360" s="10">
        <f>ROUND(_xlfn.XLOOKUP(b.nike.views[[#This Row],[product_ID]], a.nike.original.man[Product_ID], a.nike.original.man[Sale Price], "Not Found"), 0)</f>
        <v>36</v>
      </c>
      <c r="F360" s="5" t="str" cm="1">
        <f t="array" ref="F360">_xlfn.IFS(b.nike.views[[#This Row],[Sales_Price]]&lt;=9, "under $10",b.nike.views[[#This Row],[Sales_Price]]&lt;=20, "$20 and under",b.nike.views[[#This Row],[Sales_Price]]&lt;=50, "$50 and under", b.nike.views[[#This Row],[Sales_Price]]&lt;=99, "under $100", b.nike.views[[#This Row],[Sales_Price]]&gt;=100, "$100 +")</f>
        <v>$50 and under</v>
      </c>
      <c r="G360">
        <f>COUNTIF(a.nike.original.man[Product_ID], A360)</f>
        <v>1</v>
      </c>
      <c r="H360" t="str" cm="1">
        <f t="array" ref="H360">_xlfn.IFS(b.nike.views[[#This Row],[Review_Count]]&lt;=7, "Below Average",b.nike.views[[#This Row],[Review_Count]]&gt;=8, "Average +")</f>
        <v>Below Average</v>
      </c>
      <c r="I360">
        <f>SUMIF(a.nike.original.man[Product_ID],b.nike.views[[#This Row],[product_ID]], a.nike.original.man[Reviews])</f>
        <v>2</v>
      </c>
      <c r="J360" s="41">
        <f>_xlfn.XLOOKUP(b.nike.views[[#This Row],[product_ID]],a.nike.original.man[Product_ID], a.nike.original.man[Discount %], "Not Found")</f>
        <v>0.2</v>
      </c>
      <c r="K360" s="41"/>
      <c r="L360" t="s">
        <v>1470</v>
      </c>
    </row>
    <row r="361" spans="1:12" x14ac:dyDescent="0.2">
      <c r="A361" t="s">
        <v>562</v>
      </c>
      <c r="B361" t="str">
        <f>_xlfn.XLOOKUP(b.nike.views[[#This Row],[product_ID]], a.nike.original.man[Product_ID], a.nike.original.man[Product Name], "Not Found")</f>
        <v>Nike SB Zoom Stefan Janoski Canvas RM Premium</v>
      </c>
      <c r="C361" s="5" t="str">
        <f>_xlfn.XLOOKUP(b.nike.views[[#This Row],[product_ID]], a.nike.original.man[Product_ID], a.nike.original.man[Rating_Group], "Not Found")</f>
        <v>0 - 2.9</v>
      </c>
      <c r="D361">
        <f>_xlfn.XLOOKUP(b.nike.views[[#This Row],[product_ID]], a.nike.original.man[Product_ID], a.nike.original.man[Rating], "Not Found")</f>
        <v>1</v>
      </c>
      <c r="E361" s="10">
        <f>ROUND(_xlfn.XLOOKUP(b.nike.views[[#This Row],[product_ID]], a.nike.original.man[Product_ID], a.nike.original.man[Sale Price], "Not Found"), 0)</f>
        <v>80</v>
      </c>
      <c r="F361" s="5" t="str" cm="1">
        <f t="array" ref="F361">_xlfn.IFS(b.nike.views[[#This Row],[Sales_Price]]&lt;=9, "under $10",b.nike.views[[#This Row],[Sales_Price]]&lt;=20, "$20 and under",b.nike.views[[#This Row],[Sales_Price]]&lt;=50, "$50 and under", b.nike.views[[#This Row],[Sales_Price]]&lt;=99, "under $100", b.nike.views[[#This Row],[Sales_Price]]&gt;=100, "$100 +")</f>
        <v>under $100</v>
      </c>
      <c r="G361">
        <f>COUNTIF(a.nike.original.man[Product_ID], A361)</f>
        <v>2</v>
      </c>
      <c r="H361" t="str" cm="1">
        <f t="array" ref="H361">_xlfn.IFS(b.nike.views[[#This Row],[Review_Count]]&lt;=7, "Below Average",b.nike.views[[#This Row],[Review_Count]]&gt;=8, "Average +")</f>
        <v>Below Average</v>
      </c>
      <c r="I361">
        <f>SUMIF(a.nike.original.man[Product_ID],b.nike.views[[#This Row],[product_ID]], a.nike.original.man[Reviews])</f>
        <v>2</v>
      </c>
      <c r="J361" s="41">
        <f>_xlfn.XLOOKUP(b.nike.views[[#This Row],[product_ID]],a.nike.original.man[Product_ID], a.nike.original.man[Discount %], "Not Found")</f>
        <v>0</v>
      </c>
      <c r="K361" s="41"/>
      <c r="L361" t="s">
        <v>1470</v>
      </c>
    </row>
    <row r="362" spans="1:12" x14ac:dyDescent="0.2">
      <c r="A362" t="s">
        <v>115</v>
      </c>
      <c r="B362" t="str">
        <f>_xlfn.XLOOKUP(b.nike.views[[#This Row],[product_ID]], a.nike.original.man[Product_ID], a.nike.original.man[Product Name], "Not Found")</f>
        <v>Nike Air Max Dia</v>
      </c>
      <c r="C362" s="5" t="str">
        <f>_xlfn.XLOOKUP(b.nike.views[[#This Row],[product_ID]], a.nike.original.man[Product_ID], a.nike.original.man[Rating_Group], "Not Found")</f>
        <v>0 - 2.9</v>
      </c>
      <c r="D362">
        <f>_xlfn.XLOOKUP(b.nike.views[[#This Row],[product_ID]], a.nike.original.man[Product_ID], a.nike.original.man[Rating], "Not Found")</f>
        <v>1</v>
      </c>
      <c r="E362" s="10">
        <f>ROUND(_xlfn.XLOOKUP(b.nike.views[[#This Row],[product_ID]], a.nike.original.man[Product_ID], a.nike.original.man[Sale Price], "Not Found"), 0)</f>
        <v>90</v>
      </c>
      <c r="F362" s="5" t="str" cm="1">
        <f t="array" ref="F362">_xlfn.IFS(b.nike.views[[#This Row],[Sales_Price]]&lt;=9, "under $10",b.nike.views[[#This Row],[Sales_Price]]&lt;=20, "$20 and under",b.nike.views[[#This Row],[Sales_Price]]&lt;=50, "$50 and under", b.nike.views[[#This Row],[Sales_Price]]&lt;=99, "under $100", b.nike.views[[#This Row],[Sales_Price]]&gt;=100, "$100 +")</f>
        <v>under $100</v>
      </c>
      <c r="G362">
        <f>COUNTIF(a.nike.original.man[Product_ID], A362)</f>
        <v>1</v>
      </c>
      <c r="H362" t="str" cm="1">
        <f t="array" ref="H362">_xlfn.IFS(b.nike.views[[#This Row],[Review_Count]]&lt;=7, "Below Average",b.nike.views[[#This Row],[Review_Count]]&gt;=8, "Average +")</f>
        <v>Below Average</v>
      </c>
      <c r="I362">
        <f>SUMIF(a.nike.original.man[Product_ID],b.nike.views[[#This Row],[product_ID]], a.nike.original.man[Reviews])</f>
        <v>1</v>
      </c>
      <c r="J362" s="41">
        <f>_xlfn.XLOOKUP(b.nike.views[[#This Row],[product_ID]],a.nike.original.man[Product_ID], a.nike.original.man[Discount %], "Not Found")</f>
        <v>0</v>
      </c>
      <c r="K362" s="41"/>
      <c r="L362" t="s">
        <v>1470</v>
      </c>
    </row>
    <row r="363" spans="1:12" x14ac:dyDescent="0.2">
      <c r="A363" t="s">
        <v>1090</v>
      </c>
      <c r="B363" t="str">
        <f>_xlfn.XLOOKUP(b.nike.views[[#This Row],[product_ID]], a.nike.original.man[Product_ID], a.nike.original.man[Product Name], "Not Found")</f>
        <v>Nike Air Max Dia LX</v>
      </c>
      <c r="C363" s="5" t="str">
        <f>_xlfn.XLOOKUP(b.nike.views[[#This Row],[product_ID]], a.nike.original.man[Product_ID], a.nike.original.man[Rating_Group], "Not Found")</f>
        <v>0 - 2.9</v>
      </c>
      <c r="D363">
        <f>_xlfn.XLOOKUP(b.nike.views[[#This Row],[product_ID]], a.nike.original.man[Product_ID], a.nike.original.man[Rating], "Not Found")</f>
        <v>1</v>
      </c>
      <c r="E363" s="10">
        <f>ROUND(_xlfn.XLOOKUP(b.nike.views[[#This Row],[product_ID]], a.nike.original.man[Product_ID], a.nike.original.man[Sale Price], "Not Found"), 0)</f>
        <v>80</v>
      </c>
      <c r="F363" s="5" t="str" cm="1">
        <f t="array" ref="F363">_xlfn.IFS(b.nike.views[[#This Row],[Sales_Price]]&lt;=9, "under $10",b.nike.views[[#This Row],[Sales_Price]]&lt;=20, "$20 and under",b.nike.views[[#This Row],[Sales_Price]]&lt;=50, "$50 and under", b.nike.views[[#This Row],[Sales_Price]]&lt;=99, "under $100", b.nike.views[[#This Row],[Sales_Price]]&gt;=100, "$100 +")</f>
        <v>under $100</v>
      </c>
      <c r="G363">
        <f>COUNTIF(a.nike.original.man[Product_ID], A363)</f>
        <v>1</v>
      </c>
      <c r="H363" t="str" cm="1">
        <f t="array" ref="H363">_xlfn.IFS(b.nike.views[[#This Row],[Review_Count]]&lt;=7, "Below Average",b.nike.views[[#This Row],[Review_Count]]&gt;=8, "Average +")</f>
        <v>Below Average</v>
      </c>
      <c r="I363">
        <f>SUMIF(a.nike.original.man[Product_ID],b.nike.views[[#This Row],[product_ID]], a.nike.original.man[Reviews])</f>
        <v>1</v>
      </c>
      <c r="J363" s="41">
        <f>_xlfn.XLOOKUP(b.nike.views[[#This Row],[product_ID]],a.nike.original.man[Product_ID], a.nike.original.man[Discount %], "Not Found")</f>
        <v>0.2</v>
      </c>
      <c r="K363" s="41"/>
      <c r="L363" t="s">
        <v>1470</v>
      </c>
    </row>
    <row r="364" spans="1:12" x14ac:dyDescent="0.2">
      <c r="A364" t="s">
        <v>1300</v>
      </c>
      <c r="B364" t="str">
        <f>_xlfn.XLOOKUP(b.nike.views[[#This Row],[product_ID]], a.nike.original.man[Product_ID], a.nike.original.man[Product Name], "Not Found")</f>
        <v>Nike Free TR Ultra</v>
      </c>
      <c r="C364" s="5" t="str">
        <f>_xlfn.XLOOKUP(b.nike.views[[#This Row],[product_ID]], a.nike.original.man[Product_ID], a.nike.original.man[Rating_Group], "Not Found")</f>
        <v>0 - 2.9</v>
      </c>
      <c r="D364">
        <f>_xlfn.XLOOKUP(b.nike.views[[#This Row],[product_ID]], a.nike.original.man[Product_ID], a.nike.original.man[Rating], "Not Found")</f>
        <v>1</v>
      </c>
      <c r="E364" s="10">
        <f>ROUND(_xlfn.XLOOKUP(b.nike.views[[#This Row],[product_ID]], a.nike.original.man[Product_ID], a.nike.original.man[Sale Price], "Not Found"), 0)</f>
        <v>64</v>
      </c>
      <c r="F364" s="5" t="str" cm="1">
        <f t="array" ref="F364">_xlfn.IFS(b.nike.views[[#This Row],[Sales_Price]]&lt;=9, "under $10",b.nike.views[[#This Row],[Sales_Price]]&lt;=20, "$20 and under",b.nike.views[[#This Row],[Sales_Price]]&lt;=50, "$50 and under", b.nike.views[[#This Row],[Sales_Price]]&lt;=99, "under $100", b.nike.views[[#This Row],[Sales_Price]]&gt;=100, "$100 +")</f>
        <v>under $100</v>
      </c>
      <c r="G364">
        <f>COUNTIF(a.nike.original.man[Product_ID], A364)</f>
        <v>1</v>
      </c>
      <c r="H364" t="str" cm="1">
        <f t="array" ref="H364">_xlfn.IFS(b.nike.views[[#This Row],[Review_Count]]&lt;=7, "Below Average",b.nike.views[[#This Row],[Review_Count]]&gt;=8, "Average +")</f>
        <v>Below Average</v>
      </c>
      <c r="I364">
        <f>SUMIF(a.nike.original.man[Product_ID],b.nike.views[[#This Row],[product_ID]], a.nike.original.man[Reviews])</f>
        <v>1</v>
      </c>
      <c r="J364" s="41">
        <f>_xlfn.XLOOKUP(b.nike.views[[#This Row],[product_ID]],a.nike.original.man[Product_ID], a.nike.original.man[Discount %], "Not Found")</f>
        <v>0.2</v>
      </c>
      <c r="K364" s="41"/>
      <c r="L364" t="s">
        <v>1470</v>
      </c>
    </row>
    <row r="365" spans="1:12" x14ac:dyDescent="0.2">
      <c r="A365" t="s">
        <v>1437</v>
      </c>
      <c r="B365" t="str">
        <f>_xlfn.XLOOKUP(b.nike.views[[#This Row],[product_ID]], a.nike.original.man[Product_ID], a.nike.original.man[Product Name], "Not Found")</f>
        <v>Nike Zoom Pegasus Turbo XX</v>
      </c>
      <c r="C365" s="5" t="str">
        <f>_xlfn.XLOOKUP(b.nike.views[[#This Row],[product_ID]], a.nike.original.man[Product_ID], a.nike.original.man[Rating_Group], "Not Found")</f>
        <v>0 - 2.9</v>
      </c>
      <c r="D365">
        <f>_xlfn.XLOOKUP(b.nike.views[[#This Row],[product_ID]], a.nike.original.man[Product_ID], a.nike.original.man[Rating], "Not Found")</f>
        <v>1</v>
      </c>
      <c r="E365" s="10">
        <f>ROUND(_xlfn.XLOOKUP(b.nike.views[[#This Row],[product_ID]], a.nike.original.man[Product_ID], a.nike.original.man[Sale Price], "Not Found"), 0)</f>
        <v>136</v>
      </c>
      <c r="F365" s="5" t="str" cm="1">
        <f t="array" ref="F365">_xlfn.IFS(b.nike.views[[#This Row],[Sales_Price]]&lt;=9, "under $10",b.nike.views[[#This Row],[Sales_Price]]&lt;=20, "$20 and under",b.nike.views[[#This Row],[Sales_Price]]&lt;=50, "$50 and under", b.nike.views[[#This Row],[Sales_Price]]&lt;=99, "under $100", b.nike.views[[#This Row],[Sales_Price]]&gt;=100, "$100 +")</f>
        <v>$100 +</v>
      </c>
      <c r="G365">
        <f>COUNTIF(a.nike.original.man[Product_ID], A365)</f>
        <v>1</v>
      </c>
      <c r="H365" t="str" cm="1">
        <f t="array" ref="H365">_xlfn.IFS(b.nike.views[[#This Row],[Review_Count]]&lt;=7, "Below Average",b.nike.views[[#This Row],[Review_Count]]&gt;=8, "Average +")</f>
        <v>Below Average</v>
      </c>
      <c r="I365">
        <f>SUMIF(a.nike.original.man[Product_ID],b.nike.views[[#This Row],[product_ID]], a.nike.original.man[Reviews])</f>
        <v>1</v>
      </c>
      <c r="J365" s="41">
        <f>_xlfn.XLOOKUP(b.nike.views[[#This Row],[product_ID]],a.nike.original.man[Product_ID], a.nike.original.man[Discount %], "Not Found")</f>
        <v>0.2</v>
      </c>
      <c r="K365" s="41"/>
      <c r="L365" t="s">
        <v>1470</v>
      </c>
    </row>
    <row r="366" spans="1:12" x14ac:dyDescent="0.2">
      <c r="A366" t="s">
        <v>1014</v>
      </c>
      <c r="B366" t="str">
        <f>_xlfn.XLOOKUP(b.nike.views[[#This Row],[product_ID]], a.nike.original.man[Product_ID], a.nike.original.man[Product Name], "Not Found")</f>
        <v>LeBron 16 Low</v>
      </c>
      <c r="C366" s="5" t="str">
        <f>_xlfn.XLOOKUP(b.nike.views[[#This Row],[product_ID]], a.nike.original.man[Product_ID], a.nike.original.man[Rating_Group], "Not Found")</f>
        <v>4 - 5</v>
      </c>
      <c r="D366">
        <f>_xlfn.XLOOKUP(b.nike.views[[#This Row],[product_ID]], a.nike.original.man[Product_ID], a.nike.original.man[Rating], "Not Found")</f>
        <v>4.7</v>
      </c>
      <c r="E366" s="10">
        <f>ROUND(_xlfn.XLOOKUP(b.nike.views[[#This Row],[product_ID]], a.nike.original.man[Product_ID], a.nike.original.man[Sale Price], "Not Found"), 0)</f>
        <v>112</v>
      </c>
      <c r="F366" s="5" t="str" cm="1">
        <f t="array" ref="F366">_xlfn.IFS(b.nike.views[[#This Row],[Sales_Price]]&lt;=9, "under $10",b.nike.views[[#This Row],[Sales_Price]]&lt;=20, "$20 and under",b.nike.views[[#This Row],[Sales_Price]]&lt;=50, "$50 and under", b.nike.views[[#This Row],[Sales_Price]]&lt;=99, "under $100", b.nike.views[[#This Row],[Sales_Price]]&gt;=100, "$100 +")</f>
        <v>$100 +</v>
      </c>
      <c r="G366">
        <f>COUNTIF(a.nike.original.man[Product_ID], A366)</f>
        <v>2</v>
      </c>
      <c r="H366" t="str" cm="1">
        <f t="array" ref="H366">_xlfn.IFS(b.nike.views[[#This Row],[Review_Count]]&lt;=7, "Below Average",b.nike.views[[#This Row],[Review_Count]]&gt;=8, "Average +")</f>
        <v>Average +</v>
      </c>
      <c r="I366">
        <f>SUMIF(a.nike.original.man[Product_ID],b.nike.views[[#This Row],[product_ID]], a.nike.original.man[Reviews])</f>
        <v>17</v>
      </c>
      <c r="J366" s="41">
        <f>_xlfn.XLOOKUP(b.nike.views[[#This Row],[product_ID]],a.nike.original.man[Product_ID], a.nike.original.man[Discount %], "Not Found")</f>
        <v>0.2</v>
      </c>
      <c r="K366" s="41"/>
      <c r="L366" t="s">
        <v>1470</v>
      </c>
    </row>
    <row r="367" spans="1:12" x14ac:dyDescent="0.2">
      <c r="A367" t="s">
        <v>81</v>
      </c>
      <c r="B367" t="str">
        <f>_xlfn.XLOOKUP(b.nike.views[[#This Row],[product_ID]], a.nike.original.man[Product_ID], a.nike.original.man[Product Name], "Not Found")</f>
        <v>Nike Air Max 90</v>
      </c>
      <c r="C367" s="5" t="str">
        <f>_xlfn.XLOOKUP(b.nike.views[[#This Row],[product_ID]], a.nike.original.man[Product_ID], a.nike.original.man[Rating_Group], "Not Found")</f>
        <v>0 - 2.9</v>
      </c>
      <c r="D367">
        <f>_xlfn.XLOOKUP(b.nike.views[[#This Row],[product_ID]], a.nike.original.man[Product_ID], a.nike.original.man[Rating], "Not Found")</f>
        <v>0</v>
      </c>
      <c r="E367" s="10">
        <f>ROUND(_xlfn.XLOOKUP(b.nike.views[[#This Row],[product_ID]], a.nike.original.man[Product_ID], a.nike.original.man[Sale Price], "Not Found"), 0)</f>
        <v>100</v>
      </c>
      <c r="F367" s="5" t="str" cm="1">
        <f t="array" ref="F367">_xlfn.IFS(b.nike.views[[#This Row],[Sales_Price]]&lt;=9, "under $10",b.nike.views[[#This Row],[Sales_Price]]&lt;=20, "$20 and under",b.nike.views[[#This Row],[Sales_Price]]&lt;=50, "$50 and under", b.nike.views[[#This Row],[Sales_Price]]&lt;=99, "under $100", b.nike.views[[#This Row],[Sales_Price]]&gt;=100, "$100 +")</f>
        <v>$100 +</v>
      </c>
      <c r="G367">
        <f>COUNTIF(a.nike.original.man[Product_ID], A367)</f>
        <v>1</v>
      </c>
      <c r="H367" t="str" cm="1">
        <f t="array" ref="H367">_xlfn.IFS(b.nike.views[[#This Row],[Review_Count]]&lt;=7, "Below Average",b.nike.views[[#This Row],[Review_Count]]&gt;=8, "Average +")</f>
        <v>Below Average</v>
      </c>
      <c r="I367">
        <f>SUMIF(a.nike.original.man[Product_ID],b.nike.views[[#This Row],[product_ID]], a.nike.original.man[Reviews])</f>
        <v>0</v>
      </c>
      <c r="J367" s="41">
        <f>_xlfn.XLOOKUP(b.nike.views[[#This Row],[product_ID]],a.nike.original.man[Product_ID], a.nike.original.man[Discount %], "Not Found")</f>
        <v>0</v>
      </c>
      <c r="K367" s="41"/>
      <c r="L367" t="s">
        <v>1470</v>
      </c>
    </row>
    <row r="368" spans="1:12" x14ac:dyDescent="0.2">
      <c r="A368" t="s">
        <v>156</v>
      </c>
      <c r="B368" t="str">
        <f>_xlfn.XLOOKUP(b.nike.views[[#This Row],[product_ID]], a.nike.original.man[Product_ID], a.nike.original.man[Product Name], "Not Found")</f>
        <v>Nike Air Max 90</v>
      </c>
      <c r="C368" s="5" t="str">
        <f>_xlfn.XLOOKUP(b.nike.views[[#This Row],[product_ID]], a.nike.original.man[Product_ID], a.nike.original.man[Rating_Group], "Not Found")</f>
        <v>0 - 2.9</v>
      </c>
      <c r="D368">
        <f>_xlfn.XLOOKUP(b.nike.views[[#This Row],[product_ID]], a.nike.original.man[Product_ID], a.nike.original.man[Rating], "Not Found")</f>
        <v>0</v>
      </c>
      <c r="E368" s="10">
        <f>ROUND(_xlfn.XLOOKUP(b.nike.views[[#This Row],[product_ID]], a.nike.original.man[Product_ID], a.nike.original.man[Sale Price], "Not Found"), 0)</f>
        <v>100</v>
      </c>
      <c r="F368" s="5" t="str" cm="1">
        <f t="array" ref="F368">_xlfn.IFS(b.nike.views[[#This Row],[Sales_Price]]&lt;=9, "under $10",b.nike.views[[#This Row],[Sales_Price]]&lt;=20, "$20 and under",b.nike.views[[#This Row],[Sales_Price]]&lt;=50, "$50 and under", b.nike.views[[#This Row],[Sales_Price]]&lt;=99, "under $100", b.nike.views[[#This Row],[Sales_Price]]&gt;=100, "$100 +")</f>
        <v>$100 +</v>
      </c>
      <c r="G368">
        <f>COUNTIF(a.nike.original.man[Product_ID], A368)</f>
        <v>1</v>
      </c>
      <c r="H368" t="str" cm="1">
        <f t="array" ref="H368">_xlfn.IFS(b.nike.views[[#This Row],[Review_Count]]&lt;=7, "Below Average",b.nike.views[[#This Row],[Review_Count]]&gt;=8, "Average +")</f>
        <v>Below Average</v>
      </c>
      <c r="I368">
        <f>SUMIF(a.nike.original.man[Product_ID],b.nike.views[[#This Row],[product_ID]], a.nike.original.man[Reviews])</f>
        <v>0</v>
      </c>
      <c r="J368" s="41">
        <f>_xlfn.XLOOKUP(b.nike.views[[#This Row],[product_ID]],a.nike.original.man[Product_ID], a.nike.original.man[Discount %], "Not Found")</f>
        <v>0</v>
      </c>
      <c r="K368" s="41"/>
      <c r="L368" t="s">
        <v>1470</v>
      </c>
    </row>
    <row r="369" spans="1:12" x14ac:dyDescent="0.2">
      <c r="A369" t="s">
        <v>809</v>
      </c>
      <c r="B369" t="str">
        <f>_xlfn.XLOOKUP(b.nike.views[[#This Row],[product_ID]], a.nike.original.man[Product_ID], a.nike.original.man[Product Name], "Not Found")</f>
        <v>Nike Air Max 90</v>
      </c>
      <c r="C369" s="5" t="str">
        <f>_xlfn.XLOOKUP(b.nike.views[[#This Row],[product_ID]], a.nike.original.man[Product_ID], a.nike.original.man[Rating_Group], "Not Found")</f>
        <v>0 - 2.9</v>
      </c>
      <c r="D369">
        <f>_xlfn.XLOOKUP(b.nike.views[[#This Row],[product_ID]], a.nike.original.man[Product_ID], a.nike.original.man[Rating], "Not Found")</f>
        <v>0</v>
      </c>
      <c r="E369" s="10">
        <f>ROUND(_xlfn.XLOOKUP(b.nike.views[[#This Row],[product_ID]], a.nike.original.man[Product_ID], a.nike.original.man[Sale Price], "Not Found"), 0)</f>
        <v>100</v>
      </c>
      <c r="F369" s="5" t="str" cm="1">
        <f t="array" ref="F369">_xlfn.IFS(b.nike.views[[#This Row],[Sales_Price]]&lt;=9, "under $10",b.nike.views[[#This Row],[Sales_Price]]&lt;=20, "$20 and under",b.nike.views[[#This Row],[Sales_Price]]&lt;=50, "$50 and under", b.nike.views[[#This Row],[Sales_Price]]&lt;=99, "under $100", b.nike.views[[#This Row],[Sales_Price]]&gt;=100, "$100 +")</f>
        <v>$100 +</v>
      </c>
      <c r="G369">
        <f>COUNTIF(a.nike.original.man[Product_ID], A369)</f>
        <v>1</v>
      </c>
      <c r="H369" t="str" cm="1">
        <f t="array" ref="H369">_xlfn.IFS(b.nike.views[[#This Row],[Review_Count]]&lt;=7, "Below Average",b.nike.views[[#This Row],[Review_Count]]&gt;=8, "Average +")</f>
        <v>Below Average</v>
      </c>
      <c r="I369">
        <f>SUMIF(a.nike.original.man[Product_ID],b.nike.views[[#This Row],[product_ID]], a.nike.original.man[Reviews])</f>
        <v>0</v>
      </c>
      <c r="J369" s="41">
        <f>_xlfn.XLOOKUP(b.nike.views[[#This Row],[product_ID]],a.nike.original.man[Product_ID], a.nike.original.man[Discount %], "Not Found")</f>
        <v>0</v>
      </c>
      <c r="K369" s="41"/>
      <c r="L369" t="s">
        <v>1470</v>
      </c>
    </row>
    <row r="370" spans="1:12" x14ac:dyDescent="0.2">
      <c r="A370" t="s">
        <v>612</v>
      </c>
      <c r="B370" t="str">
        <f>_xlfn.XLOOKUP(b.nike.views[[#This Row],[product_ID]], a.nike.original.man[Product_ID], a.nike.original.man[Product Name], "Not Found")</f>
        <v>Nike Air Max 270 React</v>
      </c>
      <c r="C370" s="5" t="str">
        <f>_xlfn.XLOOKUP(b.nike.views[[#This Row],[product_ID]], a.nike.original.man[Product_ID], a.nike.original.man[Rating_Group], "Not Found")</f>
        <v>0 - 2.9</v>
      </c>
      <c r="D370">
        <f>_xlfn.XLOOKUP(b.nike.views[[#This Row],[product_ID]], a.nike.original.man[Product_ID], a.nike.original.man[Rating], "Not Found")</f>
        <v>0</v>
      </c>
      <c r="E370" s="10">
        <f>ROUND(_xlfn.XLOOKUP(b.nike.views[[#This Row],[product_ID]], a.nike.original.man[Product_ID], a.nike.original.man[Sale Price], "Not Found"), 0)</f>
        <v>130</v>
      </c>
      <c r="F370" s="5" t="str" cm="1">
        <f t="array" ref="F370">_xlfn.IFS(b.nike.views[[#This Row],[Sales_Price]]&lt;=9, "under $10",b.nike.views[[#This Row],[Sales_Price]]&lt;=20, "$20 and under",b.nike.views[[#This Row],[Sales_Price]]&lt;=50, "$50 and under", b.nike.views[[#This Row],[Sales_Price]]&lt;=99, "under $100", b.nike.views[[#This Row],[Sales_Price]]&gt;=100, "$100 +")</f>
        <v>$100 +</v>
      </c>
      <c r="G370">
        <f>COUNTIF(a.nike.original.man[Product_ID], A370)</f>
        <v>1</v>
      </c>
      <c r="H370" t="str" cm="1">
        <f t="array" ref="H370">_xlfn.IFS(b.nike.views[[#This Row],[Review_Count]]&lt;=7, "Below Average",b.nike.views[[#This Row],[Review_Count]]&gt;=8, "Average +")</f>
        <v>Below Average</v>
      </c>
      <c r="I370">
        <f>SUMIF(a.nike.original.man[Product_ID],b.nike.views[[#This Row],[product_ID]], a.nike.original.man[Reviews])</f>
        <v>0</v>
      </c>
      <c r="J370" s="41">
        <f>_xlfn.XLOOKUP(b.nike.views[[#This Row],[product_ID]],a.nike.original.man[Product_ID], a.nike.original.man[Discount %], "Not Found")</f>
        <v>0</v>
      </c>
      <c r="K370" s="41"/>
      <c r="L370" t="s">
        <v>1470</v>
      </c>
    </row>
    <row r="371" spans="1:12" x14ac:dyDescent="0.2">
      <c r="A371" t="s">
        <v>567</v>
      </c>
      <c r="B371" t="str">
        <f>_xlfn.XLOOKUP(b.nike.views[[#This Row],[product_ID]], a.nike.original.man[Product_ID], a.nike.original.man[Product Name], "Not Found")</f>
        <v>Nike Air Max 270 React</v>
      </c>
      <c r="C371" s="5" t="str">
        <f>_xlfn.XLOOKUP(b.nike.views[[#This Row],[product_ID]], a.nike.original.man[Product_ID], a.nike.original.man[Rating_Group], "Not Found")</f>
        <v>0 - 2.9</v>
      </c>
      <c r="D371">
        <f>_xlfn.XLOOKUP(b.nike.views[[#This Row],[product_ID]], a.nike.original.man[Product_ID], a.nike.original.man[Rating], "Not Found")</f>
        <v>0</v>
      </c>
      <c r="E371" s="10">
        <f>ROUND(_xlfn.XLOOKUP(b.nike.views[[#This Row],[product_ID]], a.nike.original.man[Product_ID], a.nike.original.man[Sale Price], "Not Found"), 0)</f>
        <v>90</v>
      </c>
      <c r="F371" s="5" t="str" cm="1">
        <f t="array" ref="F371">_xlfn.IFS(b.nike.views[[#This Row],[Sales_Price]]&lt;=9, "under $10",b.nike.views[[#This Row],[Sales_Price]]&lt;=20, "$20 and under",b.nike.views[[#This Row],[Sales_Price]]&lt;=50, "$50 and under", b.nike.views[[#This Row],[Sales_Price]]&lt;=99, "under $100", b.nike.views[[#This Row],[Sales_Price]]&gt;=100, "$100 +")</f>
        <v>under $100</v>
      </c>
      <c r="G371">
        <f>COUNTIF(a.nike.original.man[Product_ID], A371)</f>
        <v>1</v>
      </c>
      <c r="H371" t="str" cm="1">
        <f t="array" ref="H371">_xlfn.IFS(b.nike.views[[#This Row],[Review_Count]]&lt;=7, "Below Average",b.nike.views[[#This Row],[Review_Count]]&gt;=8, "Average +")</f>
        <v>Below Average</v>
      </c>
      <c r="I371">
        <f>SUMIF(a.nike.original.man[Product_ID],b.nike.views[[#This Row],[product_ID]], a.nike.original.man[Reviews])</f>
        <v>0</v>
      </c>
      <c r="J371" s="41">
        <f>_xlfn.XLOOKUP(b.nike.views[[#This Row],[product_ID]],a.nike.original.man[Product_ID], a.nike.original.man[Discount %], "Not Found")</f>
        <v>0.4</v>
      </c>
      <c r="K371" s="41"/>
      <c r="L371" t="s">
        <v>1470</v>
      </c>
    </row>
    <row r="372" spans="1:12" x14ac:dyDescent="0.2">
      <c r="A372" t="s">
        <v>133</v>
      </c>
      <c r="B372" t="str">
        <f>_xlfn.XLOOKUP(b.nike.views[[#This Row],[product_ID]], a.nike.original.man[Product_ID], a.nike.original.man[Product Name], "Not Found")</f>
        <v>Nike Air Max 270 React</v>
      </c>
      <c r="C372" s="5" t="str">
        <f>_xlfn.XLOOKUP(b.nike.views[[#This Row],[product_ID]], a.nike.original.man[Product_ID], a.nike.original.man[Rating_Group], "Not Found")</f>
        <v>0 - 2.9</v>
      </c>
      <c r="D372">
        <f>_xlfn.XLOOKUP(b.nike.views[[#This Row],[product_ID]], a.nike.original.man[Product_ID], a.nike.original.man[Rating], "Not Found")</f>
        <v>0</v>
      </c>
      <c r="E372" s="10">
        <f>ROUND(_xlfn.XLOOKUP(b.nike.views[[#This Row],[product_ID]], a.nike.original.man[Product_ID], a.nike.original.man[Sale Price], "Not Found"), 0)</f>
        <v>130</v>
      </c>
      <c r="F372" s="5" t="str" cm="1">
        <f t="array" ref="F372">_xlfn.IFS(b.nike.views[[#This Row],[Sales_Price]]&lt;=9, "under $10",b.nike.views[[#This Row],[Sales_Price]]&lt;=20, "$20 and under",b.nike.views[[#This Row],[Sales_Price]]&lt;=50, "$50 and under", b.nike.views[[#This Row],[Sales_Price]]&lt;=99, "under $100", b.nike.views[[#This Row],[Sales_Price]]&gt;=100, "$100 +")</f>
        <v>$100 +</v>
      </c>
      <c r="G372">
        <f>COUNTIF(a.nike.original.man[Product_ID], A372)</f>
        <v>1</v>
      </c>
      <c r="H372" t="str" cm="1">
        <f t="array" ref="H372">_xlfn.IFS(b.nike.views[[#This Row],[Review_Count]]&lt;=7, "Below Average",b.nike.views[[#This Row],[Review_Count]]&gt;=8, "Average +")</f>
        <v>Below Average</v>
      </c>
      <c r="I372">
        <f>SUMIF(a.nike.original.man[Product_ID],b.nike.views[[#This Row],[product_ID]], a.nike.original.man[Reviews])</f>
        <v>0</v>
      </c>
      <c r="J372" s="41">
        <f>_xlfn.XLOOKUP(b.nike.views[[#This Row],[product_ID]],a.nike.original.man[Product_ID], a.nike.original.man[Discount %], "Not Found")</f>
        <v>0</v>
      </c>
      <c r="K372" s="41"/>
      <c r="L372" t="s">
        <v>1470</v>
      </c>
    </row>
    <row r="373" spans="1:12" x14ac:dyDescent="0.2">
      <c r="A373" t="s">
        <v>817</v>
      </c>
      <c r="B373" t="str">
        <f>_xlfn.XLOOKUP(b.nike.views[[#This Row],[product_ID]], a.nike.original.man[Product_ID], a.nike.original.man[Product Name], "Not Found")</f>
        <v>Nike Air Max 270 React</v>
      </c>
      <c r="C373" s="5" t="str">
        <f>_xlfn.XLOOKUP(b.nike.views[[#This Row],[product_ID]], a.nike.original.man[Product_ID], a.nike.original.man[Rating_Group], "Not Found")</f>
        <v>0 - 2.9</v>
      </c>
      <c r="D373">
        <f>_xlfn.XLOOKUP(b.nike.views[[#This Row],[product_ID]], a.nike.original.man[Product_ID], a.nike.original.man[Rating], "Not Found")</f>
        <v>0</v>
      </c>
      <c r="E373" s="10">
        <f>ROUND(_xlfn.XLOOKUP(b.nike.views[[#This Row],[product_ID]], a.nike.original.man[Product_ID], a.nike.original.man[Sale Price], "Not Found"), 0)</f>
        <v>90</v>
      </c>
      <c r="F373" s="5" t="str" cm="1">
        <f t="array" ref="F373">_xlfn.IFS(b.nike.views[[#This Row],[Sales_Price]]&lt;=9, "under $10",b.nike.views[[#This Row],[Sales_Price]]&lt;=20, "$20 and under",b.nike.views[[#This Row],[Sales_Price]]&lt;=50, "$50 and under", b.nike.views[[#This Row],[Sales_Price]]&lt;=99, "under $100", b.nike.views[[#This Row],[Sales_Price]]&gt;=100, "$100 +")</f>
        <v>under $100</v>
      </c>
      <c r="G373">
        <f>COUNTIF(a.nike.original.man[Product_ID], A373)</f>
        <v>1</v>
      </c>
      <c r="H373" t="str" cm="1">
        <f t="array" ref="H373">_xlfn.IFS(b.nike.views[[#This Row],[Review_Count]]&lt;=7, "Below Average",b.nike.views[[#This Row],[Review_Count]]&gt;=8, "Average +")</f>
        <v>Below Average</v>
      </c>
      <c r="I373">
        <f>SUMIF(a.nike.original.man[Product_ID],b.nike.views[[#This Row],[product_ID]], a.nike.original.man[Reviews])</f>
        <v>0</v>
      </c>
      <c r="J373" s="41">
        <f>_xlfn.XLOOKUP(b.nike.views[[#This Row],[product_ID]],a.nike.original.man[Product_ID], a.nike.original.man[Discount %], "Not Found")</f>
        <v>0.4</v>
      </c>
      <c r="K373" s="41"/>
      <c r="L373" t="s">
        <v>1470</v>
      </c>
    </row>
    <row r="374" spans="1:12" x14ac:dyDescent="0.2">
      <c r="A374" t="s">
        <v>64</v>
      </c>
      <c r="B374" t="str">
        <f>_xlfn.XLOOKUP(b.nike.views[[#This Row],[product_ID]], a.nike.original.man[Product_ID], a.nike.original.man[Product Name], "Not Found")</f>
        <v>Nike Air Max 97</v>
      </c>
      <c r="C374" s="5" t="str">
        <f>_xlfn.XLOOKUP(b.nike.views[[#This Row],[product_ID]], a.nike.original.man[Product_ID], a.nike.original.man[Rating_Group], "Not Found")</f>
        <v>0 - 2.9</v>
      </c>
      <c r="D374">
        <f>_xlfn.XLOOKUP(b.nike.views[[#This Row],[product_ID]], a.nike.original.man[Product_ID], a.nike.original.man[Rating], "Not Found")</f>
        <v>0</v>
      </c>
      <c r="E374" s="10">
        <f>ROUND(_xlfn.XLOOKUP(b.nike.views[[#This Row],[product_ID]], a.nike.original.man[Product_ID], a.nike.original.man[Sale Price], "Not Found"), 0)</f>
        <v>160</v>
      </c>
      <c r="F374" s="5" t="str" cm="1">
        <f t="array" ref="F374">_xlfn.IFS(b.nike.views[[#This Row],[Sales_Price]]&lt;=9, "under $10",b.nike.views[[#This Row],[Sales_Price]]&lt;=20, "$20 and under",b.nike.views[[#This Row],[Sales_Price]]&lt;=50, "$50 and under", b.nike.views[[#This Row],[Sales_Price]]&lt;=99, "under $100", b.nike.views[[#This Row],[Sales_Price]]&gt;=100, "$100 +")</f>
        <v>$100 +</v>
      </c>
      <c r="G374">
        <f>COUNTIF(a.nike.original.man[Product_ID], A374)</f>
        <v>1</v>
      </c>
      <c r="H374" t="str" cm="1">
        <f t="array" ref="H374">_xlfn.IFS(b.nike.views[[#This Row],[Review_Count]]&lt;=7, "Below Average",b.nike.views[[#This Row],[Review_Count]]&gt;=8, "Average +")</f>
        <v>Below Average</v>
      </c>
      <c r="I374">
        <f>SUMIF(a.nike.original.man[Product_ID],b.nike.views[[#This Row],[product_ID]], a.nike.original.man[Reviews])</f>
        <v>0</v>
      </c>
      <c r="J374" s="41">
        <f>_xlfn.XLOOKUP(b.nike.views[[#This Row],[product_ID]],a.nike.original.man[Product_ID], a.nike.original.man[Discount %], "Not Found")</f>
        <v>0</v>
      </c>
      <c r="K374" s="41"/>
      <c r="L374" t="s">
        <v>1470</v>
      </c>
    </row>
    <row r="375" spans="1:12" x14ac:dyDescent="0.2">
      <c r="A375" t="s">
        <v>112</v>
      </c>
      <c r="B375" t="str">
        <f>_xlfn.XLOOKUP(b.nike.views[[#This Row],[product_ID]], a.nike.original.man[Product_ID], a.nike.original.man[Product Name], "Not Found")</f>
        <v>Nike Air Max 720</v>
      </c>
      <c r="C375" s="5" t="str">
        <f>_xlfn.XLOOKUP(b.nike.views[[#This Row],[product_ID]], a.nike.original.man[Product_ID], a.nike.original.man[Rating_Group], "Not Found")</f>
        <v>0 - 2.9</v>
      </c>
      <c r="D375">
        <f>_xlfn.XLOOKUP(b.nike.views[[#This Row],[product_ID]], a.nike.original.man[Product_ID], a.nike.original.man[Rating], "Not Found")</f>
        <v>0</v>
      </c>
      <c r="E375" s="10">
        <f>ROUND(_xlfn.XLOOKUP(b.nike.views[[#This Row],[product_ID]], a.nike.original.man[Product_ID], a.nike.original.man[Sale Price], "Not Found"), 0)</f>
        <v>160</v>
      </c>
      <c r="F375" s="5" t="str" cm="1">
        <f t="array" ref="F375">_xlfn.IFS(b.nike.views[[#This Row],[Sales_Price]]&lt;=9, "under $10",b.nike.views[[#This Row],[Sales_Price]]&lt;=20, "$20 and under",b.nike.views[[#This Row],[Sales_Price]]&lt;=50, "$50 and under", b.nike.views[[#This Row],[Sales_Price]]&lt;=99, "under $100", b.nike.views[[#This Row],[Sales_Price]]&gt;=100, "$100 +")</f>
        <v>$100 +</v>
      </c>
      <c r="G375">
        <f>COUNTIF(a.nike.original.man[Product_ID], A375)</f>
        <v>1</v>
      </c>
      <c r="H375" t="str" cm="1">
        <f t="array" ref="H375">_xlfn.IFS(b.nike.views[[#This Row],[Review_Count]]&lt;=7, "Below Average",b.nike.views[[#This Row],[Review_Count]]&gt;=8, "Average +")</f>
        <v>Below Average</v>
      </c>
      <c r="I375">
        <f>SUMIF(a.nike.original.man[Product_ID],b.nike.views[[#This Row],[product_ID]], a.nike.original.man[Reviews])</f>
        <v>0</v>
      </c>
      <c r="J375" s="41">
        <f>_xlfn.XLOOKUP(b.nike.views[[#This Row],[product_ID]],a.nike.original.man[Product_ID], a.nike.original.man[Discount %], "Not Found")</f>
        <v>0</v>
      </c>
      <c r="K375" s="41"/>
      <c r="L375" t="s">
        <v>1470</v>
      </c>
    </row>
    <row r="376" spans="1:12" x14ac:dyDescent="0.2">
      <c r="A376" t="s">
        <v>136</v>
      </c>
      <c r="B376" t="str">
        <f>_xlfn.XLOOKUP(b.nike.views[[#This Row],[product_ID]], a.nike.original.man[Product_ID], a.nike.original.man[Product Name], "Not Found")</f>
        <v>Nike Air Max 98</v>
      </c>
      <c r="C376" s="5" t="str">
        <f>_xlfn.XLOOKUP(b.nike.views[[#This Row],[product_ID]], a.nike.original.man[Product_ID], a.nike.original.man[Rating_Group], "Not Found")</f>
        <v>0 - 2.9</v>
      </c>
      <c r="D376">
        <f>_xlfn.XLOOKUP(b.nike.views[[#This Row],[product_ID]], a.nike.original.man[Product_ID], a.nike.original.man[Rating], "Not Found")</f>
        <v>0</v>
      </c>
      <c r="E376" s="10">
        <f>ROUND(_xlfn.XLOOKUP(b.nike.views[[#This Row],[product_ID]], a.nike.original.man[Product_ID], a.nike.original.man[Sale Price], "Not Found"), 0)</f>
        <v>170</v>
      </c>
      <c r="F376" s="5" t="str" cm="1">
        <f t="array" ref="F376">_xlfn.IFS(b.nike.views[[#This Row],[Sales_Price]]&lt;=9, "under $10",b.nike.views[[#This Row],[Sales_Price]]&lt;=20, "$20 and under",b.nike.views[[#This Row],[Sales_Price]]&lt;=50, "$50 and under", b.nike.views[[#This Row],[Sales_Price]]&lt;=99, "under $100", b.nike.views[[#This Row],[Sales_Price]]&gt;=100, "$100 +")</f>
        <v>$100 +</v>
      </c>
      <c r="G376">
        <f>COUNTIF(a.nike.original.man[Product_ID], A376)</f>
        <v>1</v>
      </c>
      <c r="H376" t="str" cm="1">
        <f t="array" ref="H376">_xlfn.IFS(b.nike.views[[#This Row],[Review_Count]]&lt;=7, "Below Average",b.nike.views[[#This Row],[Review_Count]]&gt;=8, "Average +")</f>
        <v>Below Average</v>
      </c>
      <c r="I376">
        <f>SUMIF(a.nike.original.man[Product_ID],b.nike.views[[#This Row],[product_ID]], a.nike.original.man[Reviews])</f>
        <v>0</v>
      </c>
      <c r="J376" s="41">
        <f>_xlfn.XLOOKUP(b.nike.views[[#This Row],[product_ID]],a.nike.original.man[Product_ID], a.nike.original.man[Discount %], "Not Found")</f>
        <v>0</v>
      </c>
      <c r="K376" s="41"/>
      <c r="L376" t="s">
        <v>1470</v>
      </c>
    </row>
    <row r="377" spans="1:12" x14ac:dyDescent="0.2">
      <c r="A377" t="s">
        <v>183</v>
      </c>
      <c r="B377" t="str">
        <f>_xlfn.XLOOKUP(b.nike.views[[#This Row],[product_ID]], a.nike.original.man[Product_ID], a.nike.original.man[Product Name], "Not Found")</f>
        <v>Nike Air Max 2090</v>
      </c>
      <c r="C377" s="5" t="str">
        <f>_xlfn.XLOOKUP(b.nike.views[[#This Row],[product_ID]], a.nike.original.man[Product_ID], a.nike.original.man[Rating_Group], "Not Found")</f>
        <v>0 - 2.9</v>
      </c>
      <c r="D377">
        <f>_xlfn.XLOOKUP(b.nike.views[[#This Row],[product_ID]], a.nike.original.man[Product_ID], a.nike.original.man[Rating], "Not Found")</f>
        <v>0</v>
      </c>
      <c r="E377" s="10">
        <f>ROUND(_xlfn.XLOOKUP(b.nike.views[[#This Row],[product_ID]], a.nike.original.man[Product_ID], a.nike.original.man[Sale Price], "Not Found"), 0)</f>
        <v>120</v>
      </c>
      <c r="F377" s="5" t="str" cm="1">
        <f t="array" ref="F377">_xlfn.IFS(b.nike.views[[#This Row],[Sales_Price]]&lt;=9, "under $10",b.nike.views[[#This Row],[Sales_Price]]&lt;=20, "$20 and under",b.nike.views[[#This Row],[Sales_Price]]&lt;=50, "$50 and under", b.nike.views[[#This Row],[Sales_Price]]&lt;=99, "under $100", b.nike.views[[#This Row],[Sales_Price]]&gt;=100, "$100 +")</f>
        <v>$100 +</v>
      </c>
      <c r="G377">
        <f>COUNTIF(a.nike.original.man[Product_ID], A377)</f>
        <v>1</v>
      </c>
      <c r="H377" t="str" cm="1">
        <f t="array" ref="H377">_xlfn.IFS(b.nike.views[[#This Row],[Review_Count]]&lt;=7, "Below Average",b.nike.views[[#This Row],[Review_Count]]&gt;=8, "Average +")</f>
        <v>Below Average</v>
      </c>
      <c r="I377">
        <f>SUMIF(a.nike.original.man[Product_ID],b.nike.views[[#This Row],[product_ID]], a.nike.original.man[Reviews])</f>
        <v>0</v>
      </c>
      <c r="J377" s="41">
        <f>_xlfn.XLOOKUP(b.nike.views[[#This Row],[product_ID]],a.nike.original.man[Product_ID], a.nike.original.man[Discount %], "Not Found")</f>
        <v>0</v>
      </c>
      <c r="K377" s="41"/>
      <c r="L377" t="s">
        <v>1470</v>
      </c>
    </row>
    <row r="378" spans="1:12" x14ac:dyDescent="0.2">
      <c r="A378" t="s">
        <v>403</v>
      </c>
      <c r="B378" t="str">
        <f>_xlfn.XLOOKUP(b.nike.views[[#This Row],[product_ID]], a.nike.original.man[Product_ID], a.nike.original.man[Product Name], "Not Found")</f>
        <v>Nike Air Max 2090</v>
      </c>
      <c r="C378" s="5" t="str">
        <f>_xlfn.XLOOKUP(b.nike.views[[#This Row],[product_ID]], a.nike.original.man[Product_ID], a.nike.original.man[Rating_Group], "Not Found")</f>
        <v>0 - 2.9</v>
      </c>
      <c r="D378">
        <f>_xlfn.XLOOKUP(b.nike.views[[#This Row],[product_ID]], a.nike.original.man[Product_ID], a.nike.original.man[Rating], "Not Found")</f>
        <v>0</v>
      </c>
      <c r="E378" s="10">
        <f>ROUND(_xlfn.XLOOKUP(b.nike.views[[#This Row],[product_ID]], a.nike.original.man[Product_ID], a.nike.original.man[Sale Price], "Not Found"), 0)</f>
        <v>120</v>
      </c>
      <c r="F378" s="5" t="str" cm="1">
        <f t="array" ref="F378">_xlfn.IFS(b.nike.views[[#This Row],[Sales_Price]]&lt;=9, "under $10",b.nike.views[[#This Row],[Sales_Price]]&lt;=20, "$20 and under",b.nike.views[[#This Row],[Sales_Price]]&lt;=50, "$50 and under", b.nike.views[[#This Row],[Sales_Price]]&lt;=99, "under $100", b.nike.views[[#This Row],[Sales_Price]]&gt;=100, "$100 +")</f>
        <v>$100 +</v>
      </c>
      <c r="G378">
        <f>COUNTIF(a.nike.original.man[Product_ID], A378)</f>
        <v>1</v>
      </c>
      <c r="H378" t="str" cm="1">
        <f t="array" ref="H378">_xlfn.IFS(b.nike.views[[#This Row],[Review_Count]]&lt;=7, "Below Average",b.nike.views[[#This Row],[Review_Count]]&gt;=8, "Average +")</f>
        <v>Below Average</v>
      </c>
      <c r="I378">
        <f>SUMIF(a.nike.original.man[Product_ID],b.nike.views[[#This Row],[product_ID]], a.nike.original.man[Reviews])</f>
        <v>0</v>
      </c>
      <c r="J378" s="41">
        <f>_xlfn.XLOOKUP(b.nike.views[[#This Row],[product_ID]],a.nike.original.man[Product_ID], a.nike.original.man[Discount %], "Not Found")</f>
        <v>0</v>
      </c>
      <c r="K378" s="41"/>
      <c r="L378" t="s">
        <v>1470</v>
      </c>
    </row>
    <row r="379" spans="1:12" x14ac:dyDescent="0.2">
      <c r="A379" t="s">
        <v>457</v>
      </c>
      <c r="B379" t="str">
        <f>_xlfn.XLOOKUP(b.nike.views[[#This Row],[product_ID]], a.nike.original.man[Product_ID], a.nike.original.man[Product Name], "Not Found")</f>
        <v>Nike Air VaporMax 360</v>
      </c>
      <c r="C379" s="5" t="str">
        <f>_xlfn.XLOOKUP(b.nike.views[[#This Row],[product_ID]], a.nike.original.man[Product_ID], a.nike.original.man[Rating_Group], "Not Found")</f>
        <v>0 - 2.9</v>
      </c>
      <c r="D379">
        <f>_xlfn.XLOOKUP(b.nike.views[[#This Row],[product_ID]], a.nike.original.man[Product_ID], a.nike.original.man[Rating], "Not Found")</f>
        <v>0</v>
      </c>
      <c r="E379" s="10">
        <f>ROUND(_xlfn.XLOOKUP(b.nike.views[[#This Row],[product_ID]], a.nike.original.man[Product_ID], a.nike.original.man[Sale Price], "Not Found"), 0)</f>
        <v>190</v>
      </c>
      <c r="F379" s="5" t="str" cm="1">
        <f t="array" ref="F379">_xlfn.IFS(b.nike.views[[#This Row],[Sales_Price]]&lt;=9, "under $10",b.nike.views[[#This Row],[Sales_Price]]&lt;=20, "$20 and under",b.nike.views[[#This Row],[Sales_Price]]&lt;=50, "$50 and under", b.nike.views[[#This Row],[Sales_Price]]&lt;=99, "under $100", b.nike.views[[#This Row],[Sales_Price]]&gt;=100, "$100 +")</f>
        <v>$100 +</v>
      </c>
      <c r="G379">
        <f>COUNTIF(a.nike.original.man[Product_ID], A379)</f>
        <v>1</v>
      </c>
      <c r="H379" t="str" cm="1">
        <f t="array" ref="H379">_xlfn.IFS(b.nike.views[[#This Row],[Review_Count]]&lt;=7, "Below Average",b.nike.views[[#This Row],[Review_Count]]&gt;=8, "Average +")</f>
        <v>Below Average</v>
      </c>
      <c r="I379">
        <f>SUMIF(a.nike.original.man[Product_ID],b.nike.views[[#This Row],[product_ID]], a.nike.original.man[Reviews])</f>
        <v>0</v>
      </c>
      <c r="J379" s="41">
        <f>_xlfn.XLOOKUP(b.nike.views[[#This Row],[product_ID]],a.nike.original.man[Product_ID], a.nike.original.man[Discount %], "Not Found")</f>
        <v>0</v>
      </c>
      <c r="K379" s="41"/>
      <c r="L379" t="s">
        <v>1470</v>
      </c>
    </row>
    <row r="380" spans="1:12" x14ac:dyDescent="0.2">
      <c r="A380" t="s">
        <v>497</v>
      </c>
      <c r="B380" t="str">
        <f>_xlfn.XLOOKUP(b.nike.views[[#This Row],[product_ID]], a.nike.original.man[Product_ID], a.nike.original.man[Product Name], "Not Found")</f>
        <v>Nike Air Max 720</v>
      </c>
      <c r="C380" s="5" t="str">
        <f>_xlfn.XLOOKUP(b.nike.views[[#This Row],[product_ID]], a.nike.original.man[Product_ID], a.nike.original.man[Rating_Group], "Not Found")</f>
        <v>0 - 2.9</v>
      </c>
      <c r="D380">
        <f>_xlfn.XLOOKUP(b.nike.views[[#This Row],[product_ID]], a.nike.original.man[Product_ID], a.nike.original.man[Rating], "Not Found")</f>
        <v>0</v>
      </c>
      <c r="E380" s="10">
        <f>ROUND(_xlfn.XLOOKUP(b.nike.views[[#This Row],[product_ID]], a.nike.original.man[Product_ID], a.nike.original.man[Sale Price], "Not Found"), 0)</f>
        <v>160</v>
      </c>
      <c r="F380" s="5" t="str" cm="1">
        <f t="array" ref="F380">_xlfn.IFS(b.nike.views[[#This Row],[Sales_Price]]&lt;=9, "under $10",b.nike.views[[#This Row],[Sales_Price]]&lt;=20, "$20 and under",b.nike.views[[#This Row],[Sales_Price]]&lt;=50, "$50 and under", b.nike.views[[#This Row],[Sales_Price]]&lt;=99, "under $100", b.nike.views[[#This Row],[Sales_Price]]&gt;=100, "$100 +")</f>
        <v>$100 +</v>
      </c>
      <c r="G380">
        <f>COUNTIF(a.nike.original.man[Product_ID], A380)</f>
        <v>1</v>
      </c>
      <c r="H380" t="str" cm="1">
        <f t="array" ref="H380">_xlfn.IFS(b.nike.views[[#This Row],[Review_Count]]&lt;=7, "Below Average",b.nike.views[[#This Row],[Review_Count]]&gt;=8, "Average +")</f>
        <v>Below Average</v>
      </c>
      <c r="I380">
        <f>SUMIF(a.nike.original.man[Product_ID],b.nike.views[[#This Row],[product_ID]], a.nike.original.man[Reviews])</f>
        <v>0</v>
      </c>
      <c r="J380" s="41">
        <f>_xlfn.XLOOKUP(b.nike.views[[#This Row],[product_ID]],a.nike.original.man[Product_ID], a.nike.original.man[Discount %], "Not Found")</f>
        <v>0</v>
      </c>
      <c r="K380" s="41"/>
      <c r="L380" t="s">
        <v>1470</v>
      </c>
    </row>
    <row r="381" spans="1:12" x14ac:dyDescent="0.2">
      <c r="A381" t="s">
        <v>840</v>
      </c>
      <c r="B381" t="str">
        <f>_xlfn.XLOOKUP(b.nike.views[[#This Row],[product_ID]], a.nike.original.man[Product_ID], a.nike.original.man[Product Name], "Not Found")</f>
        <v>Nike Air VaporMax 360</v>
      </c>
      <c r="C381" s="5" t="str">
        <f>_xlfn.XLOOKUP(b.nike.views[[#This Row],[product_ID]], a.nike.original.man[Product_ID], a.nike.original.man[Rating_Group], "Not Found")</f>
        <v>0 - 2.9</v>
      </c>
      <c r="D381">
        <f>_xlfn.XLOOKUP(b.nike.views[[#This Row],[product_ID]], a.nike.original.man[Product_ID], a.nike.original.man[Rating], "Not Found")</f>
        <v>0</v>
      </c>
      <c r="E381" s="10">
        <f>ROUND(_xlfn.XLOOKUP(b.nike.views[[#This Row],[product_ID]], a.nike.original.man[Product_ID], a.nike.original.man[Sale Price], "Not Found"), 0)</f>
        <v>190</v>
      </c>
      <c r="F381" s="5" t="str" cm="1">
        <f t="array" ref="F381">_xlfn.IFS(b.nike.views[[#This Row],[Sales_Price]]&lt;=9, "under $10",b.nike.views[[#This Row],[Sales_Price]]&lt;=20, "$20 and under",b.nike.views[[#This Row],[Sales_Price]]&lt;=50, "$50 and under", b.nike.views[[#This Row],[Sales_Price]]&lt;=99, "under $100", b.nike.views[[#This Row],[Sales_Price]]&gt;=100, "$100 +")</f>
        <v>$100 +</v>
      </c>
      <c r="G381">
        <f>COUNTIF(a.nike.original.man[Product_ID], A381)</f>
        <v>1</v>
      </c>
      <c r="H381" t="str" cm="1">
        <f t="array" ref="H381">_xlfn.IFS(b.nike.views[[#This Row],[Review_Count]]&lt;=7, "Below Average",b.nike.views[[#This Row],[Review_Count]]&gt;=8, "Average +")</f>
        <v>Below Average</v>
      </c>
      <c r="I381">
        <f>SUMIF(a.nike.original.man[Product_ID],b.nike.views[[#This Row],[product_ID]], a.nike.original.man[Reviews])</f>
        <v>0</v>
      </c>
      <c r="J381" s="41">
        <f>_xlfn.XLOOKUP(b.nike.views[[#This Row],[product_ID]],a.nike.original.man[Product_ID], a.nike.original.man[Discount %], "Not Found")</f>
        <v>0</v>
      </c>
      <c r="K381" s="41"/>
      <c r="L381" t="s">
        <v>1470</v>
      </c>
    </row>
    <row r="382" spans="1:12" x14ac:dyDescent="0.2">
      <c r="A382" t="s">
        <v>852</v>
      </c>
      <c r="B382" t="str">
        <f>_xlfn.XLOOKUP(b.nike.views[[#This Row],[product_ID]], a.nike.original.man[Product_ID], a.nike.original.man[Product Name], "Not Found")</f>
        <v>Nike MX-720-818</v>
      </c>
      <c r="C382" s="5" t="str">
        <f>_xlfn.XLOOKUP(b.nike.views[[#This Row],[product_ID]], a.nike.original.man[Product_ID], a.nike.original.man[Rating_Group], "Not Found")</f>
        <v>0 - 2.9</v>
      </c>
      <c r="D382">
        <f>_xlfn.XLOOKUP(b.nike.views[[#This Row],[product_ID]], a.nike.original.man[Product_ID], a.nike.original.man[Rating], "Not Found")</f>
        <v>0</v>
      </c>
      <c r="E382" s="10">
        <f>ROUND(_xlfn.XLOOKUP(b.nike.views[[#This Row],[product_ID]], a.nike.original.man[Product_ID], a.nike.original.man[Sale Price], "Not Found"), 0)</f>
        <v>160</v>
      </c>
      <c r="F382" s="5" t="str" cm="1">
        <f t="array" ref="F382">_xlfn.IFS(b.nike.views[[#This Row],[Sales_Price]]&lt;=9, "under $10",b.nike.views[[#This Row],[Sales_Price]]&lt;=20, "$20 and under",b.nike.views[[#This Row],[Sales_Price]]&lt;=50, "$50 and under", b.nike.views[[#This Row],[Sales_Price]]&lt;=99, "under $100", b.nike.views[[#This Row],[Sales_Price]]&gt;=100, "$100 +")</f>
        <v>$100 +</v>
      </c>
      <c r="G382">
        <f>COUNTIF(a.nike.original.man[Product_ID], A382)</f>
        <v>1</v>
      </c>
      <c r="H382" t="str" cm="1">
        <f t="array" ref="H382">_xlfn.IFS(b.nike.views[[#This Row],[Review_Count]]&lt;=7, "Below Average",b.nike.views[[#This Row],[Review_Count]]&gt;=8, "Average +")</f>
        <v>Below Average</v>
      </c>
      <c r="I382">
        <f>SUMIF(a.nike.original.man[Product_ID],b.nike.views[[#This Row],[product_ID]], a.nike.original.man[Reviews])</f>
        <v>0</v>
      </c>
      <c r="J382" s="41">
        <f>_xlfn.XLOOKUP(b.nike.views[[#This Row],[product_ID]],a.nike.original.man[Product_ID], a.nike.original.man[Discount %], "Not Found")</f>
        <v>0</v>
      </c>
      <c r="K382" s="41"/>
      <c r="L382" t="s">
        <v>1470</v>
      </c>
    </row>
    <row r="383" spans="1:12" x14ac:dyDescent="0.2">
      <c r="A383" t="s">
        <v>1012</v>
      </c>
      <c r="B383" t="str">
        <f>_xlfn.XLOOKUP(b.nike.views[[#This Row],[product_ID]], a.nike.original.man[Product_ID], a.nike.original.man[Product Name], "Not Found")</f>
        <v>Nike Air Max 720</v>
      </c>
      <c r="C383" s="5" t="str">
        <f>_xlfn.XLOOKUP(b.nike.views[[#This Row],[product_ID]], a.nike.original.man[Product_ID], a.nike.original.man[Rating_Group], "Not Found")</f>
        <v>0 - 2.9</v>
      </c>
      <c r="D383">
        <f>_xlfn.XLOOKUP(b.nike.views[[#This Row],[product_ID]], a.nike.original.man[Product_ID], a.nike.original.man[Rating], "Not Found")</f>
        <v>0</v>
      </c>
      <c r="E383" s="10">
        <f>ROUND(_xlfn.XLOOKUP(b.nike.views[[#This Row],[product_ID]], a.nike.original.man[Product_ID], a.nike.original.man[Sale Price], "Not Found"), 0)</f>
        <v>160</v>
      </c>
      <c r="F383" s="5" t="str" cm="1">
        <f t="array" ref="F383">_xlfn.IFS(b.nike.views[[#This Row],[Sales_Price]]&lt;=9, "under $10",b.nike.views[[#This Row],[Sales_Price]]&lt;=20, "$20 and under",b.nike.views[[#This Row],[Sales_Price]]&lt;=50, "$50 and under", b.nike.views[[#This Row],[Sales_Price]]&lt;=99, "under $100", b.nike.views[[#This Row],[Sales_Price]]&gt;=100, "$100 +")</f>
        <v>$100 +</v>
      </c>
      <c r="G383">
        <f>COUNTIF(a.nike.original.man[Product_ID], A383)</f>
        <v>1</v>
      </c>
      <c r="H383" t="str" cm="1">
        <f t="array" ref="H383">_xlfn.IFS(b.nike.views[[#This Row],[Review_Count]]&lt;=7, "Below Average",b.nike.views[[#This Row],[Review_Count]]&gt;=8, "Average +")</f>
        <v>Below Average</v>
      </c>
      <c r="I383">
        <f>SUMIF(a.nike.original.man[Product_ID],b.nike.views[[#This Row],[product_ID]], a.nike.original.man[Reviews])</f>
        <v>0</v>
      </c>
      <c r="J383" s="41">
        <f>_xlfn.XLOOKUP(b.nike.views[[#This Row],[product_ID]],a.nike.original.man[Product_ID], a.nike.original.man[Discount %], "Not Found")</f>
        <v>0</v>
      </c>
      <c r="K383" s="41"/>
      <c r="L383" t="s">
        <v>1470</v>
      </c>
    </row>
    <row r="384" spans="1:12" x14ac:dyDescent="0.2">
      <c r="A384" t="s">
        <v>12</v>
      </c>
      <c r="B384" t="str">
        <f>_xlfn.XLOOKUP(b.nike.views[[#This Row],[product_ID]], a.nike.original.man[Product_ID], a.nike.original.man[Product Name], "Not Found")</f>
        <v>Nike Air Force 1 '07</v>
      </c>
      <c r="C384" s="5" t="str">
        <f>_xlfn.XLOOKUP(b.nike.views[[#This Row],[product_ID]], a.nike.original.man[Product_ID], a.nike.original.man[Rating_Group], "Not Found")</f>
        <v>0 - 2.9</v>
      </c>
      <c r="D384">
        <f>_xlfn.XLOOKUP(b.nike.views[[#This Row],[product_ID]], a.nike.original.man[Product_ID], a.nike.original.man[Rating], "Not Found")</f>
        <v>0</v>
      </c>
      <c r="E384" s="10">
        <f>ROUND(_xlfn.XLOOKUP(b.nike.views[[#This Row],[product_ID]], a.nike.original.man[Product_ID], a.nike.original.man[Sale Price], "Not Found"), 0)</f>
        <v>75</v>
      </c>
      <c r="F384" s="5" t="str" cm="1">
        <f t="array" ref="F384">_xlfn.IFS(b.nike.views[[#This Row],[Sales_Price]]&lt;=9, "under $10",b.nike.views[[#This Row],[Sales_Price]]&lt;=20, "$20 and under",b.nike.views[[#This Row],[Sales_Price]]&lt;=50, "$50 and under", b.nike.views[[#This Row],[Sales_Price]]&lt;=99, "under $100", b.nike.views[[#This Row],[Sales_Price]]&gt;=100, "$100 +")</f>
        <v>under $100</v>
      </c>
      <c r="G384">
        <f>COUNTIF(a.nike.original.man[Product_ID], A384)</f>
        <v>1</v>
      </c>
      <c r="H384" t="str" cm="1">
        <f t="array" ref="H384">_xlfn.IFS(b.nike.views[[#This Row],[Review_Count]]&lt;=7, "Below Average",b.nike.views[[#This Row],[Review_Count]]&gt;=8, "Average +")</f>
        <v>Below Average</v>
      </c>
      <c r="I384">
        <f>SUMIF(a.nike.original.man[Product_ID],b.nike.views[[#This Row],[product_ID]], a.nike.original.man[Reviews])</f>
        <v>0</v>
      </c>
      <c r="J384" s="41">
        <f>_xlfn.XLOOKUP(b.nike.views[[#This Row],[product_ID]],a.nike.original.man[Product_ID], a.nike.original.man[Discount %], "Not Found")</f>
        <v>0</v>
      </c>
      <c r="K384" s="41"/>
      <c r="L384" t="s">
        <v>1470</v>
      </c>
    </row>
    <row r="385" spans="1:12" x14ac:dyDescent="0.2">
      <c r="A385" t="s">
        <v>59</v>
      </c>
      <c r="B385" t="str">
        <f>_xlfn.XLOOKUP(b.nike.views[[#This Row],[product_ID]], a.nike.original.man[Product_ID], a.nike.original.man[Product Name], "Not Found")</f>
        <v>Nike Air Force 1 '07</v>
      </c>
      <c r="C385" s="5" t="str">
        <f>_xlfn.XLOOKUP(b.nike.views[[#This Row],[product_ID]], a.nike.original.man[Product_ID], a.nike.original.man[Rating_Group], "Not Found")</f>
        <v>0 - 2.9</v>
      </c>
      <c r="D385">
        <f>_xlfn.XLOOKUP(b.nike.views[[#This Row],[product_ID]], a.nike.original.man[Product_ID], a.nike.original.man[Rating], "Not Found")</f>
        <v>0</v>
      </c>
      <c r="E385" s="10">
        <f>ROUND(_xlfn.XLOOKUP(b.nike.views[[#This Row],[product_ID]], a.nike.original.man[Product_ID], a.nike.original.man[Sale Price], "Not Found"), 0)</f>
        <v>80</v>
      </c>
      <c r="F385" s="5" t="str" cm="1">
        <f t="array" ref="F385">_xlfn.IFS(b.nike.views[[#This Row],[Sales_Price]]&lt;=9, "under $10",b.nike.views[[#This Row],[Sales_Price]]&lt;=20, "$20 and under",b.nike.views[[#This Row],[Sales_Price]]&lt;=50, "$50 and under", b.nike.views[[#This Row],[Sales_Price]]&lt;=99, "under $100", b.nike.views[[#This Row],[Sales_Price]]&gt;=100, "$100 +")</f>
        <v>under $100</v>
      </c>
      <c r="G385">
        <f>COUNTIF(a.nike.original.man[Product_ID], A385)</f>
        <v>1</v>
      </c>
      <c r="H385" t="str" cm="1">
        <f t="array" ref="H385">_xlfn.IFS(b.nike.views[[#This Row],[Review_Count]]&lt;=7, "Below Average",b.nike.views[[#This Row],[Review_Count]]&gt;=8, "Average +")</f>
        <v>Below Average</v>
      </c>
      <c r="I385">
        <f>SUMIF(a.nike.original.man[Product_ID],b.nike.views[[#This Row],[product_ID]], a.nike.original.man[Reviews])</f>
        <v>0</v>
      </c>
      <c r="J385" s="41">
        <f>_xlfn.XLOOKUP(b.nike.views[[#This Row],[product_ID]],a.nike.original.man[Product_ID], a.nike.original.man[Discount %], "Not Found")</f>
        <v>0</v>
      </c>
      <c r="K385" s="41"/>
      <c r="L385" t="s">
        <v>1470</v>
      </c>
    </row>
    <row r="386" spans="1:12" x14ac:dyDescent="0.2">
      <c r="A386" t="s">
        <v>54</v>
      </c>
      <c r="B386" t="str">
        <f>_xlfn.XLOOKUP(b.nike.views[[#This Row],[product_ID]], a.nike.original.man[Product_ID], a.nike.original.man[Product Name], "Not Found")</f>
        <v>Nike Air Max 270 React ENG</v>
      </c>
      <c r="C386" s="5" t="str">
        <f>_xlfn.XLOOKUP(b.nike.views[[#This Row],[product_ID]], a.nike.original.man[Product_ID], a.nike.original.man[Rating_Group], "Not Found")</f>
        <v>0 - 2.9</v>
      </c>
      <c r="D386">
        <f>_xlfn.XLOOKUP(b.nike.views[[#This Row],[product_ID]], a.nike.original.man[Product_ID], a.nike.original.man[Rating], "Not Found")</f>
        <v>0</v>
      </c>
      <c r="E386" s="10">
        <f>ROUND(_xlfn.XLOOKUP(b.nike.views[[#This Row],[product_ID]], a.nike.original.man[Product_ID], a.nike.original.man[Sale Price], "Not Found"), 0)</f>
        <v>150</v>
      </c>
      <c r="F386" s="5" t="str" cm="1">
        <f t="array" ref="F386">_xlfn.IFS(b.nike.views[[#This Row],[Sales_Price]]&lt;=9, "under $10",b.nike.views[[#This Row],[Sales_Price]]&lt;=20, "$20 and under",b.nike.views[[#This Row],[Sales_Price]]&lt;=50, "$50 and under", b.nike.views[[#This Row],[Sales_Price]]&lt;=99, "under $100", b.nike.views[[#This Row],[Sales_Price]]&gt;=100, "$100 +")</f>
        <v>$100 +</v>
      </c>
      <c r="G386">
        <f>COUNTIF(a.nike.original.man[Product_ID], A386)</f>
        <v>1</v>
      </c>
      <c r="H386" t="str" cm="1">
        <f t="array" ref="H386">_xlfn.IFS(b.nike.views[[#This Row],[Review_Count]]&lt;=7, "Below Average",b.nike.views[[#This Row],[Review_Count]]&gt;=8, "Average +")</f>
        <v>Below Average</v>
      </c>
      <c r="I386">
        <f>SUMIF(a.nike.original.man[Product_ID],b.nike.views[[#This Row],[product_ID]], a.nike.original.man[Reviews])</f>
        <v>0</v>
      </c>
      <c r="J386" s="41">
        <f>_xlfn.XLOOKUP(b.nike.views[[#This Row],[product_ID]],a.nike.original.man[Product_ID], a.nike.original.man[Discount %], "Not Found")</f>
        <v>0</v>
      </c>
      <c r="K386" s="41"/>
      <c r="L386" t="s">
        <v>1470</v>
      </c>
    </row>
    <row r="387" spans="1:12" x14ac:dyDescent="0.2">
      <c r="A387" t="s">
        <v>199</v>
      </c>
      <c r="B387" t="str">
        <f>_xlfn.XLOOKUP(b.nike.views[[#This Row],[product_ID]], a.nike.original.man[Product_ID], a.nike.original.man[Product Name], "Not Found")</f>
        <v>Nike Mercurial Superfly 7 Elite SE FG</v>
      </c>
      <c r="C387" s="5" t="str">
        <f>_xlfn.XLOOKUP(b.nike.views[[#This Row],[product_ID]], a.nike.original.man[Product_ID], a.nike.original.man[Rating_Group], "Not Found")</f>
        <v>0 - 2.9</v>
      </c>
      <c r="D387">
        <f>_xlfn.XLOOKUP(b.nike.views[[#This Row],[product_ID]], a.nike.original.man[Product_ID], a.nike.original.man[Rating], "Not Found")</f>
        <v>0</v>
      </c>
      <c r="E387" s="10">
        <f>ROUND(_xlfn.XLOOKUP(b.nike.views[[#This Row],[product_ID]], a.nike.original.man[Product_ID], a.nike.original.man[Sale Price], "Not Found"), 0)</f>
        <v>250</v>
      </c>
      <c r="F387" s="5" t="str" cm="1">
        <f t="array" ref="F387">_xlfn.IFS(b.nike.views[[#This Row],[Sales_Price]]&lt;=9, "under $10",b.nike.views[[#This Row],[Sales_Price]]&lt;=20, "$20 and under",b.nike.views[[#This Row],[Sales_Price]]&lt;=50, "$50 and under", b.nike.views[[#This Row],[Sales_Price]]&lt;=99, "under $100", b.nike.views[[#This Row],[Sales_Price]]&gt;=100, "$100 +")</f>
        <v>$100 +</v>
      </c>
      <c r="G387">
        <f>COUNTIF(a.nike.original.man[Product_ID], A387)</f>
        <v>2</v>
      </c>
      <c r="H387" t="str" cm="1">
        <f t="array" ref="H387">_xlfn.IFS(b.nike.views[[#This Row],[Review_Count]]&lt;=7, "Below Average",b.nike.views[[#This Row],[Review_Count]]&gt;=8, "Average +")</f>
        <v>Below Average</v>
      </c>
      <c r="I387">
        <f>SUMIF(a.nike.original.man[Product_ID],b.nike.views[[#This Row],[product_ID]], a.nike.original.man[Reviews])</f>
        <v>0</v>
      </c>
      <c r="J387" s="41">
        <f>_xlfn.XLOOKUP(b.nike.views[[#This Row],[product_ID]],a.nike.original.man[Product_ID], a.nike.original.man[Discount %], "Not Found")</f>
        <v>0</v>
      </c>
      <c r="K387" s="41"/>
      <c r="L387" t="s">
        <v>1470</v>
      </c>
    </row>
    <row r="388" spans="1:12" x14ac:dyDescent="0.2">
      <c r="A388" t="s">
        <v>254</v>
      </c>
      <c r="B388" t="str">
        <f>_xlfn.XLOOKUP(b.nike.views[[#This Row],[product_ID]], a.nike.original.man[Product_ID], a.nike.original.man[Product Name], "Not Found")</f>
        <v>Nike Mercurial Superfly 7 Elite SE FG</v>
      </c>
      <c r="C388" s="5" t="str">
        <f>_xlfn.XLOOKUP(b.nike.views[[#This Row],[product_ID]], a.nike.original.man[Product_ID], a.nike.original.man[Rating_Group], "Not Found")</f>
        <v>0 - 2.9</v>
      </c>
      <c r="D388">
        <f>_xlfn.XLOOKUP(b.nike.views[[#This Row],[product_ID]], a.nike.original.man[Product_ID], a.nike.original.man[Rating], "Not Found")</f>
        <v>0</v>
      </c>
      <c r="E388" s="10">
        <f>ROUND(_xlfn.XLOOKUP(b.nike.views[[#This Row],[product_ID]], a.nike.original.man[Product_ID], a.nike.original.man[Sale Price], "Not Found"), 0)</f>
        <v>230</v>
      </c>
      <c r="F388" s="5" t="str" cm="1">
        <f t="array" ref="F388">_xlfn.IFS(b.nike.views[[#This Row],[Sales_Price]]&lt;=9, "under $10",b.nike.views[[#This Row],[Sales_Price]]&lt;=20, "$20 and under",b.nike.views[[#This Row],[Sales_Price]]&lt;=50, "$50 and under", b.nike.views[[#This Row],[Sales_Price]]&lt;=99, "under $100", b.nike.views[[#This Row],[Sales_Price]]&gt;=100, "$100 +")</f>
        <v>$100 +</v>
      </c>
      <c r="G388">
        <f>COUNTIF(a.nike.original.man[Product_ID], A388)</f>
        <v>2</v>
      </c>
      <c r="H388" t="str" cm="1">
        <f t="array" ref="H388">_xlfn.IFS(b.nike.views[[#This Row],[Review_Count]]&lt;=7, "Below Average",b.nike.views[[#This Row],[Review_Count]]&gt;=8, "Average +")</f>
        <v>Below Average</v>
      </c>
      <c r="I388">
        <f>SUMIF(a.nike.original.man[Product_ID],b.nike.views[[#This Row],[product_ID]], a.nike.original.man[Reviews])</f>
        <v>0</v>
      </c>
      <c r="J388" s="41">
        <f>_xlfn.XLOOKUP(b.nike.views[[#This Row],[product_ID]],a.nike.original.man[Product_ID], a.nike.original.man[Discount %], "Not Found")</f>
        <v>0</v>
      </c>
      <c r="K388" s="41"/>
      <c r="L388" t="s">
        <v>1470</v>
      </c>
    </row>
    <row r="389" spans="1:12" x14ac:dyDescent="0.2">
      <c r="A389" t="s">
        <v>584</v>
      </c>
      <c r="B389" t="str">
        <f>_xlfn.XLOOKUP(b.nike.views[[#This Row],[product_ID]], a.nike.original.man[Product_ID], a.nike.original.man[Product Name], "Not Found")</f>
        <v>Nike Air Max 270 React ENG</v>
      </c>
      <c r="C389" s="5" t="str">
        <f>_xlfn.XLOOKUP(b.nike.views[[#This Row],[product_ID]], a.nike.original.man[Product_ID], a.nike.original.man[Rating_Group], "Not Found")</f>
        <v>0 - 2.9</v>
      </c>
      <c r="D389">
        <f>_xlfn.XLOOKUP(b.nike.views[[#This Row],[product_ID]], a.nike.original.man[Product_ID], a.nike.original.man[Rating], "Not Found")</f>
        <v>0</v>
      </c>
      <c r="E389" s="10">
        <f>ROUND(_xlfn.XLOOKUP(b.nike.views[[#This Row],[product_ID]], a.nike.original.man[Product_ID], a.nike.original.man[Sale Price], "Not Found"), 0)</f>
        <v>150</v>
      </c>
      <c r="F389" s="5" t="str" cm="1">
        <f t="array" ref="F389">_xlfn.IFS(b.nike.views[[#This Row],[Sales_Price]]&lt;=9, "under $10",b.nike.views[[#This Row],[Sales_Price]]&lt;=20, "$20 and under",b.nike.views[[#This Row],[Sales_Price]]&lt;=50, "$50 and under", b.nike.views[[#This Row],[Sales_Price]]&lt;=99, "under $100", b.nike.views[[#This Row],[Sales_Price]]&gt;=100, "$100 +")</f>
        <v>$100 +</v>
      </c>
      <c r="G389">
        <f>COUNTIF(a.nike.original.man[Product_ID], A389)</f>
        <v>1</v>
      </c>
      <c r="H389" t="str" cm="1">
        <f t="array" ref="H389">_xlfn.IFS(b.nike.views[[#This Row],[Review_Count]]&lt;=7, "Below Average",b.nike.views[[#This Row],[Review_Count]]&gt;=8, "Average +")</f>
        <v>Below Average</v>
      </c>
      <c r="I389">
        <f>SUMIF(a.nike.original.man[Product_ID],b.nike.views[[#This Row],[product_ID]], a.nike.original.man[Reviews])</f>
        <v>0</v>
      </c>
      <c r="J389" s="41">
        <f>_xlfn.XLOOKUP(b.nike.views[[#This Row],[product_ID]],a.nike.original.man[Product_ID], a.nike.original.man[Discount %], "Not Found")</f>
        <v>0</v>
      </c>
      <c r="K389" s="41"/>
      <c r="L389" t="s">
        <v>1470</v>
      </c>
    </row>
    <row r="390" spans="1:12" x14ac:dyDescent="0.2">
      <c r="A390" t="s">
        <v>767</v>
      </c>
      <c r="B390" t="str">
        <f>_xlfn.XLOOKUP(b.nike.views[[#This Row],[product_ID]], a.nike.original.man[Product_ID], a.nike.original.man[Product Name], "Not Found")</f>
        <v>Nike Free RN 5.0</v>
      </c>
      <c r="C390" s="5" t="str">
        <f>_xlfn.XLOOKUP(b.nike.views[[#This Row],[product_ID]], a.nike.original.man[Product_ID], a.nike.original.man[Rating_Group], "Not Found")</f>
        <v>0 - 2.9</v>
      </c>
      <c r="D390">
        <f>_xlfn.XLOOKUP(b.nike.views[[#This Row],[product_ID]], a.nike.original.man[Product_ID], a.nike.original.man[Rating], "Not Found")</f>
        <v>0</v>
      </c>
      <c r="E390" s="10">
        <f>ROUND(_xlfn.XLOOKUP(b.nike.views[[#This Row],[product_ID]], a.nike.original.man[Product_ID], a.nike.original.man[Sale Price], "Not Found"), 0)</f>
        <v>63</v>
      </c>
      <c r="F390" s="5" t="str" cm="1">
        <f t="array" ref="F390">_xlfn.IFS(b.nike.views[[#This Row],[Sales_Price]]&lt;=9, "under $10",b.nike.views[[#This Row],[Sales_Price]]&lt;=20, "$20 and under",b.nike.views[[#This Row],[Sales_Price]]&lt;=50, "$50 and under", b.nike.views[[#This Row],[Sales_Price]]&lt;=99, "under $100", b.nike.views[[#This Row],[Sales_Price]]&gt;=100, "$100 +")</f>
        <v>under $100</v>
      </c>
      <c r="G390">
        <f>COUNTIF(a.nike.original.man[Product_ID], A390)</f>
        <v>1</v>
      </c>
      <c r="H390" t="str" cm="1">
        <f t="array" ref="H390">_xlfn.IFS(b.nike.views[[#This Row],[Review_Count]]&lt;=7, "Below Average",b.nike.views[[#This Row],[Review_Count]]&gt;=8, "Average +")</f>
        <v>Below Average</v>
      </c>
      <c r="I390">
        <f>SUMIF(a.nike.original.man[Product_ID],b.nike.views[[#This Row],[product_ID]], a.nike.original.man[Reviews])</f>
        <v>0</v>
      </c>
      <c r="J390" s="41">
        <f>_xlfn.XLOOKUP(b.nike.views[[#This Row],[product_ID]],a.nike.original.man[Product_ID], a.nike.original.man[Discount %], "Not Found")</f>
        <v>0.3</v>
      </c>
      <c r="K390" s="41"/>
      <c r="L390" t="s">
        <v>1470</v>
      </c>
    </row>
    <row r="391" spans="1:12" x14ac:dyDescent="0.2">
      <c r="A391" t="s">
        <v>21</v>
      </c>
      <c r="B391" t="str">
        <f>_xlfn.XLOOKUP(b.nike.views[[#This Row],[product_ID]], a.nike.original.man[Product_ID], a.nike.original.man[Product Name], "Not Found")</f>
        <v>Nike Air Max Verona</v>
      </c>
      <c r="C391" s="5" t="str">
        <f>_xlfn.XLOOKUP(b.nike.views[[#This Row],[product_ID]], a.nike.original.man[Product_ID], a.nike.original.man[Rating_Group], "Not Found")</f>
        <v>0 - 2.9</v>
      </c>
      <c r="D391">
        <f>_xlfn.XLOOKUP(b.nike.views[[#This Row],[product_ID]], a.nike.original.man[Product_ID], a.nike.original.man[Rating], "Not Found")</f>
        <v>0</v>
      </c>
      <c r="E391" s="10">
        <f>ROUND(_xlfn.XLOOKUP(b.nike.views[[#This Row],[product_ID]], a.nike.original.man[Product_ID], a.nike.original.man[Sale Price], "Not Found"), 0)</f>
        <v>100</v>
      </c>
      <c r="F391" s="5" t="str" cm="1">
        <f t="array" ref="F391">_xlfn.IFS(b.nike.views[[#This Row],[Sales_Price]]&lt;=9, "under $10",b.nike.views[[#This Row],[Sales_Price]]&lt;=20, "$20 and under",b.nike.views[[#This Row],[Sales_Price]]&lt;=50, "$50 and under", b.nike.views[[#This Row],[Sales_Price]]&lt;=99, "under $100", b.nike.views[[#This Row],[Sales_Price]]&gt;=100, "$100 +")</f>
        <v>$100 +</v>
      </c>
      <c r="G391">
        <f>COUNTIF(a.nike.original.man[Product_ID], A391)</f>
        <v>1</v>
      </c>
      <c r="H391" t="str" cm="1">
        <f t="array" ref="H391">_xlfn.IFS(b.nike.views[[#This Row],[Review_Count]]&lt;=7, "Below Average",b.nike.views[[#This Row],[Review_Count]]&gt;=8, "Average +")</f>
        <v>Below Average</v>
      </c>
      <c r="I391">
        <f>SUMIF(a.nike.original.man[Product_ID],b.nike.views[[#This Row],[product_ID]], a.nike.original.man[Reviews])</f>
        <v>0</v>
      </c>
      <c r="J391" s="41">
        <f>_xlfn.XLOOKUP(b.nike.views[[#This Row],[product_ID]],a.nike.original.man[Product_ID], a.nike.original.man[Discount %], "Not Found")</f>
        <v>0</v>
      </c>
      <c r="K391" s="41"/>
      <c r="L391" t="s">
        <v>1470</v>
      </c>
    </row>
    <row r="392" spans="1:12" x14ac:dyDescent="0.2">
      <c r="A392" t="s">
        <v>24</v>
      </c>
      <c r="B392" t="str">
        <f>_xlfn.XLOOKUP(b.nike.views[[#This Row],[product_ID]], a.nike.original.man[Product_ID], a.nike.original.man[Product Name], "Not Found")</f>
        <v>Nike Free Metcon 3</v>
      </c>
      <c r="C392" s="5" t="str">
        <f>_xlfn.XLOOKUP(b.nike.views[[#This Row],[product_ID]], a.nike.original.man[Product_ID], a.nike.original.man[Rating_Group], "Not Found")</f>
        <v>0 - 2.9</v>
      </c>
      <c r="D392">
        <f>_xlfn.XLOOKUP(b.nike.views[[#This Row],[product_ID]], a.nike.original.man[Product_ID], a.nike.original.man[Rating], "Not Found")</f>
        <v>0</v>
      </c>
      <c r="E392" s="10">
        <f>ROUND(_xlfn.XLOOKUP(b.nike.views[[#This Row],[product_ID]], a.nike.original.man[Product_ID], a.nike.original.man[Sale Price], "Not Found"), 0)</f>
        <v>100</v>
      </c>
      <c r="F392" s="5" t="str" cm="1">
        <f t="array" ref="F392">_xlfn.IFS(b.nike.views[[#This Row],[Sales_Price]]&lt;=9, "under $10",b.nike.views[[#This Row],[Sales_Price]]&lt;=20, "$20 and under",b.nike.views[[#This Row],[Sales_Price]]&lt;=50, "$50 and under", b.nike.views[[#This Row],[Sales_Price]]&lt;=99, "under $100", b.nike.views[[#This Row],[Sales_Price]]&gt;=100, "$100 +")</f>
        <v>$100 +</v>
      </c>
      <c r="G392">
        <f>COUNTIF(a.nike.original.man[Product_ID], A392)</f>
        <v>1</v>
      </c>
      <c r="H392" t="str" cm="1">
        <f t="array" ref="H392">_xlfn.IFS(b.nike.views[[#This Row],[Review_Count]]&lt;=7, "Below Average",b.nike.views[[#This Row],[Review_Count]]&gt;=8, "Average +")</f>
        <v>Below Average</v>
      </c>
      <c r="I392">
        <f>SUMIF(a.nike.original.man[Product_ID],b.nike.views[[#This Row],[product_ID]], a.nike.original.man[Reviews])</f>
        <v>0</v>
      </c>
      <c r="J392" s="41">
        <f>_xlfn.XLOOKUP(b.nike.views[[#This Row],[product_ID]],a.nike.original.man[Product_ID], a.nike.original.man[Discount %], "Not Found")</f>
        <v>0</v>
      </c>
      <c r="K392" s="41"/>
      <c r="L392" t="s">
        <v>1470</v>
      </c>
    </row>
    <row r="393" spans="1:12" x14ac:dyDescent="0.2">
      <c r="A393" t="s">
        <v>101</v>
      </c>
      <c r="B393" t="str">
        <f>_xlfn.XLOOKUP(b.nike.views[[#This Row],[product_ID]], a.nike.original.man[Product_ID], a.nike.original.man[Product Name], "Not Found")</f>
        <v>Nike Joyride Run FlyKnit</v>
      </c>
      <c r="C393" s="5" t="str">
        <f>_xlfn.XLOOKUP(b.nike.views[[#This Row],[product_ID]], a.nike.original.man[Product_ID], a.nike.original.man[Rating_Group], "Not Found")</f>
        <v>0 - 2.9</v>
      </c>
      <c r="D393">
        <f>_xlfn.XLOOKUP(b.nike.views[[#This Row],[product_ID]], a.nike.original.man[Product_ID], a.nike.original.man[Rating], "Not Found")</f>
        <v>0</v>
      </c>
      <c r="E393" s="10">
        <f>ROUND(_xlfn.XLOOKUP(b.nike.views[[#This Row],[product_ID]], a.nike.original.man[Product_ID], a.nike.original.man[Sale Price], "Not Found"), 0)</f>
        <v>120</v>
      </c>
      <c r="F393" s="5" t="str" cm="1">
        <f t="array" ref="F393">_xlfn.IFS(b.nike.views[[#This Row],[Sales_Price]]&lt;=9, "under $10",b.nike.views[[#This Row],[Sales_Price]]&lt;=20, "$20 and under",b.nike.views[[#This Row],[Sales_Price]]&lt;=50, "$50 and under", b.nike.views[[#This Row],[Sales_Price]]&lt;=99, "under $100", b.nike.views[[#This Row],[Sales_Price]]&gt;=100, "$100 +")</f>
        <v>$100 +</v>
      </c>
      <c r="G393">
        <f>COUNTIF(a.nike.original.man[Product_ID], A393)</f>
        <v>1</v>
      </c>
      <c r="H393" t="str" cm="1">
        <f t="array" ref="H393">_xlfn.IFS(b.nike.views[[#This Row],[Review_Count]]&lt;=7, "Below Average",b.nike.views[[#This Row],[Review_Count]]&gt;=8, "Average +")</f>
        <v>Below Average</v>
      </c>
      <c r="I393">
        <f>SUMIF(a.nike.original.man[Product_ID],b.nike.views[[#This Row],[product_ID]], a.nike.original.man[Reviews])</f>
        <v>0</v>
      </c>
      <c r="J393" s="41">
        <f>_xlfn.XLOOKUP(b.nike.views[[#This Row],[product_ID]],a.nike.original.man[Product_ID], a.nike.original.man[Discount %], "Not Found")</f>
        <v>0.25</v>
      </c>
      <c r="K393" s="41"/>
      <c r="L393" t="s">
        <v>1470</v>
      </c>
    </row>
    <row r="394" spans="1:12" x14ac:dyDescent="0.2">
      <c r="A394" t="s">
        <v>684</v>
      </c>
      <c r="B394" t="str">
        <f>_xlfn.XLOOKUP(b.nike.views[[#This Row],[product_ID]], a.nike.original.man[Product_ID], a.nike.original.man[Product Name], "Not Found")</f>
        <v>Nike Zoom Rival Fly 2</v>
      </c>
      <c r="C394" s="5" t="str">
        <f>_xlfn.XLOOKUP(b.nike.views[[#This Row],[product_ID]], a.nike.original.man[Product_ID], a.nike.original.man[Rating_Group], "Not Found")</f>
        <v>0 - 2.9</v>
      </c>
      <c r="D394">
        <f>_xlfn.XLOOKUP(b.nike.views[[#This Row],[product_ID]], a.nike.original.man[Product_ID], a.nike.original.man[Rating], "Not Found")</f>
        <v>0</v>
      </c>
      <c r="E394" s="10">
        <f>ROUND(_xlfn.XLOOKUP(b.nike.views[[#This Row],[product_ID]], a.nike.original.man[Product_ID], a.nike.original.man[Sale Price], "Not Found"), 0)</f>
        <v>80</v>
      </c>
      <c r="F394" s="5" t="str" cm="1">
        <f t="array" ref="F394">_xlfn.IFS(b.nike.views[[#This Row],[Sales_Price]]&lt;=9, "under $10",b.nike.views[[#This Row],[Sales_Price]]&lt;=20, "$20 and under",b.nike.views[[#This Row],[Sales_Price]]&lt;=50, "$50 and under", b.nike.views[[#This Row],[Sales_Price]]&lt;=99, "under $100", b.nike.views[[#This Row],[Sales_Price]]&gt;=100, "$100 +")</f>
        <v>under $100</v>
      </c>
      <c r="G394">
        <f>COUNTIF(a.nike.original.man[Product_ID], A394)</f>
        <v>1</v>
      </c>
      <c r="H394" t="str" cm="1">
        <f t="array" ref="H394">_xlfn.IFS(b.nike.views[[#This Row],[Review_Count]]&lt;=7, "Below Average",b.nike.views[[#This Row],[Review_Count]]&gt;=8, "Average +")</f>
        <v>Below Average</v>
      </c>
      <c r="I394">
        <f>SUMIF(a.nike.original.man[Product_ID],b.nike.views[[#This Row],[product_ID]], a.nike.original.man[Reviews])</f>
        <v>0</v>
      </c>
      <c r="J394" s="41">
        <f>_xlfn.XLOOKUP(b.nike.views[[#This Row],[product_ID]],a.nike.original.man[Product_ID], a.nike.original.man[Discount %], "Not Found")</f>
        <v>0</v>
      </c>
      <c r="K394" s="41"/>
      <c r="L394" t="s">
        <v>1470</v>
      </c>
    </row>
    <row r="395" spans="1:12" x14ac:dyDescent="0.2">
      <c r="A395" t="s">
        <v>758</v>
      </c>
      <c r="B395" t="str">
        <f>_xlfn.XLOOKUP(b.nike.views[[#This Row],[product_ID]], a.nike.original.man[Product_ID], a.nike.original.man[Product Name], "Not Found")</f>
        <v>Nike React Metcon AMP</v>
      </c>
      <c r="C395" s="5" t="str">
        <f>_xlfn.XLOOKUP(b.nike.views[[#This Row],[product_ID]], a.nike.original.man[Product_ID], a.nike.original.man[Rating_Group], "Not Found")</f>
        <v>0 - 2.9</v>
      </c>
      <c r="D395">
        <f>_xlfn.XLOOKUP(b.nike.views[[#This Row],[product_ID]], a.nike.original.man[Product_ID], a.nike.original.man[Rating], "Not Found")</f>
        <v>0</v>
      </c>
      <c r="E395" s="10">
        <f>ROUND(_xlfn.XLOOKUP(b.nike.views[[#This Row],[product_ID]], a.nike.original.man[Product_ID], a.nike.original.man[Sale Price], "Not Found"), 0)</f>
        <v>140</v>
      </c>
      <c r="F395" s="5" t="str" cm="1">
        <f t="array" ref="F395">_xlfn.IFS(b.nike.views[[#This Row],[Sales_Price]]&lt;=9, "under $10",b.nike.views[[#This Row],[Sales_Price]]&lt;=20, "$20 and under",b.nike.views[[#This Row],[Sales_Price]]&lt;=50, "$50 and under", b.nike.views[[#This Row],[Sales_Price]]&lt;=99, "under $100", b.nike.views[[#This Row],[Sales_Price]]&gt;=100, "$100 +")</f>
        <v>$100 +</v>
      </c>
      <c r="G395">
        <f>COUNTIF(a.nike.original.man[Product_ID], A395)</f>
        <v>2</v>
      </c>
      <c r="H395" t="str" cm="1">
        <f t="array" ref="H395">_xlfn.IFS(b.nike.views[[#This Row],[Review_Count]]&lt;=7, "Below Average",b.nike.views[[#This Row],[Review_Count]]&gt;=8, "Average +")</f>
        <v>Below Average</v>
      </c>
      <c r="I395">
        <f>SUMIF(a.nike.original.man[Product_ID],b.nike.views[[#This Row],[product_ID]], a.nike.original.man[Reviews])</f>
        <v>0</v>
      </c>
      <c r="J395" s="41">
        <f>_xlfn.XLOOKUP(b.nike.views[[#This Row],[product_ID]],a.nike.original.man[Product_ID], a.nike.original.man[Discount %], "Not Found")</f>
        <v>0</v>
      </c>
      <c r="K395" s="41"/>
      <c r="L395" t="s">
        <v>1470</v>
      </c>
    </row>
    <row r="396" spans="1:12" x14ac:dyDescent="0.2">
      <c r="A396" t="s">
        <v>381</v>
      </c>
      <c r="B396" t="str">
        <f>_xlfn.XLOOKUP(b.nike.views[[#This Row],[product_ID]], a.nike.original.man[Product_ID], a.nike.original.man[Product Name], "Not Found")</f>
        <v>Nike Zoom Fly 3 Premium</v>
      </c>
      <c r="C396" s="5" t="str">
        <f>_xlfn.XLOOKUP(b.nike.views[[#This Row],[product_ID]], a.nike.original.man[Product_ID], a.nike.original.man[Rating_Group], "Not Found")</f>
        <v>0 - 2.9</v>
      </c>
      <c r="D396">
        <f>_xlfn.XLOOKUP(b.nike.views[[#This Row],[product_ID]], a.nike.original.man[Product_ID], a.nike.original.man[Rating], "Not Found")</f>
        <v>0</v>
      </c>
      <c r="E396" s="10">
        <f>ROUND(_xlfn.XLOOKUP(b.nike.views[[#This Row],[product_ID]], a.nike.original.man[Product_ID], a.nike.original.man[Sale Price], "Not Found"), 0)</f>
        <v>150</v>
      </c>
      <c r="F396" s="5" t="str" cm="1">
        <f t="array" ref="F396">_xlfn.IFS(b.nike.views[[#This Row],[Sales_Price]]&lt;=9, "under $10",b.nike.views[[#This Row],[Sales_Price]]&lt;=20, "$20 and under",b.nike.views[[#This Row],[Sales_Price]]&lt;=50, "$50 and under", b.nike.views[[#This Row],[Sales_Price]]&lt;=99, "under $100", b.nike.views[[#This Row],[Sales_Price]]&gt;=100, "$100 +")</f>
        <v>$100 +</v>
      </c>
      <c r="G396">
        <f>COUNTIF(a.nike.original.man[Product_ID], A396)</f>
        <v>1</v>
      </c>
      <c r="H396" t="str" cm="1">
        <f t="array" ref="H396">_xlfn.IFS(b.nike.views[[#This Row],[Review_Count]]&lt;=7, "Below Average",b.nike.views[[#This Row],[Review_Count]]&gt;=8, "Average +")</f>
        <v>Below Average</v>
      </c>
      <c r="I396">
        <f>SUMIF(a.nike.original.man[Product_ID],b.nike.views[[#This Row],[product_ID]], a.nike.original.man[Reviews])</f>
        <v>0</v>
      </c>
      <c r="J396" s="41">
        <f>_xlfn.XLOOKUP(b.nike.views[[#This Row],[product_ID]],a.nike.original.man[Product_ID], a.nike.original.man[Discount %], "Not Found")</f>
        <v>0</v>
      </c>
      <c r="K396" s="41"/>
      <c r="L396" t="s">
        <v>1470</v>
      </c>
    </row>
    <row r="397" spans="1:12" x14ac:dyDescent="0.2">
      <c r="A397" s="70" t="s">
        <v>417</v>
      </c>
      <c r="B397" t="str">
        <f>_xlfn.XLOOKUP(b.nike.views[[#This Row],[product_ID]], a.nike.original.man[Product_ID], a.nike.original.man[Product Name], "Not Found")</f>
        <v>Nike Air Max Verona</v>
      </c>
      <c r="C397" s="5" t="str">
        <f>_xlfn.XLOOKUP(b.nike.views[[#This Row],[product_ID]], a.nike.original.man[Product_ID], a.nike.original.man[Rating_Group], "Not Found")</f>
        <v>0 - 2.9</v>
      </c>
      <c r="D397">
        <f>_xlfn.XLOOKUP(b.nike.views[[#This Row],[product_ID]], a.nike.original.man[Product_ID], a.nike.original.man[Rating], "Not Found")</f>
        <v>0</v>
      </c>
      <c r="E397" s="10">
        <f>ROUND(_xlfn.XLOOKUP(b.nike.views[[#This Row],[product_ID]], a.nike.original.man[Product_ID], a.nike.original.man[Sale Price], "Not Found"), 0)</f>
        <v>110</v>
      </c>
      <c r="F397" s="5" t="str" cm="1">
        <f t="array" ref="F397">_xlfn.IFS(b.nike.views[[#This Row],[Sales_Price]]&lt;=9, "under $10",b.nike.views[[#This Row],[Sales_Price]]&lt;=20, "$20 and under",b.nike.views[[#This Row],[Sales_Price]]&lt;=50, "$50 and under", b.nike.views[[#This Row],[Sales_Price]]&lt;=99, "under $100", b.nike.views[[#This Row],[Sales_Price]]&gt;=100, "$100 +")</f>
        <v>$100 +</v>
      </c>
      <c r="G397">
        <f>COUNTIF(a.nike.original.man[Product_ID], A397)</f>
        <v>1</v>
      </c>
      <c r="H397" t="str" cm="1">
        <f t="array" ref="H397">_xlfn.IFS(b.nike.views[[#This Row],[Review_Count]]&lt;=7, "Below Average",b.nike.views[[#This Row],[Review_Count]]&gt;=8, "Average +")</f>
        <v>Below Average</v>
      </c>
      <c r="I397">
        <f>SUMIF(a.nike.original.man[Product_ID],b.nike.views[[#This Row],[product_ID]], a.nike.original.man[Reviews])</f>
        <v>0</v>
      </c>
      <c r="J397" s="41">
        <f>_xlfn.XLOOKUP(b.nike.views[[#This Row],[product_ID]],a.nike.original.man[Product_ID], a.nike.original.man[Discount %], "Not Found")</f>
        <v>0</v>
      </c>
      <c r="K397" s="41"/>
      <c r="L397" t="s">
        <v>1470</v>
      </c>
    </row>
    <row r="398" spans="1:12" x14ac:dyDescent="0.2">
      <c r="A398" t="s">
        <v>332</v>
      </c>
      <c r="B398" t="str">
        <f>_xlfn.XLOOKUP(b.nike.views[[#This Row],[product_ID]], a.nike.original.man[Product_ID], a.nike.original.man[Product Name], "Not Found")</f>
        <v>Nike Mercurial Vapor 13 Academy Neymar Jr. MG</v>
      </c>
      <c r="C398" s="5" t="str">
        <f>_xlfn.XLOOKUP(b.nike.views[[#This Row],[product_ID]], a.nike.original.man[Product_ID], a.nike.original.man[Rating_Group], "Not Found")</f>
        <v>0 - 2.9</v>
      </c>
      <c r="D398">
        <f>_xlfn.XLOOKUP(b.nike.views[[#This Row],[product_ID]], a.nike.original.man[Product_ID], a.nike.original.man[Rating], "Not Found")</f>
        <v>0</v>
      </c>
      <c r="E398" s="10">
        <f>ROUND(_xlfn.XLOOKUP(b.nike.views[[#This Row],[product_ID]], a.nike.original.man[Product_ID], a.nike.original.man[Sale Price], "Not Found"), 0)</f>
        <v>80</v>
      </c>
      <c r="F398" s="5" t="str" cm="1">
        <f t="array" ref="F398">_xlfn.IFS(b.nike.views[[#This Row],[Sales_Price]]&lt;=9, "under $10",b.nike.views[[#This Row],[Sales_Price]]&lt;=20, "$20 and under",b.nike.views[[#This Row],[Sales_Price]]&lt;=50, "$50 and under", b.nike.views[[#This Row],[Sales_Price]]&lt;=99, "under $100", b.nike.views[[#This Row],[Sales_Price]]&gt;=100, "$100 +")</f>
        <v>under $100</v>
      </c>
      <c r="G398">
        <f>COUNTIF(a.nike.original.man[Product_ID], A398)</f>
        <v>2</v>
      </c>
      <c r="H398" t="str" cm="1">
        <f t="array" ref="H398">_xlfn.IFS(b.nike.views[[#This Row],[Review_Count]]&lt;=7, "Below Average",b.nike.views[[#This Row],[Review_Count]]&gt;=8, "Average +")</f>
        <v>Below Average</v>
      </c>
      <c r="I398">
        <f>SUMIF(a.nike.original.man[Product_ID],b.nike.views[[#This Row],[product_ID]], a.nike.original.man[Reviews])</f>
        <v>0</v>
      </c>
      <c r="J398" s="41">
        <f>_xlfn.XLOOKUP(b.nike.views[[#This Row],[product_ID]],a.nike.original.man[Product_ID], a.nike.original.man[Discount %], "Not Found")</f>
        <v>0</v>
      </c>
      <c r="K398" s="41"/>
      <c r="L398" t="s">
        <v>1470</v>
      </c>
    </row>
    <row r="399" spans="1:12" x14ac:dyDescent="0.2">
      <c r="A399" t="s">
        <v>89</v>
      </c>
      <c r="B399" t="str">
        <f>_xlfn.XLOOKUP(b.nike.views[[#This Row],[product_ID]], a.nike.original.man[Product_ID], a.nike.original.man[Product Name], "Not Found")</f>
        <v>Nike React Phantom Run Flyknit 2</v>
      </c>
      <c r="C399" s="5" t="str">
        <f>_xlfn.XLOOKUP(b.nike.views[[#This Row],[product_ID]], a.nike.original.man[Product_ID], a.nike.original.man[Rating_Group], "Not Found")</f>
        <v>0 - 2.9</v>
      </c>
      <c r="D399">
        <f>_xlfn.XLOOKUP(b.nike.views[[#This Row],[product_ID]], a.nike.original.man[Product_ID], a.nike.original.man[Rating], "Not Found")</f>
        <v>0</v>
      </c>
      <c r="E399" s="10">
        <f>ROUND(_xlfn.XLOOKUP(b.nike.views[[#This Row],[product_ID]], a.nike.original.man[Product_ID], a.nike.original.man[Sale Price], "Not Found"), 0)</f>
        <v>120</v>
      </c>
      <c r="F399" s="5" t="str" cm="1">
        <f t="array" ref="F399">_xlfn.IFS(b.nike.views[[#This Row],[Sales_Price]]&lt;=9, "under $10",b.nike.views[[#This Row],[Sales_Price]]&lt;=20, "$20 and under",b.nike.views[[#This Row],[Sales_Price]]&lt;=50, "$50 and under", b.nike.views[[#This Row],[Sales_Price]]&lt;=99, "under $100", b.nike.views[[#This Row],[Sales_Price]]&gt;=100, "$100 +")</f>
        <v>$100 +</v>
      </c>
      <c r="G399">
        <f>COUNTIF(a.nike.original.man[Product_ID], A399)</f>
        <v>1</v>
      </c>
      <c r="H399" t="str" cm="1">
        <f t="array" ref="H399">_xlfn.IFS(b.nike.views[[#This Row],[Review_Count]]&lt;=7, "Below Average",b.nike.views[[#This Row],[Review_Count]]&gt;=8, "Average +")</f>
        <v>Below Average</v>
      </c>
      <c r="I399">
        <f>SUMIF(a.nike.original.man[Product_ID],b.nike.views[[#This Row],[product_ID]], a.nike.original.man[Reviews])</f>
        <v>0</v>
      </c>
      <c r="J399" s="41">
        <f>_xlfn.XLOOKUP(b.nike.views[[#This Row],[product_ID]],a.nike.original.man[Product_ID], a.nike.original.man[Discount %], "Not Found")</f>
        <v>0</v>
      </c>
      <c r="K399" s="41"/>
      <c r="L399" t="s">
        <v>1470</v>
      </c>
    </row>
    <row r="400" spans="1:12" x14ac:dyDescent="0.2">
      <c r="A400" t="s">
        <v>206</v>
      </c>
      <c r="B400" t="str">
        <f>_xlfn.XLOOKUP(b.nike.views[[#This Row],[product_ID]], a.nike.original.man[Product_ID], a.nike.original.man[Product Name], "Not Found")</f>
        <v>Nike Mercurial Superfly 7 Club TF</v>
      </c>
      <c r="C400" s="5" t="str">
        <f>_xlfn.XLOOKUP(b.nike.views[[#This Row],[product_ID]], a.nike.original.man[Product_ID], a.nike.original.man[Rating_Group], "Not Found")</f>
        <v>0 - 2.9</v>
      </c>
      <c r="D400">
        <f>_xlfn.XLOOKUP(b.nike.views[[#This Row],[product_ID]], a.nike.original.man[Product_ID], a.nike.original.man[Rating], "Not Found")</f>
        <v>0</v>
      </c>
      <c r="E400" s="10">
        <f>ROUND(_xlfn.XLOOKUP(b.nike.views[[#This Row],[product_ID]], a.nike.original.man[Product_ID], a.nike.original.man[Sale Price], "Not Found"), 0)</f>
        <v>60</v>
      </c>
      <c r="F400" s="5" t="str" cm="1">
        <f t="array" ref="F400">_xlfn.IFS(b.nike.views[[#This Row],[Sales_Price]]&lt;=9, "under $10",b.nike.views[[#This Row],[Sales_Price]]&lt;=20, "$20 and under",b.nike.views[[#This Row],[Sales_Price]]&lt;=50, "$50 and under", b.nike.views[[#This Row],[Sales_Price]]&lt;=99, "under $100", b.nike.views[[#This Row],[Sales_Price]]&gt;=100, "$100 +")</f>
        <v>under $100</v>
      </c>
      <c r="G400">
        <f>COUNTIF(a.nike.original.man[Product_ID], A400)</f>
        <v>2</v>
      </c>
      <c r="H400" t="str" cm="1">
        <f t="array" ref="H400">_xlfn.IFS(b.nike.views[[#This Row],[Review_Count]]&lt;=7, "Below Average",b.nike.views[[#This Row],[Review_Count]]&gt;=8, "Average +")</f>
        <v>Below Average</v>
      </c>
      <c r="I400">
        <f>SUMIF(a.nike.original.man[Product_ID],b.nike.views[[#This Row],[product_ID]], a.nike.original.man[Reviews])</f>
        <v>0</v>
      </c>
      <c r="J400" s="41">
        <f>_xlfn.XLOOKUP(b.nike.views[[#This Row],[product_ID]],a.nike.original.man[Product_ID], a.nike.original.man[Discount %], "Not Found")</f>
        <v>0</v>
      </c>
      <c r="K400" s="41"/>
      <c r="L400" t="s">
        <v>1470</v>
      </c>
    </row>
    <row r="401" spans="1:12" x14ac:dyDescent="0.2">
      <c r="A401" t="s">
        <v>8</v>
      </c>
      <c r="B401" t="str">
        <f>_xlfn.XLOOKUP(b.nike.views[[#This Row],[product_ID]], a.nike.original.man[Product_ID], a.nike.original.man[Product Name], "Not Found")</f>
        <v>Nike Air Force 1 '07 Essential</v>
      </c>
      <c r="C401" s="5" t="str">
        <f>_xlfn.XLOOKUP(b.nike.views[[#This Row],[product_ID]], a.nike.original.man[Product_ID], a.nike.original.man[Rating_Group], "Not Found")</f>
        <v>0 - 2.9</v>
      </c>
      <c r="D401">
        <f>_xlfn.XLOOKUP(b.nike.views[[#This Row],[product_ID]], a.nike.original.man[Product_ID], a.nike.original.man[Rating], "Not Found")</f>
        <v>0</v>
      </c>
      <c r="E401" s="10">
        <f>ROUND(_xlfn.XLOOKUP(b.nike.views[[#This Row],[product_ID]], a.nike.original.man[Product_ID], a.nike.original.man[Sale Price], "Not Found"), 0)</f>
        <v>75</v>
      </c>
      <c r="F401" s="5" t="str" cm="1">
        <f t="array" ref="F401">_xlfn.IFS(b.nike.views[[#This Row],[Sales_Price]]&lt;=9, "under $10",b.nike.views[[#This Row],[Sales_Price]]&lt;=20, "$20 and under",b.nike.views[[#This Row],[Sales_Price]]&lt;=50, "$50 and under", b.nike.views[[#This Row],[Sales_Price]]&lt;=99, "under $100", b.nike.views[[#This Row],[Sales_Price]]&gt;=100, "$100 +")</f>
        <v>under $100</v>
      </c>
      <c r="G401">
        <f>COUNTIF(a.nike.original.man[Product_ID], A401)</f>
        <v>1</v>
      </c>
      <c r="H401" t="str" cm="1">
        <f t="array" ref="H401">_xlfn.IFS(b.nike.views[[#This Row],[Review_Count]]&lt;=7, "Below Average",b.nike.views[[#This Row],[Review_Count]]&gt;=8, "Average +")</f>
        <v>Below Average</v>
      </c>
      <c r="I401">
        <f>SUMIF(a.nike.original.man[Product_ID],b.nike.views[[#This Row],[product_ID]], a.nike.original.man[Reviews])</f>
        <v>0</v>
      </c>
      <c r="J401" s="41">
        <f>_xlfn.XLOOKUP(b.nike.views[[#This Row],[product_ID]],a.nike.original.man[Product_ID], a.nike.original.man[Discount %], "Not Found")</f>
        <v>0</v>
      </c>
      <c r="K401" s="41"/>
      <c r="L401" t="s">
        <v>1470</v>
      </c>
    </row>
    <row r="402" spans="1:12" x14ac:dyDescent="0.2">
      <c r="A402" t="s">
        <v>18</v>
      </c>
      <c r="B402" t="str">
        <f>_xlfn.XLOOKUP(b.nike.views[[#This Row],[product_ID]], a.nike.original.man[Product_ID], a.nike.original.man[Product Name], "Not Found")</f>
        <v>Nike Air Max Dia SE</v>
      </c>
      <c r="C402" s="5" t="str">
        <f>_xlfn.XLOOKUP(b.nike.views[[#This Row],[product_ID]], a.nike.original.man[Product_ID], a.nike.original.man[Rating_Group], "Not Found")</f>
        <v>0 - 2.9</v>
      </c>
      <c r="D402">
        <f>_xlfn.XLOOKUP(b.nike.views[[#This Row],[product_ID]], a.nike.original.man[Product_ID], a.nike.original.man[Rating], "Not Found")</f>
        <v>0</v>
      </c>
      <c r="E402" s="10">
        <f>ROUND(_xlfn.XLOOKUP(b.nike.views[[#This Row],[product_ID]], a.nike.original.man[Product_ID], a.nike.original.man[Sale Price], "Not Found"), 0)</f>
        <v>100</v>
      </c>
      <c r="F402" s="5" t="str" cm="1">
        <f t="array" ref="F402">_xlfn.IFS(b.nike.views[[#This Row],[Sales_Price]]&lt;=9, "under $10",b.nike.views[[#This Row],[Sales_Price]]&lt;=20, "$20 and under",b.nike.views[[#This Row],[Sales_Price]]&lt;=50, "$50 and under", b.nike.views[[#This Row],[Sales_Price]]&lt;=99, "under $100", b.nike.views[[#This Row],[Sales_Price]]&gt;=100, "$100 +")</f>
        <v>$100 +</v>
      </c>
      <c r="G402">
        <f>COUNTIF(a.nike.original.man[Product_ID], A402)</f>
        <v>1</v>
      </c>
      <c r="H402" t="str" cm="1">
        <f t="array" ref="H402">_xlfn.IFS(b.nike.views[[#This Row],[Review_Count]]&lt;=7, "Below Average",b.nike.views[[#This Row],[Review_Count]]&gt;=8, "Average +")</f>
        <v>Below Average</v>
      </c>
      <c r="I402">
        <f>SUMIF(a.nike.original.man[Product_ID],b.nike.views[[#This Row],[product_ID]], a.nike.original.man[Reviews])</f>
        <v>0</v>
      </c>
      <c r="J402" s="41">
        <f>_xlfn.XLOOKUP(b.nike.views[[#This Row],[product_ID]],a.nike.original.man[Product_ID], a.nike.original.man[Discount %], "Not Found")</f>
        <v>0</v>
      </c>
      <c r="K402" s="41"/>
      <c r="L402" t="s">
        <v>1470</v>
      </c>
    </row>
    <row r="403" spans="1:12" x14ac:dyDescent="0.2">
      <c r="A403" t="s">
        <v>46</v>
      </c>
      <c r="B403" t="str">
        <f>_xlfn.XLOOKUP(b.nike.views[[#This Row],[product_ID]], a.nike.original.man[Product_ID], a.nike.original.man[Product Name], "Not Found")</f>
        <v>Nike SuperRep Go</v>
      </c>
      <c r="C403" s="5" t="str">
        <f>_xlfn.XLOOKUP(b.nike.views[[#This Row],[product_ID]], a.nike.original.man[Product_ID], a.nike.original.man[Rating_Group], "Not Found")</f>
        <v>0 - 2.9</v>
      </c>
      <c r="D403">
        <f>_xlfn.XLOOKUP(b.nike.views[[#This Row],[product_ID]], a.nike.original.man[Product_ID], a.nike.original.man[Rating], "Not Found")</f>
        <v>0</v>
      </c>
      <c r="E403" s="10">
        <f>ROUND(_xlfn.XLOOKUP(b.nike.views[[#This Row],[product_ID]], a.nike.original.man[Product_ID], a.nike.original.man[Sale Price], "Not Found"), 0)</f>
        <v>80</v>
      </c>
      <c r="F403" s="5" t="str" cm="1">
        <f t="array" ref="F403">_xlfn.IFS(b.nike.views[[#This Row],[Sales_Price]]&lt;=9, "under $10",b.nike.views[[#This Row],[Sales_Price]]&lt;=20, "$20 and under",b.nike.views[[#This Row],[Sales_Price]]&lt;=50, "$50 and under", b.nike.views[[#This Row],[Sales_Price]]&lt;=99, "under $100", b.nike.views[[#This Row],[Sales_Price]]&gt;=100, "$100 +")</f>
        <v>under $100</v>
      </c>
      <c r="G403">
        <f>COUNTIF(a.nike.original.man[Product_ID], A403)</f>
        <v>1</v>
      </c>
      <c r="H403" t="str" cm="1">
        <f t="array" ref="H403">_xlfn.IFS(b.nike.views[[#This Row],[Review_Count]]&lt;=7, "Below Average",b.nike.views[[#This Row],[Review_Count]]&gt;=8, "Average +")</f>
        <v>Below Average</v>
      </c>
      <c r="I403">
        <f>SUMIF(a.nike.original.man[Product_ID],b.nike.views[[#This Row],[product_ID]], a.nike.original.man[Reviews])</f>
        <v>0</v>
      </c>
      <c r="J403" s="41">
        <f>_xlfn.XLOOKUP(b.nike.views[[#This Row],[product_ID]],a.nike.original.man[Product_ID], a.nike.original.man[Discount %], "Not Found")</f>
        <v>0</v>
      </c>
      <c r="K403" s="41"/>
      <c r="L403" t="s">
        <v>1470</v>
      </c>
    </row>
    <row r="404" spans="1:12" x14ac:dyDescent="0.2">
      <c r="A404" t="s">
        <v>103</v>
      </c>
      <c r="B404" t="str">
        <f>_xlfn.XLOOKUP(b.nike.views[[#This Row],[product_ID]], a.nike.original.man[Product_ID], a.nike.original.man[Product Name], "Not Found")</f>
        <v>Nike ZoomX Vista Grind</v>
      </c>
      <c r="C404" s="5" t="str">
        <f>_xlfn.XLOOKUP(b.nike.views[[#This Row],[product_ID]], a.nike.original.man[Product_ID], a.nike.original.man[Rating_Group], "Not Found")</f>
        <v>0 - 2.9</v>
      </c>
      <c r="D404">
        <f>_xlfn.XLOOKUP(b.nike.views[[#This Row],[product_ID]], a.nike.original.man[Product_ID], a.nike.original.man[Rating], "Not Found")</f>
        <v>0</v>
      </c>
      <c r="E404" s="10">
        <f>ROUND(_xlfn.XLOOKUP(b.nike.views[[#This Row],[product_ID]], a.nike.original.man[Product_ID], a.nike.original.man[Sale Price], "Not Found"), 0)</f>
        <v>140</v>
      </c>
      <c r="F404" s="5" t="str" cm="1">
        <f t="array" ref="F404">_xlfn.IFS(b.nike.views[[#This Row],[Sales_Price]]&lt;=9, "under $10",b.nike.views[[#This Row],[Sales_Price]]&lt;=20, "$20 and under",b.nike.views[[#This Row],[Sales_Price]]&lt;=50, "$50 and under", b.nike.views[[#This Row],[Sales_Price]]&lt;=99, "under $100", b.nike.views[[#This Row],[Sales_Price]]&gt;=100, "$100 +")</f>
        <v>$100 +</v>
      </c>
      <c r="G404">
        <f>COUNTIF(a.nike.original.man[Product_ID], A404)</f>
        <v>1</v>
      </c>
      <c r="H404" t="str" cm="1">
        <f t="array" ref="H404">_xlfn.IFS(b.nike.views[[#This Row],[Review_Count]]&lt;=7, "Below Average",b.nike.views[[#This Row],[Review_Count]]&gt;=8, "Average +")</f>
        <v>Below Average</v>
      </c>
      <c r="I404">
        <f>SUMIF(a.nike.original.man[Product_ID],b.nike.views[[#This Row],[product_ID]], a.nike.original.man[Reviews])</f>
        <v>0</v>
      </c>
      <c r="J404" s="41">
        <f>_xlfn.XLOOKUP(b.nike.views[[#This Row],[product_ID]],a.nike.original.man[Product_ID], a.nike.original.man[Discount %], "Not Found")</f>
        <v>0</v>
      </c>
      <c r="K404" s="41"/>
      <c r="L404" t="s">
        <v>1470</v>
      </c>
    </row>
    <row r="405" spans="1:12" x14ac:dyDescent="0.2">
      <c r="A405" t="s">
        <v>106</v>
      </c>
      <c r="B405" t="str">
        <f>_xlfn.XLOOKUP(b.nike.views[[#This Row],[product_ID]], a.nike.original.man[Product_ID], a.nike.original.man[Product Name], "Not Found")</f>
        <v>Nike Air Force 1 Sage Low</v>
      </c>
      <c r="C405" s="5" t="str">
        <f>_xlfn.XLOOKUP(b.nike.views[[#This Row],[product_ID]], a.nike.original.man[Product_ID], a.nike.original.man[Rating_Group], "Not Found")</f>
        <v>0 - 2.9</v>
      </c>
      <c r="D405">
        <f>_xlfn.XLOOKUP(b.nike.views[[#This Row],[product_ID]], a.nike.original.man[Product_ID], a.nike.original.man[Rating], "Not Found")</f>
        <v>0</v>
      </c>
      <c r="E405" s="10">
        <f>ROUND(_xlfn.XLOOKUP(b.nike.views[[#This Row],[product_ID]], a.nike.original.man[Product_ID], a.nike.original.man[Sale Price], "Not Found"), 0)</f>
        <v>90</v>
      </c>
      <c r="F405" s="5" t="str" cm="1">
        <f t="array" ref="F405">_xlfn.IFS(b.nike.views[[#This Row],[Sales_Price]]&lt;=9, "under $10",b.nike.views[[#This Row],[Sales_Price]]&lt;=20, "$20 and under",b.nike.views[[#This Row],[Sales_Price]]&lt;=50, "$50 and under", b.nike.views[[#This Row],[Sales_Price]]&lt;=99, "under $100", b.nike.views[[#This Row],[Sales_Price]]&gt;=100, "$100 +")</f>
        <v>under $100</v>
      </c>
      <c r="G405">
        <f>COUNTIF(a.nike.original.man[Product_ID], A405)</f>
        <v>1</v>
      </c>
      <c r="H405" t="str" cm="1">
        <f t="array" ref="H405">_xlfn.IFS(b.nike.views[[#This Row],[Review_Count]]&lt;=7, "Below Average",b.nike.views[[#This Row],[Review_Count]]&gt;=8, "Average +")</f>
        <v>Below Average</v>
      </c>
      <c r="I405">
        <f>SUMIF(a.nike.original.man[Product_ID],b.nike.views[[#This Row],[product_ID]], a.nike.original.man[Reviews])</f>
        <v>0</v>
      </c>
      <c r="J405" s="41">
        <f>_xlfn.XLOOKUP(b.nike.views[[#This Row],[product_ID]],a.nike.original.man[Product_ID], a.nike.original.man[Discount %], "Not Found")</f>
        <v>0</v>
      </c>
      <c r="K405" s="41"/>
      <c r="L405" t="s">
        <v>1470</v>
      </c>
    </row>
    <row r="406" spans="1:12" x14ac:dyDescent="0.2">
      <c r="A406" t="s">
        <v>127</v>
      </c>
      <c r="B406" t="str">
        <f>_xlfn.XLOOKUP(b.nike.views[[#This Row],[product_ID]], a.nike.original.man[Product_ID], a.nike.original.man[Product Name], "Not Found")</f>
        <v>Nike Mercurial Vapor 13 Club Neymar Jr. TF</v>
      </c>
      <c r="C406" s="5" t="str">
        <f>_xlfn.XLOOKUP(b.nike.views[[#This Row],[product_ID]], a.nike.original.man[Product_ID], a.nike.original.man[Rating_Group], "Not Found")</f>
        <v>0 - 2.9</v>
      </c>
      <c r="D406">
        <f>_xlfn.XLOOKUP(b.nike.views[[#This Row],[product_ID]], a.nike.original.man[Product_ID], a.nike.original.man[Rating], "Not Found")</f>
        <v>0</v>
      </c>
      <c r="E406" s="10">
        <f>ROUND(_xlfn.XLOOKUP(b.nike.views[[#This Row],[product_ID]], a.nike.original.man[Product_ID], a.nike.original.man[Sale Price], "Not Found"), 0)</f>
        <v>55</v>
      </c>
      <c r="F406" s="5" t="str" cm="1">
        <f t="array" ref="F406">_xlfn.IFS(b.nike.views[[#This Row],[Sales_Price]]&lt;=9, "under $10",b.nike.views[[#This Row],[Sales_Price]]&lt;=20, "$20 and under",b.nike.views[[#This Row],[Sales_Price]]&lt;=50, "$50 and under", b.nike.views[[#This Row],[Sales_Price]]&lt;=99, "under $100", b.nike.views[[#This Row],[Sales_Price]]&gt;=100, "$100 +")</f>
        <v>under $100</v>
      </c>
      <c r="G406">
        <f>COUNTIF(a.nike.original.man[Product_ID], A406)</f>
        <v>2</v>
      </c>
      <c r="H406" t="str" cm="1">
        <f t="array" ref="H406">_xlfn.IFS(b.nike.views[[#This Row],[Review_Count]]&lt;=7, "Below Average",b.nike.views[[#This Row],[Review_Count]]&gt;=8, "Average +")</f>
        <v>Below Average</v>
      </c>
      <c r="I406">
        <f>SUMIF(a.nike.original.man[Product_ID],b.nike.views[[#This Row],[product_ID]], a.nike.original.man[Reviews])</f>
        <v>0</v>
      </c>
      <c r="J406" s="41">
        <f>_xlfn.XLOOKUP(b.nike.views[[#This Row],[product_ID]],a.nike.original.man[Product_ID], a.nike.original.man[Discount %], "Not Found")</f>
        <v>0</v>
      </c>
      <c r="K406" s="41"/>
      <c r="L406" t="s">
        <v>1470</v>
      </c>
    </row>
    <row r="407" spans="1:12" x14ac:dyDescent="0.2">
      <c r="A407" t="s">
        <v>142</v>
      </c>
      <c r="B407" t="str">
        <f>_xlfn.XLOOKUP(b.nike.views[[#This Row],[product_ID]], a.nike.original.man[Product_ID], a.nike.original.man[Product Name], "Not Found")</f>
        <v>Nike Free RN Flyknit 3.0 2020</v>
      </c>
      <c r="C407" s="5" t="str">
        <f>_xlfn.XLOOKUP(b.nike.views[[#This Row],[product_ID]], a.nike.original.man[Product_ID], a.nike.original.man[Rating_Group], "Not Found")</f>
        <v>0 - 2.9</v>
      </c>
      <c r="D407">
        <f>_xlfn.XLOOKUP(b.nike.views[[#This Row],[product_ID]], a.nike.original.man[Product_ID], a.nike.original.man[Rating], "Not Found")</f>
        <v>0</v>
      </c>
      <c r="E407" s="10">
        <f>ROUND(_xlfn.XLOOKUP(b.nike.views[[#This Row],[product_ID]], a.nike.original.man[Product_ID], a.nike.original.man[Sale Price], "Not Found"), 0)</f>
        <v>110</v>
      </c>
      <c r="F407" s="5" t="str" cm="1">
        <f t="array" ref="F407">_xlfn.IFS(b.nike.views[[#This Row],[Sales_Price]]&lt;=9, "under $10",b.nike.views[[#This Row],[Sales_Price]]&lt;=20, "$20 and under",b.nike.views[[#This Row],[Sales_Price]]&lt;=50, "$50 and under", b.nike.views[[#This Row],[Sales_Price]]&lt;=99, "under $100", b.nike.views[[#This Row],[Sales_Price]]&gt;=100, "$100 +")</f>
        <v>$100 +</v>
      </c>
      <c r="G407">
        <f>COUNTIF(a.nike.original.man[Product_ID], A407)</f>
        <v>1</v>
      </c>
      <c r="H407" t="str" cm="1">
        <f t="array" ref="H407">_xlfn.IFS(b.nike.views[[#This Row],[Review_Count]]&lt;=7, "Below Average",b.nike.views[[#This Row],[Review_Count]]&gt;=8, "Average +")</f>
        <v>Below Average</v>
      </c>
      <c r="I407">
        <f>SUMIF(a.nike.original.man[Product_ID],b.nike.views[[#This Row],[product_ID]], a.nike.original.man[Reviews])</f>
        <v>0</v>
      </c>
      <c r="J407" s="41">
        <f>_xlfn.XLOOKUP(b.nike.views[[#This Row],[product_ID]],a.nike.original.man[Product_ID], a.nike.original.man[Discount %], "Not Found")</f>
        <v>0</v>
      </c>
      <c r="K407" s="41"/>
      <c r="L407" t="s">
        <v>1470</v>
      </c>
    </row>
    <row r="408" spans="1:12" x14ac:dyDescent="0.2">
      <c r="A408" t="s">
        <v>151</v>
      </c>
      <c r="B408" t="str">
        <f>_xlfn.XLOOKUP(b.nike.views[[#This Row],[product_ID]], a.nike.original.man[Product_ID], a.nike.original.man[Product Name], "Not Found")</f>
        <v>PG 4 EP</v>
      </c>
      <c r="C408" s="5" t="str">
        <f>_xlfn.XLOOKUP(b.nike.views[[#This Row],[product_ID]], a.nike.original.man[Product_ID], a.nike.original.man[Rating_Group], "Not Found")</f>
        <v>0 - 2.9</v>
      </c>
      <c r="D408">
        <f>_xlfn.XLOOKUP(b.nike.views[[#This Row],[product_ID]], a.nike.original.man[Product_ID], a.nike.original.man[Rating], "Not Found")</f>
        <v>0</v>
      </c>
      <c r="E408" s="10">
        <f>ROUND(_xlfn.XLOOKUP(b.nike.views[[#This Row],[product_ID]], a.nike.original.man[Product_ID], a.nike.original.man[Sale Price], "Not Found"), 0)</f>
        <v>90</v>
      </c>
      <c r="F408" s="5" t="str" cm="1">
        <f t="array" ref="F408">_xlfn.IFS(b.nike.views[[#This Row],[Sales_Price]]&lt;=9, "under $10",b.nike.views[[#This Row],[Sales_Price]]&lt;=20, "$20 and under",b.nike.views[[#This Row],[Sales_Price]]&lt;=50, "$50 and under", b.nike.views[[#This Row],[Sales_Price]]&lt;=99, "under $100", b.nike.views[[#This Row],[Sales_Price]]&gt;=100, "$100 +")</f>
        <v>under $100</v>
      </c>
      <c r="G408">
        <f>COUNTIF(a.nike.original.man[Product_ID], A408)</f>
        <v>1</v>
      </c>
      <c r="H408" t="str" cm="1">
        <f t="array" ref="H408">_xlfn.IFS(b.nike.views[[#This Row],[Review_Count]]&lt;=7, "Below Average",b.nike.views[[#This Row],[Review_Count]]&gt;=8, "Average +")</f>
        <v>Below Average</v>
      </c>
      <c r="I408">
        <f>SUMIF(a.nike.original.man[Product_ID],b.nike.views[[#This Row],[product_ID]], a.nike.original.man[Reviews])</f>
        <v>0</v>
      </c>
      <c r="J408" s="41">
        <f>_xlfn.XLOOKUP(b.nike.views[[#This Row],[product_ID]],a.nike.original.man[Product_ID], a.nike.original.man[Discount %], "Not Found")</f>
        <v>0</v>
      </c>
      <c r="K408" s="41"/>
      <c r="L408" t="s">
        <v>1470</v>
      </c>
    </row>
    <row r="409" spans="1:12" x14ac:dyDescent="0.2">
      <c r="A409" t="s">
        <v>305</v>
      </c>
      <c r="B409" t="str">
        <f>_xlfn.XLOOKUP(b.nike.views[[#This Row],[product_ID]], a.nike.original.man[Product_ID], a.nike.original.man[Product Name], "Not Found")</f>
        <v>Nike Phantom Vision 2 Academy Dynamic Fit MG</v>
      </c>
      <c r="C409" s="5" t="str">
        <f>_xlfn.XLOOKUP(b.nike.views[[#This Row],[product_ID]], a.nike.original.man[Product_ID], a.nike.original.man[Rating_Group], "Not Found")</f>
        <v>0 - 2.9</v>
      </c>
      <c r="D409">
        <f>_xlfn.XLOOKUP(b.nike.views[[#This Row],[product_ID]], a.nike.original.man[Product_ID], a.nike.original.man[Rating], "Not Found")</f>
        <v>0</v>
      </c>
      <c r="E409" s="10">
        <f>ROUND(_xlfn.XLOOKUP(b.nike.views[[#This Row],[product_ID]], a.nike.original.man[Product_ID], a.nike.original.man[Sale Price], "Not Found"), 0)</f>
        <v>85</v>
      </c>
      <c r="F409" s="5" t="str" cm="1">
        <f t="array" ref="F409">_xlfn.IFS(b.nike.views[[#This Row],[Sales_Price]]&lt;=9, "under $10",b.nike.views[[#This Row],[Sales_Price]]&lt;=20, "$20 and under",b.nike.views[[#This Row],[Sales_Price]]&lt;=50, "$50 and under", b.nike.views[[#This Row],[Sales_Price]]&lt;=99, "under $100", b.nike.views[[#This Row],[Sales_Price]]&gt;=100, "$100 +")</f>
        <v>under $100</v>
      </c>
      <c r="G409">
        <f>COUNTIF(a.nike.original.man[Product_ID], A409)</f>
        <v>2</v>
      </c>
      <c r="H409" t="str" cm="1">
        <f t="array" ref="H409">_xlfn.IFS(b.nike.views[[#This Row],[Review_Count]]&lt;=7, "Below Average",b.nike.views[[#This Row],[Review_Count]]&gt;=8, "Average +")</f>
        <v>Below Average</v>
      </c>
      <c r="I409">
        <f>SUMIF(a.nike.original.man[Product_ID],b.nike.views[[#This Row],[product_ID]], a.nike.original.man[Reviews])</f>
        <v>0</v>
      </c>
      <c r="J409" s="41">
        <f>_xlfn.XLOOKUP(b.nike.views[[#This Row],[product_ID]],a.nike.original.man[Product_ID], a.nike.original.man[Discount %], "Not Found")</f>
        <v>0</v>
      </c>
      <c r="K409" s="41"/>
      <c r="L409" t="s">
        <v>1470</v>
      </c>
    </row>
    <row r="410" spans="1:12" x14ac:dyDescent="0.2">
      <c r="A410" t="s">
        <v>316</v>
      </c>
      <c r="B410" t="str">
        <f>_xlfn.XLOOKUP(b.nike.views[[#This Row],[product_ID]], a.nike.original.man[Product_ID], a.nike.original.man[Product Name], "Not Found")</f>
        <v>Nike Phantom Vision 2 Club Dynamic Fit MG</v>
      </c>
      <c r="C410" s="5" t="str">
        <f>_xlfn.XLOOKUP(b.nike.views[[#This Row],[product_ID]], a.nike.original.man[Product_ID], a.nike.original.man[Rating_Group], "Not Found")</f>
        <v>0 - 2.9</v>
      </c>
      <c r="D410">
        <f>_xlfn.XLOOKUP(b.nike.views[[#This Row],[product_ID]], a.nike.original.man[Product_ID], a.nike.original.man[Rating], "Not Found")</f>
        <v>0</v>
      </c>
      <c r="E410" s="10">
        <f>ROUND(_xlfn.XLOOKUP(b.nike.views[[#This Row],[product_ID]], a.nike.original.man[Product_ID], a.nike.original.man[Sale Price], "Not Found"), 0)</f>
        <v>60</v>
      </c>
      <c r="F410" s="5" t="str" cm="1">
        <f t="array" ref="F410">_xlfn.IFS(b.nike.views[[#This Row],[Sales_Price]]&lt;=9, "under $10",b.nike.views[[#This Row],[Sales_Price]]&lt;=20, "$20 and under",b.nike.views[[#This Row],[Sales_Price]]&lt;=50, "$50 and under", b.nike.views[[#This Row],[Sales_Price]]&lt;=99, "under $100", b.nike.views[[#This Row],[Sales_Price]]&gt;=100, "$100 +")</f>
        <v>under $100</v>
      </c>
      <c r="G410">
        <f>COUNTIF(a.nike.original.man[Product_ID], A410)</f>
        <v>2</v>
      </c>
      <c r="H410" t="str" cm="1">
        <f t="array" ref="H410">_xlfn.IFS(b.nike.views[[#This Row],[Review_Count]]&lt;=7, "Below Average",b.nike.views[[#This Row],[Review_Count]]&gt;=8, "Average +")</f>
        <v>Below Average</v>
      </c>
      <c r="I410">
        <f>SUMIF(a.nike.original.man[Product_ID],b.nike.views[[#This Row],[product_ID]], a.nike.original.man[Reviews])</f>
        <v>0</v>
      </c>
      <c r="J410" s="41">
        <f>_xlfn.XLOOKUP(b.nike.views[[#This Row],[product_ID]],a.nike.original.man[Product_ID], a.nike.original.man[Discount %], "Not Found")</f>
        <v>0</v>
      </c>
      <c r="K410" s="41"/>
      <c r="L410" t="s">
        <v>1470</v>
      </c>
    </row>
    <row r="411" spans="1:12" x14ac:dyDescent="0.2">
      <c r="A411" t="s">
        <v>323</v>
      </c>
      <c r="B411" t="str">
        <f>_xlfn.XLOOKUP(b.nike.views[[#This Row],[product_ID]], a.nike.original.man[Product_ID], a.nike.original.man[Product Name], "Not Found")</f>
        <v>Nike Free RN 5.0 2020</v>
      </c>
      <c r="C411" s="5" t="str">
        <f>_xlfn.XLOOKUP(b.nike.views[[#This Row],[product_ID]], a.nike.original.man[Product_ID], a.nike.original.man[Rating_Group], "Not Found")</f>
        <v>0 - 2.9</v>
      </c>
      <c r="D411">
        <f>_xlfn.XLOOKUP(b.nike.views[[#This Row],[product_ID]], a.nike.original.man[Product_ID], a.nike.original.man[Rating], "Not Found")</f>
        <v>0</v>
      </c>
      <c r="E411" s="10">
        <f>ROUND(_xlfn.XLOOKUP(b.nike.views[[#This Row],[product_ID]], a.nike.original.man[Product_ID], a.nike.original.man[Sale Price], "Not Found"), 0)</f>
        <v>80</v>
      </c>
      <c r="F411" s="5" t="str" cm="1">
        <f t="array" ref="F411">_xlfn.IFS(b.nike.views[[#This Row],[Sales_Price]]&lt;=9, "under $10",b.nike.views[[#This Row],[Sales_Price]]&lt;=20, "$20 and under",b.nike.views[[#This Row],[Sales_Price]]&lt;=50, "$50 and under", b.nike.views[[#This Row],[Sales_Price]]&lt;=99, "under $100", b.nike.views[[#This Row],[Sales_Price]]&gt;=100, "$100 +")</f>
        <v>under $100</v>
      </c>
      <c r="G411">
        <f>COUNTIF(a.nike.original.man[Product_ID], A411)</f>
        <v>1</v>
      </c>
      <c r="H411" t="str" cm="1">
        <f t="array" ref="H411">_xlfn.IFS(b.nike.views[[#This Row],[Review_Count]]&lt;=7, "Below Average",b.nike.views[[#This Row],[Review_Count]]&gt;=8, "Average +")</f>
        <v>Below Average</v>
      </c>
      <c r="I411">
        <f>SUMIF(a.nike.original.man[Product_ID],b.nike.views[[#This Row],[product_ID]], a.nike.original.man[Reviews])</f>
        <v>0</v>
      </c>
      <c r="J411" s="41">
        <f>_xlfn.XLOOKUP(b.nike.views[[#This Row],[product_ID]],a.nike.original.man[Product_ID], a.nike.original.man[Discount %], "Not Found")</f>
        <v>0</v>
      </c>
      <c r="K411" s="41"/>
      <c r="L411" t="s">
        <v>1470</v>
      </c>
    </row>
    <row r="412" spans="1:12" x14ac:dyDescent="0.2">
      <c r="A412" t="s">
        <v>347</v>
      </c>
      <c r="B412" t="str">
        <f>_xlfn.XLOOKUP(b.nike.views[[#This Row],[product_ID]], a.nike.original.man[Product_ID], a.nike.original.man[Product Name], "Not Found")</f>
        <v>Nike Mercurial Superfly 7 Club MG</v>
      </c>
      <c r="C412" s="5" t="str">
        <f>_xlfn.XLOOKUP(b.nike.views[[#This Row],[product_ID]], a.nike.original.man[Product_ID], a.nike.original.man[Rating_Group], "Not Found")</f>
        <v>0 - 2.9</v>
      </c>
      <c r="D412">
        <f>_xlfn.XLOOKUP(b.nike.views[[#This Row],[product_ID]], a.nike.original.man[Product_ID], a.nike.original.man[Rating], "Not Found")</f>
        <v>0</v>
      </c>
      <c r="E412" s="10">
        <f>ROUND(_xlfn.XLOOKUP(b.nike.views[[#This Row],[product_ID]], a.nike.original.man[Product_ID], a.nike.original.man[Sale Price], "Not Found"), 0)</f>
        <v>60</v>
      </c>
      <c r="F412" s="5" t="str" cm="1">
        <f t="array" ref="F412">_xlfn.IFS(b.nike.views[[#This Row],[Sales_Price]]&lt;=9, "under $10",b.nike.views[[#This Row],[Sales_Price]]&lt;=20, "$20 and under",b.nike.views[[#This Row],[Sales_Price]]&lt;=50, "$50 and under", b.nike.views[[#This Row],[Sales_Price]]&lt;=99, "under $100", b.nike.views[[#This Row],[Sales_Price]]&gt;=100, "$100 +")</f>
        <v>under $100</v>
      </c>
      <c r="G412">
        <f>COUNTIF(a.nike.original.man[Product_ID], A412)</f>
        <v>2</v>
      </c>
      <c r="H412" t="str" cm="1">
        <f t="array" ref="H412">_xlfn.IFS(b.nike.views[[#This Row],[Review_Count]]&lt;=7, "Below Average",b.nike.views[[#This Row],[Review_Count]]&gt;=8, "Average +")</f>
        <v>Below Average</v>
      </c>
      <c r="I412">
        <f>SUMIF(a.nike.original.man[Product_ID],b.nike.views[[#This Row],[product_ID]], a.nike.original.man[Reviews])</f>
        <v>0</v>
      </c>
      <c r="J412" s="41">
        <f>_xlfn.XLOOKUP(b.nike.views[[#This Row],[product_ID]],a.nike.original.man[Product_ID], a.nike.original.man[Discount %], "Not Found")</f>
        <v>0</v>
      </c>
      <c r="K412" s="41"/>
      <c r="L412" t="s">
        <v>1470</v>
      </c>
    </row>
    <row r="413" spans="1:12" x14ac:dyDescent="0.2">
      <c r="A413" t="s">
        <v>378</v>
      </c>
      <c r="B413" t="str">
        <f>_xlfn.XLOOKUP(b.nike.views[[#This Row],[product_ID]], a.nike.original.man[Product_ID], a.nike.original.man[Product Name], "Not Found")</f>
        <v>Nike Mercurial Vapor XII Club MG</v>
      </c>
      <c r="C413" s="5" t="str">
        <f>_xlfn.XLOOKUP(b.nike.views[[#This Row],[product_ID]], a.nike.original.man[Product_ID], a.nike.original.man[Rating_Group], "Not Found")</f>
        <v>0 - 2.9</v>
      </c>
      <c r="D413">
        <f>_xlfn.XLOOKUP(b.nike.views[[#This Row],[product_ID]], a.nike.original.man[Product_ID], a.nike.original.man[Rating], "Not Found")</f>
        <v>0</v>
      </c>
      <c r="E413" s="10">
        <f>ROUND(_xlfn.XLOOKUP(b.nike.views[[#This Row],[product_ID]], a.nike.original.man[Product_ID], a.nike.original.man[Sale Price], "Not Found"), 0)</f>
        <v>40</v>
      </c>
      <c r="F413" s="5" t="str" cm="1">
        <f t="array" ref="F413">_xlfn.IFS(b.nike.views[[#This Row],[Sales_Price]]&lt;=9, "under $10",b.nike.views[[#This Row],[Sales_Price]]&lt;=20, "$20 and under",b.nike.views[[#This Row],[Sales_Price]]&lt;=50, "$50 and under", b.nike.views[[#This Row],[Sales_Price]]&lt;=99, "under $100", b.nike.views[[#This Row],[Sales_Price]]&gt;=100, "$100 +")</f>
        <v>$50 and under</v>
      </c>
      <c r="G413">
        <f>COUNTIF(a.nike.original.man[Product_ID], A413)</f>
        <v>2</v>
      </c>
      <c r="H413" t="str" cm="1">
        <f t="array" ref="H413">_xlfn.IFS(b.nike.views[[#This Row],[Review_Count]]&lt;=7, "Below Average",b.nike.views[[#This Row],[Review_Count]]&gt;=8, "Average +")</f>
        <v>Below Average</v>
      </c>
      <c r="I413">
        <f>SUMIF(a.nike.original.man[Product_ID],b.nike.views[[#This Row],[product_ID]], a.nike.original.man[Reviews])</f>
        <v>0</v>
      </c>
      <c r="J413" s="41">
        <f>_xlfn.XLOOKUP(b.nike.views[[#This Row],[product_ID]],a.nike.original.man[Product_ID], a.nike.original.man[Discount %], "Not Found")</f>
        <v>0.2</v>
      </c>
      <c r="K413" s="41"/>
      <c r="L413" t="s">
        <v>1470</v>
      </c>
    </row>
    <row r="414" spans="1:12" x14ac:dyDescent="0.2">
      <c r="A414" t="s">
        <v>390</v>
      </c>
      <c r="B414" t="str">
        <f>_xlfn.XLOOKUP(b.nike.views[[#This Row],[product_ID]], a.nike.original.man[Product_ID], a.nike.original.man[Product Name], "Not Found")</f>
        <v>Nike SB Charge Slip Premium</v>
      </c>
      <c r="C414" s="5" t="str">
        <f>_xlfn.XLOOKUP(b.nike.views[[#This Row],[product_ID]], a.nike.original.man[Product_ID], a.nike.original.man[Rating_Group], "Not Found")</f>
        <v>0 - 2.9</v>
      </c>
      <c r="D414">
        <f>_xlfn.XLOOKUP(b.nike.views[[#This Row],[product_ID]], a.nike.original.man[Product_ID], a.nike.original.man[Rating], "Not Found")</f>
        <v>0</v>
      </c>
      <c r="E414" s="10">
        <f>ROUND(_xlfn.XLOOKUP(b.nike.views[[#This Row],[product_ID]], a.nike.original.man[Product_ID], a.nike.original.man[Sale Price], "Not Found"), 0)</f>
        <v>55</v>
      </c>
      <c r="F414" s="5" t="str" cm="1">
        <f t="array" ref="F414">_xlfn.IFS(b.nike.views[[#This Row],[Sales_Price]]&lt;=9, "under $10",b.nike.views[[#This Row],[Sales_Price]]&lt;=20, "$20 and under",b.nike.views[[#This Row],[Sales_Price]]&lt;=50, "$50 and under", b.nike.views[[#This Row],[Sales_Price]]&lt;=99, "under $100", b.nike.views[[#This Row],[Sales_Price]]&gt;=100, "$100 +")</f>
        <v>under $100</v>
      </c>
      <c r="G414">
        <f>COUNTIF(a.nike.original.man[Product_ID], A414)</f>
        <v>2</v>
      </c>
      <c r="H414" t="str" cm="1">
        <f t="array" ref="H414">_xlfn.IFS(b.nike.views[[#This Row],[Review_Count]]&lt;=7, "Below Average",b.nike.views[[#This Row],[Review_Count]]&gt;=8, "Average +")</f>
        <v>Below Average</v>
      </c>
      <c r="I414">
        <f>SUMIF(a.nike.original.man[Product_ID],b.nike.views[[#This Row],[product_ID]], a.nike.original.man[Reviews])</f>
        <v>0</v>
      </c>
      <c r="J414" s="41">
        <f>_xlfn.XLOOKUP(b.nike.views[[#This Row],[product_ID]],a.nike.original.man[Product_ID], a.nike.original.man[Discount %], "Not Found")</f>
        <v>0</v>
      </c>
      <c r="K414" s="41"/>
      <c r="L414" t="s">
        <v>1470</v>
      </c>
    </row>
    <row r="415" spans="1:12" x14ac:dyDescent="0.2">
      <c r="A415" t="s">
        <v>618</v>
      </c>
      <c r="B415" t="str">
        <f>_xlfn.XLOOKUP(b.nike.views[[#This Row],[product_ID]], a.nike.original.man[Product_ID], a.nike.original.man[Product Name], "Not Found")</f>
        <v>Nike Tiempo Legend 8 Club MG</v>
      </c>
      <c r="C415" s="5" t="str">
        <f>_xlfn.XLOOKUP(b.nike.views[[#This Row],[product_ID]], a.nike.original.man[Product_ID], a.nike.original.man[Rating_Group], "Not Found")</f>
        <v>0 - 2.9</v>
      </c>
      <c r="D415">
        <f>_xlfn.XLOOKUP(b.nike.views[[#This Row],[product_ID]], a.nike.original.man[Product_ID], a.nike.original.man[Rating], "Not Found")</f>
        <v>0</v>
      </c>
      <c r="E415" s="10">
        <f>ROUND(_xlfn.XLOOKUP(b.nike.views[[#This Row],[product_ID]], a.nike.original.man[Product_ID], a.nike.original.man[Sale Price], "Not Found"), 0)</f>
        <v>45</v>
      </c>
      <c r="F415" s="5" t="str" cm="1">
        <f t="array" ref="F415">_xlfn.IFS(b.nike.views[[#This Row],[Sales_Price]]&lt;=9, "under $10",b.nike.views[[#This Row],[Sales_Price]]&lt;=20, "$20 and under",b.nike.views[[#This Row],[Sales_Price]]&lt;=50, "$50 and under", b.nike.views[[#This Row],[Sales_Price]]&lt;=99, "under $100", b.nike.views[[#This Row],[Sales_Price]]&gt;=100, "$100 +")</f>
        <v>$50 and under</v>
      </c>
      <c r="G415">
        <f>COUNTIF(a.nike.original.man[Product_ID], A415)</f>
        <v>2</v>
      </c>
      <c r="H415" t="str" cm="1">
        <f t="array" ref="H415">_xlfn.IFS(b.nike.views[[#This Row],[Review_Count]]&lt;=7, "Below Average",b.nike.views[[#This Row],[Review_Count]]&gt;=8, "Average +")</f>
        <v>Below Average</v>
      </c>
      <c r="I415">
        <f>SUMIF(a.nike.original.man[Product_ID],b.nike.views[[#This Row],[product_ID]], a.nike.original.man[Reviews])</f>
        <v>0</v>
      </c>
      <c r="J415" s="41">
        <f>_xlfn.XLOOKUP(b.nike.views[[#This Row],[product_ID]],a.nike.original.man[Product_ID], a.nike.original.man[Discount %], "Not Found")</f>
        <v>0</v>
      </c>
      <c r="K415" s="41"/>
      <c r="L415" t="s">
        <v>1470</v>
      </c>
    </row>
    <row r="416" spans="1:12" x14ac:dyDescent="0.2">
      <c r="A416" t="s">
        <v>737</v>
      </c>
      <c r="B416" t="str">
        <f>_xlfn.XLOOKUP(b.nike.views[[#This Row],[product_ID]], a.nike.original.man[Product_ID], a.nike.original.man[Product Name], "Not Found")</f>
        <v>Nike Mercurial Vapor 13 Club TF</v>
      </c>
      <c r="C416" s="5" t="str">
        <f>_xlfn.XLOOKUP(b.nike.views[[#This Row],[product_ID]], a.nike.original.man[Product_ID], a.nike.original.man[Rating_Group], "Not Found")</f>
        <v>0 - 2.9</v>
      </c>
      <c r="D416">
        <f>_xlfn.XLOOKUP(b.nike.views[[#This Row],[product_ID]], a.nike.original.man[Product_ID], a.nike.original.man[Rating], "Not Found")</f>
        <v>0</v>
      </c>
      <c r="E416" s="10">
        <f>ROUND(_xlfn.XLOOKUP(b.nike.views[[#This Row],[product_ID]], a.nike.original.man[Product_ID], a.nike.original.man[Sale Price], "Not Found"), 0)</f>
        <v>35</v>
      </c>
      <c r="F416" s="5" t="str" cm="1">
        <f t="array" ref="F416">_xlfn.IFS(b.nike.views[[#This Row],[Sales_Price]]&lt;=9, "under $10",b.nike.views[[#This Row],[Sales_Price]]&lt;=20, "$20 and under",b.nike.views[[#This Row],[Sales_Price]]&lt;=50, "$50 and under", b.nike.views[[#This Row],[Sales_Price]]&lt;=99, "under $100", b.nike.views[[#This Row],[Sales_Price]]&gt;=100, "$100 +")</f>
        <v>$50 and under</v>
      </c>
      <c r="G416">
        <f>COUNTIF(a.nike.original.man[Product_ID], A416)</f>
        <v>2</v>
      </c>
      <c r="H416" t="str" cm="1">
        <f t="array" ref="H416">_xlfn.IFS(b.nike.views[[#This Row],[Review_Count]]&lt;=7, "Below Average",b.nike.views[[#This Row],[Review_Count]]&gt;=8, "Average +")</f>
        <v>Below Average</v>
      </c>
      <c r="I416">
        <f>SUMIF(a.nike.original.man[Product_ID],b.nike.views[[#This Row],[product_ID]], a.nike.original.man[Reviews])</f>
        <v>0</v>
      </c>
      <c r="J416" s="41">
        <f>_xlfn.XLOOKUP(b.nike.views[[#This Row],[product_ID]],a.nike.original.man[Product_ID], a.nike.original.man[Discount %], "Not Found")</f>
        <v>0.3</v>
      </c>
      <c r="K416" s="41"/>
      <c r="L416" t="s">
        <v>1470</v>
      </c>
    </row>
    <row r="417" spans="1:12" x14ac:dyDescent="0.2">
      <c r="A417" t="s">
        <v>796</v>
      </c>
      <c r="B417" t="str">
        <f>_xlfn.XLOOKUP(b.nike.views[[#This Row],[product_ID]], a.nike.original.man[Product_ID], a.nike.original.man[Product Name], "Not Found")</f>
        <v>Nike Free RN Flyknit 3.0 2020</v>
      </c>
      <c r="C417" s="5" t="str">
        <f>_xlfn.XLOOKUP(b.nike.views[[#This Row],[product_ID]], a.nike.original.man[Product_ID], a.nike.original.man[Rating_Group], "Not Found")</f>
        <v>0 - 2.9</v>
      </c>
      <c r="D417">
        <f>_xlfn.XLOOKUP(b.nike.views[[#This Row],[product_ID]], a.nike.original.man[Product_ID], a.nike.original.man[Rating], "Not Found")</f>
        <v>0</v>
      </c>
      <c r="E417" s="10">
        <f>ROUND(_xlfn.XLOOKUP(b.nike.views[[#This Row],[product_ID]], a.nike.original.man[Product_ID], a.nike.original.man[Sale Price], "Not Found"), 0)</f>
        <v>110</v>
      </c>
      <c r="F417" s="5" t="str" cm="1">
        <f t="array" ref="F417">_xlfn.IFS(b.nike.views[[#This Row],[Sales_Price]]&lt;=9, "under $10",b.nike.views[[#This Row],[Sales_Price]]&lt;=20, "$20 and under",b.nike.views[[#This Row],[Sales_Price]]&lt;=50, "$50 and under", b.nike.views[[#This Row],[Sales_Price]]&lt;=99, "under $100", b.nike.views[[#This Row],[Sales_Price]]&gt;=100, "$100 +")</f>
        <v>$100 +</v>
      </c>
      <c r="G417">
        <f>COUNTIF(a.nike.original.man[Product_ID], A417)</f>
        <v>1</v>
      </c>
      <c r="H417" t="str" cm="1">
        <f t="array" ref="H417">_xlfn.IFS(b.nike.views[[#This Row],[Review_Count]]&lt;=7, "Below Average",b.nike.views[[#This Row],[Review_Count]]&gt;=8, "Average +")</f>
        <v>Below Average</v>
      </c>
      <c r="I417">
        <f>SUMIF(a.nike.original.man[Product_ID],b.nike.views[[#This Row],[product_ID]], a.nike.original.man[Reviews])</f>
        <v>0</v>
      </c>
      <c r="J417" s="41">
        <f>_xlfn.XLOOKUP(b.nike.views[[#This Row],[product_ID]],a.nike.original.man[Product_ID], a.nike.original.man[Discount %], "Not Found")</f>
        <v>0</v>
      </c>
      <c r="K417" s="41"/>
      <c r="L417" t="s">
        <v>1470</v>
      </c>
    </row>
    <row r="418" spans="1:12" x14ac:dyDescent="0.2">
      <c r="A418" t="s">
        <v>832</v>
      </c>
      <c r="B418" t="str">
        <f>_xlfn.XLOOKUP(b.nike.views[[#This Row],[product_ID]], a.nike.original.man[Product_ID], a.nike.original.man[Product Name], "Not Found")</f>
        <v>Nike Phantom Venom Club IC</v>
      </c>
      <c r="C418" s="5" t="str">
        <f>_xlfn.XLOOKUP(b.nike.views[[#This Row],[product_ID]], a.nike.original.man[Product_ID], a.nike.original.man[Rating_Group], "Not Found")</f>
        <v>0 - 2.9</v>
      </c>
      <c r="D418">
        <f>_xlfn.XLOOKUP(b.nike.views[[#This Row],[product_ID]], a.nike.original.man[Product_ID], a.nike.original.man[Rating], "Not Found")</f>
        <v>0</v>
      </c>
      <c r="E418" s="10">
        <f>ROUND(_xlfn.XLOOKUP(b.nike.views[[#This Row],[product_ID]], a.nike.original.man[Product_ID], a.nike.original.man[Sale Price], "Not Found"), 0)</f>
        <v>35</v>
      </c>
      <c r="F418" s="5" t="str" cm="1">
        <f t="array" ref="F418">_xlfn.IFS(b.nike.views[[#This Row],[Sales_Price]]&lt;=9, "under $10",b.nike.views[[#This Row],[Sales_Price]]&lt;=20, "$20 and under",b.nike.views[[#This Row],[Sales_Price]]&lt;=50, "$50 and under", b.nike.views[[#This Row],[Sales_Price]]&lt;=99, "under $100", b.nike.views[[#This Row],[Sales_Price]]&gt;=100, "$100 +")</f>
        <v>$50 and under</v>
      </c>
      <c r="G418">
        <f>COUNTIF(a.nike.original.man[Product_ID], A418)</f>
        <v>2</v>
      </c>
      <c r="H418" t="str" cm="1">
        <f t="array" ref="H418">_xlfn.IFS(b.nike.views[[#This Row],[Review_Count]]&lt;=7, "Below Average",b.nike.views[[#This Row],[Review_Count]]&gt;=8, "Average +")</f>
        <v>Below Average</v>
      </c>
      <c r="I418">
        <f>SUMIF(a.nike.original.man[Product_ID],b.nike.views[[#This Row],[product_ID]], a.nike.original.man[Reviews])</f>
        <v>0</v>
      </c>
      <c r="J418" s="41">
        <f>_xlfn.XLOOKUP(b.nike.views[[#This Row],[product_ID]],a.nike.original.man[Product_ID], a.nike.original.man[Discount %], "Not Found")</f>
        <v>0.3</v>
      </c>
      <c r="K418" s="41"/>
      <c r="L418" t="s">
        <v>1470</v>
      </c>
    </row>
    <row r="419" spans="1:12" x14ac:dyDescent="0.2">
      <c r="A419" t="s">
        <v>966</v>
      </c>
      <c r="B419" t="str">
        <f>_xlfn.XLOOKUP(b.nike.views[[#This Row],[product_ID]], a.nike.original.man[Product_ID], a.nike.original.man[Product Name], "Not Found")</f>
        <v>Nike Phantom Vision 2 Academy Dynamic Fit TF</v>
      </c>
      <c r="C419" s="5" t="str">
        <f>_xlfn.XLOOKUP(b.nike.views[[#This Row],[product_ID]], a.nike.original.man[Product_ID], a.nike.original.man[Rating_Group], "Not Found")</f>
        <v>0 - 2.9</v>
      </c>
      <c r="D419">
        <f>_xlfn.XLOOKUP(b.nike.views[[#This Row],[product_ID]], a.nike.original.man[Product_ID], a.nike.original.man[Rating], "Not Found")</f>
        <v>0</v>
      </c>
      <c r="E419" s="10">
        <f>ROUND(_xlfn.XLOOKUP(b.nike.views[[#This Row],[product_ID]], a.nike.original.man[Product_ID], a.nike.original.man[Sale Price], "Not Found"), 0)</f>
        <v>85</v>
      </c>
      <c r="F419" s="5" t="str" cm="1">
        <f t="array" ref="F419">_xlfn.IFS(b.nike.views[[#This Row],[Sales_Price]]&lt;=9, "under $10",b.nike.views[[#This Row],[Sales_Price]]&lt;=20, "$20 and under",b.nike.views[[#This Row],[Sales_Price]]&lt;=50, "$50 and under", b.nike.views[[#This Row],[Sales_Price]]&lt;=99, "under $100", b.nike.views[[#This Row],[Sales_Price]]&gt;=100, "$100 +")</f>
        <v>under $100</v>
      </c>
      <c r="G419">
        <f>COUNTIF(a.nike.original.man[Product_ID], A419)</f>
        <v>2</v>
      </c>
      <c r="H419" t="str" cm="1">
        <f t="array" ref="H419">_xlfn.IFS(b.nike.views[[#This Row],[Review_Count]]&lt;=7, "Below Average",b.nike.views[[#This Row],[Review_Count]]&gt;=8, "Average +")</f>
        <v>Below Average</v>
      </c>
      <c r="I419">
        <f>SUMIF(a.nike.original.man[Product_ID],b.nike.views[[#This Row],[product_ID]], a.nike.original.man[Reviews])</f>
        <v>0</v>
      </c>
      <c r="J419" s="41">
        <f>_xlfn.XLOOKUP(b.nike.views[[#This Row],[product_ID]],a.nike.original.man[Product_ID], a.nike.original.man[Discount %], "Not Found")</f>
        <v>0</v>
      </c>
      <c r="K419" s="41"/>
      <c r="L419" t="s">
        <v>1470</v>
      </c>
    </row>
    <row r="420" spans="1:12" x14ac:dyDescent="0.2">
      <c r="A420" t="s">
        <v>972</v>
      </c>
      <c r="B420" t="str">
        <f>_xlfn.XLOOKUP(b.nike.views[[#This Row],[product_ID]], a.nike.original.man[Product_ID], a.nike.original.man[Product Name], "Not Found")</f>
        <v>Nike Air Max 98 SE</v>
      </c>
      <c r="C420" s="5" t="str">
        <f>_xlfn.XLOOKUP(b.nike.views[[#This Row],[product_ID]], a.nike.original.man[Product_ID], a.nike.original.man[Rating_Group], "Not Found")</f>
        <v>0 - 2.9</v>
      </c>
      <c r="D420">
        <f>_xlfn.XLOOKUP(b.nike.views[[#This Row],[product_ID]], a.nike.original.man[Product_ID], a.nike.original.man[Rating], "Not Found")</f>
        <v>0</v>
      </c>
      <c r="E420" s="10">
        <f>ROUND(_xlfn.XLOOKUP(b.nike.views[[#This Row],[product_ID]], a.nike.original.man[Product_ID], a.nike.original.man[Sale Price], "Not Found"), 0)</f>
        <v>160</v>
      </c>
      <c r="F420" s="5" t="str" cm="1">
        <f t="array" ref="F420">_xlfn.IFS(b.nike.views[[#This Row],[Sales_Price]]&lt;=9, "under $10",b.nike.views[[#This Row],[Sales_Price]]&lt;=20, "$20 and under",b.nike.views[[#This Row],[Sales_Price]]&lt;=50, "$50 and under", b.nike.views[[#This Row],[Sales_Price]]&lt;=99, "under $100", b.nike.views[[#This Row],[Sales_Price]]&gt;=100, "$100 +")</f>
        <v>$100 +</v>
      </c>
      <c r="G420">
        <f>COUNTIF(a.nike.original.man[Product_ID], A420)</f>
        <v>1</v>
      </c>
      <c r="H420" t="str" cm="1">
        <f t="array" ref="H420">_xlfn.IFS(b.nike.views[[#This Row],[Review_Count]]&lt;=7, "Below Average",b.nike.views[[#This Row],[Review_Count]]&gt;=8, "Average +")</f>
        <v>Below Average</v>
      </c>
      <c r="I420">
        <f>SUMIF(a.nike.original.man[Product_ID],b.nike.views[[#This Row],[product_ID]], a.nike.original.man[Reviews])</f>
        <v>0</v>
      </c>
      <c r="J420" s="41">
        <f>_xlfn.XLOOKUP(b.nike.views[[#This Row],[product_ID]],a.nike.original.man[Product_ID], a.nike.original.man[Discount %], "Not Found")</f>
        <v>0</v>
      </c>
      <c r="K420" s="41"/>
      <c r="L420" t="s">
        <v>1470</v>
      </c>
    </row>
    <row r="421" spans="1:12" x14ac:dyDescent="0.2">
      <c r="A421" t="s">
        <v>76</v>
      </c>
      <c r="B421" t="str">
        <f>_xlfn.XLOOKUP(b.nike.views[[#This Row],[product_ID]], a.nike.original.man[Product_ID], a.nike.original.man[Product Name], "Not Found")</f>
        <v>Nike React Phantom Run Flyknit 2</v>
      </c>
      <c r="C421" s="5" t="str">
        <f>_xlfn.XLOOKUP(b.nike.views[[#This Row],[product_ID]], a.nike.original.man[Product_ID], a.nike.original.man[Rating_Group], "Not Found")</f>
        <v>0 - 2.9</v>
      </c>
      <c r="D421">
        <f>_xlfn.XLOOKUP(b.nike.views[[#This Row],[product_ID]], a.nike.original.man[Product_ID], a.nike.original.man[Rating], "Not Found")</f>
        <v>0</v>
      </c>
      <c r="E421" s="10">
        <f>ROUND(_xlfn.XLOOKUP(b.nike.views[[#This Row],[product_ID]], a.nike.original.man[Product_ID], a.nike.original.man[Sale Price], "Not Found"), 0)</f>
        <v>120</v>
      </c>
      <c r="F421" s="5" t="str" cm="1">
        <f t="array" ref="F421">_xlfn.IFS(b.nike.views[[#This Row],[Sales_Price]]&lt;=9, "under $10",b.nike.views[[#This Row],[Sales_Price]]&lt;=20, "$20 and under",b.nike.views[[#This Row],[Sales_Price]]&lt;=50, "$50 and under", b.nike.views[[#This Row],[Sales_Price]]&lt;=99, "under $100", b.nike.views[[#This Row],[Sales_Price]]&gt;=100, "$100 +")</f>
        <v>$100 +</v>
      </c>
      <c r="G421">
        <f>COUNTIF(a.nike.original.man[Product_ID], A421)</f>
        <v>1</v>
      </c>
      <c r="H421" t="str" cm="1">
        <f t="array" ref="H421">_xlfn.IFS(b.nike.views[[#This Row],[Review_Count]]&lt;=7, "Below Average",b.nike.views[[#This Row],[Review_Count]]&gt;=8, "Average +")</f>
        <v>Below Average</v>
      </c>
      <c r="I421">
        <f>SUMIF(a.nike.original.man[Product_ID],b.nike.views[[#This Row],[product_ID]], a.nike.original.man[Reviews])</f>
        <v>0</v>
      </c>
      <c r="J421" s="41">
        <f>_xlfn.XLOOKUP(b.nike.views[[#This Row],[product_ID]],a.nike.original.man[Product_ID], a.nike.original.man[Discount %], "Not Found")</f>
        <v>0</v>
      </c>
      <c r="K421" s="41"/>
      <c r="L421" t="s">
        <v>1470</v>
      </c>
    </row>
    <row r="422" spans="1:12" x14ac:dyDescent="0.2">
      <c r="A422" t="s">
        <v>145</v>
      </c>
      <c r="B422" t="str">
        <f>_xlfn.XLOOKUP(b.nike.views[[#This Row],[product_ID]], a.nike.original.man[Product_ID], a.nike.original.man[Product Name], "Not Found")</f>
        <v>Nike Mercurial Vapor 13 Club Neymar Jr IC</v>
      </c>
      <c r="C422" s="5" t="str">
        <f>_xlfn.XLOOKUP(b.nike.views[[#This Row],[product_ID]], a.nike.original.man[Product_ID], a.nike.original.man[Rating_Group], "Not Found")</f>
        <v>0 - 2.9</v>
      </c>
      <c r="D422">
        <f>_xlfn.XLOOKUP(b.nike.views[[#This Row],[product_ID]], a.nike.original.man[Product_ID], a.nike.original.man[Rating], "Not Found")</f>
        <v>0</v>
      </c>
      <c r="E422" s="10">
        <f>ROUND(_xlfn.XLOOKUP(b.nike.views[[#This Row],[product_ID]], a.nike.original.man[Product_ID], a.nike.original.man[Sale Price], "Not Found"), 0)</f>
        <v>55</v>
      </c>
      <c r="F422" s="5" t="str" cm="1">
        <f t="array" ref="F422">_xlfn.IFS(b.nike.views[[#This Row],[Sales_Price]]&lt;=9, "under $10",b.nike.views[[#This Row],[Sales_Price]]&lt;=20, "$20 and under",b.nike.views[[#This Row],[Sales_Price]]&lt;=50, "$50 and under", b.nike.views[[#This Row],[Sales_Price]]&lt;=99, "under $100", b.nike.views[[#This Row],[Sales_Price]]&gt;=100, "$100 +")</f>
        <v>under $100</v>
      </c>
      <c r="G422">
        <f>COUNTIF(a.nike.original.man[Product_ID], A422)</f>
        <v>2</v>
      </c>
      <c r="H422" t="str" cm="1">
        <f t="array" ref="H422">_xlfn.IFS(b.nike.views[[#This Row],[Review_Count]]&lt;=7, "Below Average",b.nike.views[[#This Row],[Review_Count]]&gt;=8, "Average +")</f>
        <v>Below Average</v>
      </c>
      <c r="I422">
        <f>SUMIF(a.nike.original.man[Product_ID],b.nike.views[[#This Row],[product_ID]], a.nike.original.man[Reviews])</f>
        <v>0</v>
      </c>
      <c r="J422" s="41">
        <f>_xlfn.XLOOKUP(b.nike.views[[#This Row],[product_ID]],a.nike.original.man[Product_ID], a.nike.original.man[Discount %], "Not Found")</f>
        <v>0</v>
      </c>
      <c r="K422" s="41"/>
      <c r="L422" t="s">
        <v>1470</v>
      </c>
    </row>
    <row r="423" spans="1:12" x14ac:dyDescent="0.2">
      <c r="A423" t="s">
        <v>148</v>
      </c>
      <c r="B423" t="str">
        <f>_xlfn.XLOOKUP(b.nike.views[[#This Row],[product_ID]], a.nike.original.man[Product_ID], a.nike.original.man[Product Name], "Not Found")</f>
        <v>Nike Mercurial Vapor 13 Elite Neymar Jr. FG</v>
      </c>
      <c r="C423" s="5" t="str">
        <f>_xlfn.XLOOKUP(b.nike.views[[#This Row],[product_ID]], a.nike.original.man[Product_ID], a.nike.original.man[Rating_Group], "Not Found")</f>
        <v>0 - 2.9</v>
      </c>
      <c r="D423">
        <f>_xlfn.XLOOKUP(b.nike.views[[#This Row],[product_ID]], a.nike.original.man[Product_ID], a.nike.original.man[Rating], "Not Found")</f>
        <v>0</v>
      </c>
      <c r="E423" s="10">
        <f>ROUND(_xlfn.XLOOKUP(b.nike.views[[#This Row],[product_ID]], a.nike.original.man[Product_ID], a.nike.original.man[Sale Price], "Not Found"), 0)</f>
        <v>230</v>
      </c>
      <c r="F423" s="5" t="str" cm="1">
        <f t="array" ref="F423">_xlfn.IFS(b.nike.views[[#This Row],[Sales_Price]]&lt;=9, "under $10",b.nike.views[[#This Row],[Sales_Price]]&lt;=20, "$20 and under",b.nike.views[[#This Row],[Sales_Price]]&lt;=50, "$50 and under", b.nike.views[[#This Row],[Sales_Price]]&lt;=99, "under $100", b.nike.views[[#This Row],[Sales_Price]]&gt;=100, "$100 +")</f>
        <v>$100 +</v>
      </c>
      <c r="G423">
        <f>COUNTIF(a.nike.original.man[Product_ID], A423)</f>
        <v>2</v>
      </c>
      <c r="H423" t="str" cm="1">
        <f t="array" ref="H423">_xlfn.IFS(b.nike.views[[#This Row],[Review_Count]]&lt;=7, "Below Average",b.nike.views[[#This Row],[Review_Count]]&gt;=8, "Average +")</f>
        <v>Below Average</v>
      </c>
      <c r="I423">
        <f>SUMIF(a.nike.original.man[Product_ID],b.nike.views[[#This Row],[product_ID]], a.nike.original.man[Reviews])</f>
        <v>0</v>
      </c>
      <c r="J423" s="41">
        <f>_xlfn.XLOOKUP(b.nike.views[[#This Row],[product_ID]],a.nike.original.man[Product_ID], a.nike.original.man[Discount %], "Not Found")</f>
        <v>0</v>
      </c>
      <c r="K423" s="41"/>
      <c r="L423" t="s">
        <v>1470</v>
      </c>
    </row>
    <row r="424" spans="1:12" x14ac:dyDescent="0.2">
      <c r="A424" t="s">
        <v>169</v>
      </c>
      <c r="B424" t="str">
        <f>_xlfn.XLOOKUP(b.nike.views[[#This Row],[product_ID]], a.nike.original.man[Product_ID], a.nike.original.man[Product Name], "Not Found")</f>
        <v>Nike Mercurial Vapor 13 Club IC</v>
      </c>
      <c r="C424" s="5" t="str">
        <f>_xlfn.XLOOKUP(b.nike.views[[#This Row],[product_ID]], a.nike.original.man[Product_ID], a.nike.original.man[Rating_Group], "Not Found")</f>
        <v>0 - 2.9</v>
      </c>
      <c r="D424">
        <f>_xlfn.XLOOKUP(b.nike.views[[#This Row],[product_ID]], a.nike.original.man[Product_ID], a.nike.original.man[Rating], "Not Found")</f>
        <v>0</v>
      </c>
      <c r="E424" s="10">
        <f>ROUND(_xlfn.XLOOKUP(b.nike.views[[#This Row],[product_ID]], a.nike.original.man[Product_ID], a.nike.original.man[Sale Price], "Not Found"), 0)</f>
        <v>50</v>
      </c>
      <c r="F424" s="5" t="str" cm="1">
        <f t="array" ref="F424">_xlfn.IFS(b.nike.views[[#This Row],[Sales_Price]]&lt;=9, "under $10",b.nike.views[[#This Row],[Sales_Price]]&lt;=20, "$20 and under",b.nike.views[[#This Row],[Sales_Price]]&lt;=50, "$50 and under", b.nike.views[[#This Row],[Sales_Price]]&lt;=99, "under $100", b.nike.views[[#This Row],[Sales_Price]]&gt;=100, "$100 +")</f>
        <v>$50 and under</v>
      </c>
      <c r="G424">
        <f>COUNTIF(a.nike.original.man[Product_ID], A424)</f>
        <v>2</v>
      </c>
      <c r="H424" t="str" cm="1">
        <f t="array" ref="H424">_xlfn.IFS(b.nike.views[[#This Row],[Review_Count]]&lt;=7, "Below Average",b.nike.views[[#This Row],[Review_Count]]&gt;=8, "Average +")</f>
        <v>Below Average</v>
      </c>
      <c r="I424">
        <f>SUMIF(a.nike.original.man[Product_ID],b.nike.views[[#This Row],[product_ID]], a.nike.original.man[Reviews])</f>
        <v>0</v>
      </c>
      <c r="J424" s="41">
        <f>_xlfn.XLOOKUP(b.nike.views[[#This Row],[product_ID]],a.nike.original.man[Product_ID], a.nike.original.man[Discount %], "Not Found")</f>
        <v>0</v>
      </c>
      <c r="K424" s="41"/>
      <c r="L424" t="s">
        <v>1470</v>
      </c>
    </row>
    <row r="425" spans="1:12" x14ac:dyDescent="0.2">
      <c r="A425" t="s">
        <v>180</v>
      </c>
      <c r="B425" t="str">
        <f>_xlfn.XLOOKUP(b.nike.views[[#This Row],[product_ID]], a.nike.original.man[Product_ID], a.nike.original.man[Product Name], "Not Found")</f>
        <v>Nike Mercurial Vapor 13 Academy Neymar Jr. TF</v>
      </c>
      <c r="C425" s="5" t="str">
        <f>_xlfn.XLOOKUP(b.nike.views[[#This Row],[product_ID]], a.nike.original.man[Product_ID], a.nike.original.man[Rating_Group], "Not Found")</f>
        <v>0 - 2.9</v>
      </c>
      <c r="D425">
        <f>_xlfn.XLOOKUP(b.nike.views[[#This Row],[product_ID]], a.nike.original.man[Product_ID], a.nike.original.man[Rating], "Not Found")</f>
        <v>0</v>
      </c>
      <c r="E425" s="10">
        <f>ROUND(_xlfn.XLOOKUP(b.nike.views[[#This Row],[product_ID]], a.nike.original.man[Product_ID], a.nike.original.man[Sale Price], "Not Found"), 0)</f>
        <v>80</v>
      </c>
      <c r="F425" s="5" t="str" cm="1">
        <f t="array" ref="F425">_xlfn.IFS(b.nike.views[[#This Row],[Sales_Price]]&lt;=9, "under $10",b.nike.views[[#This Row],[Sales_Price]]&lt;=20, "$20 and under",b.nike.views[[#This Row],[Sales_Price]]&lt;=50, "$50 and under", b.nike.views[[#This Row],[Sales_Price]]&lt;=99, "under $100", b.nike.views[[#This Row],[Sales_Price]]&gt;=100, "$100 +")</f>
        <v>under $100</v>
      </c>
      <c r="G425">
        <f>COUNTIF(a.nike.original.man[Product_ID], A425)</f>
        <v>2</v>
      </c>
      <c r="H425" t="str" cm="1">
        <f t="array" ref="H425">_xlfn.IFS(b.nike.views[[#This Row],[Review_Count]]&lt;=7, "Below Average",b.nike.views[[#This Row],[Review_Count]]&gt;=8, "Average +")</f>
        <v>Below Average</v>
      </c>
      <c r="I425">
        <f>SUMIF(a.nike.original.man[Product_ID],b.nike.views[[#This Row],[product_ID]], a.nike.original.man[Reviews])</f>
        <v>0</v>
      </c>
      <c r="J425" s="41">
        <f>_xlfn.XLOOKUP(b.nike.views[[#This Row],[product_ID]],a.nike.original.man[Product_ID], a.nike.original.man[Discount %], "Not Found")</f>
        <v>0</v>
      </c>
      <c r="K425" s="41"/>
      <c r="L425" t="s">
        <v>1470</v>
      </c>
    </row>
    <row r="426" spans="1:12" x14ac:dyDescent="0.2">
      <c r="A426" t="s">
        <v>194</v>
      </c>
      <c r="B426" t="str">
        <f>_xlfn.XLOOKUP(b.nike.views[[#This Row],[product_ID]], a.nike.original.man[Product_ID], a.nike.original.man[Product Name], "Not Found")</f>
        <v>Nike SuperRep Go</v>
      </c>
      <c r="C426" s="5" t="str">
        <f>_xlfn.XLOOKUP(b.nike.views[[#This Row],[product_ID]], a.nike.original.man[Product_ID], a.nike.original.man[Rating_Group], "Not Found")</f>
        <v>0 - 2.9</v>
      </c>
      <c r="D426">
        <f>_xlfn.XLOOKUP(b.nike.views[[#This Row],[product_ID]], a.nike.original.man[Product_ID], a.nike.original.man[Rating], "Not Found")</f>
        <v>0</v>
      </c>
      <c r="E426" s="10">
        <f>ROUND(_xlfn.XLOOKUP(b.nike.views[[#This Row],[product_ID]], a.nike.original.man[Product_ID], a.nike.original.man[Sale Price], "Not Found"), 0)</f>
        <v>80</v>
      </c>
      <c r="F426" s="5" t="str" cm="1">
        <f t="array" ref="F426">_xlfn.IFS(b.nike.views[[#This Row],[Sales_Price]]&lt;=9, "under $10",b.nike.views[[#This Row],[Sales_Price]]&lt;=20, "$20 and under",b.nike.views[[#This Row],[Sales_Price]]&lt;=50, "$50 and under", b.nike.views[[#This Row],[Sales_Price]]&lt;=99, "under $100", b.nike.views[[#This Row],[Sales_Price]]&gt;=100, "$100 +")</f>
        <v>under $100</v>
      </c>
      <c r="G426">
        <f>COUNTIF(a.nike.original.man[Product_ID], A426)</f>
        <v>1</v>
      </c>
      <c r="H426" t="str" cm="1">
        <f t="array" ref="H426">_xlfn.IFS(b.nike.views[[#This Row],[Review_Count]]&lt;=7, "Below Average",b.nike.views[[#This Row],[Review_Count]]&gt;=8, "Average +")</f>
        <v>Below Average</v>
      </c>
      <c r="I426">
        <f>SUMIF(a.nike.original.man[Product_ID],b.nike.views[[#This Row],[product_ID]], a.nike.original.man[Reviews])</f>
        <v>0</v>
      </c>
      <c r="J426" s="41">
        <f>_xlfn.XLOOKUP(b.nike.views[[#This Row],[product_ID]],a.nike.original.man[Product_ID], a.nike.original.man[Discount %], "Not Found")</f>
        <v>0</v>
      </c>
      <c r="K426" s="41"/>
      <c r="L426" t="s">
        <v>1470</v>
      </c>
    </row>
    <row r="427" spans="1:12" x14ac:dyDescent="0.2">
      <c r="A427" t="s">
        <v>237</v>
      </c>
      <c r="B427" t="str">
        <f>_xlfn.XLOOKUP(b.nike.views[[#This Row],[product_ID]], a.nike.original.man[Product_ID], a.nike.original.man[Product Name], "Not Found")</f>
        <v>KD Trey 5 VII EP</v>
      </c>
      <c r="C427" s="5" t="str">
        <f>_xlfn.XLOOKUP(b.nike.views[[#This Row],[product_ID]], a.nike.original.man[Product_ID], a.nike.original.man[Rating_Group], "Not Found")</f>
        <v>0 - 2.9</v>
      </c>
      <c r="D427">
        <f>_xlfn.XLOOKUP(b.nike.views[[#This Row],[product_ID]], a.nike.original.man[Product_ID], a.nike.original.man[Rating], "Not Found")</f>
        <v>0</v>
      </c>
      <c r="E427" s="10">
        <f>ROUND(_xlfn.XLOOKUP(b.nike.views[[#This Row],[product_ID]], a.nike.original.man[Product_ID], a.nike.original.man[Sale Price], "Not Found"), 0)</f>
        <v>80</v>
      </c>
      <c r="F427" s="5" t="str" cm="1">
        <f t="array" ref="F427">_xlfn.IFS(b.nike.views[[#This Row],[Sales_Price]]&lt;=9, "under $10",b.nike.views[[#This Row],[Sales_Price]]&lt;=20, "$20 and under",b.nike.views[[#This Row],[Sales_Price]]&lt;=50, "$50 and under", b.nike.views[[#This Row],[Sales_Price]]&lt;=99, "under $100", b.nike.views[[#This Row],[Sales_Price]]&gt;=100, "$100 +")</f>
        <v>under $100</v>
      </c>
      <c r="G427">
        <f>COUNTIF(a.nike.original.man[Product_ID], A427)</f>
        <v>2</v>
      </c>
      <c r="H427" t="str" cm="1">
        <f t="array" ref="H427">_xlfn.IFS(b.nike.views[[#This Row],[Review_Count]]&lt;=7, "Below Average",b.nike.views[[#This Row],[Review_Count]]&gt;=8, "Average +")</f>
        <v>Below Average</v>
      </c>
      <c r="I427">
        <f>SUMIF(a.nike.original.man[Product_ID],b.nike.views[[#This Row],[product_ID]], a.nike.original.man[Reviews])</f>
        <v>0</v>
      </c>
      <c r="J427" s="41">
        <f>_xlfn.XLOOKUP(b.nike.views[[#This Row],[product_ID]],a.nike.original.man[Product_ID], a.nike.original.man[Discount %], "Not Found")</f>
        <v>0</v>
      </c>
      <c r="K427" s="41"/>
      <c r="L427" t="s">
        <v>1470</v>
      </c>
    </row>
    <row r="428" spans="1:12" x14ac:dyDescent="0.2">
      <c r="A428" t="s">
        <v>240</v>
      </c>
      <c r="B428" t="str">
        <f>_xlfn.XLOOKUP(b.nike.views[[#This Row],[product_ID]], a.nike.original.man[Product_ID], a.nike.original.man[Product Name], "Not Found")</f>
        <v>Nike Mercurial Vapor 13 Academy TF</v>
      </c>
      <c r="C428" s="5" t="str">
        <f>_xlfn.XLOOKUP(b.nike.views[[#This Row],[product_ID]], a.nike.original.man[Product_ID], a.nike.original.man[Rating_Group], "Not Found")</f>
        <v>0 - 2.9</v>
      </c>
      <c r="D428">
        <f>_xlfn.XLOOKUP(b.nike.views[[#This Row],[product_ID]], a.nike.original.man[Product_ID], a.nike.original.man[Rating], "Not Found")</f>
        <v>0</v>
      </c>
      <c r="E428" s="10">
        <f>ROUND(_xlfn.XLOOKUP(b.nike.views[[#This Row],[product_ID]], a.nike.original.man[Product_ID], a.nike.original.man[Sale Price], "Not Found"), 0)</f>
        <v>75</v>
      </c>
      <c r="F428" s="5" t="str" cm="1">
        <f t="array" ref="F428">_xlfn.IFS(b.nike.views[[#This Row],[Sales_Price]]&lt;=9, "under $10",b.nike.views[[#This Row],[Sales_Price]]&lt;=20, "$20 and under",b.nike.views[[#This Row],[Sales_Price]]&lt;=50, "$50 and under", b.nike.views[[#This Row],[Sales_Price]]&lt;=99, "under $100", b.nike.views[[#This Row],[Sales_Price]]&gt;=100, "$100 +")</f>
        <v>under $100</v>
      </c>
      <c r="G428">
        <f>COUNTIF(a.nike.original.man[Product_ID], A428)</f>
        <v>1</v>
      </c>
      <c r="H428" t="str" cm="1">
        <f t="array" ref="H428">_xlfn.IFS(b.nike.views[[#This Row],[Review_Count]]&lt;=7, "Below Average",b.nike.views[[#This Row],[Review_Count]]&gt;=8, "Average +")</f>
        <v>Below Average</v>
      </c>
      <c r="I428">
        <f>SUMIF(a.nike.original.man[Product_ID],b.nike.views[[#This Row],[product_ID]], a.nike.original.man[Reviews])</f>
        <v>0</v>
      </c>
      <c r="J428" s="41">
        <f>_xlfn.XLOOKUP(b.nike.views[[#This Row],[product_ID]],a.nike.original.man[Product_ID], a.nike.original.man[Discount %], "Not Found")</f>
        <v>0</v>
      </c>
      <c r="K428" s="41"/>
      <c r="L428" t="s">
        <v>1470</v>
      </c>
    </row>
    <row r="429" spans="1:12" x14ac:dyDescent="0.2">
      <c r="A429" t="s">
        <v>370</v>
      </c>
      <c r="B429" t="str">
        <f>_xlfn.XLOOKUP(b.nike.views[[#This Row],[product_ID]], a.nike.original.man[Product_ID], a.nike.original.man[Product Name], "Not Found")</f>
        <v>Nike Mercurial Superfly 7 Academy MDS MG</v>
      </c>
      <c r="C429" s="5" t="str">
        <f>_xlfn.XLOOKUP(b.nike.views[[#This Row],[product_ID]], a.nike.original.man[Product_ID], a.nike.original.man[Rating_Group], "Not Found")</f>
        <v>0 - 2.9</v>
      </c>
      <c r="D429">
        <f>_xlfn.XLOOKUP(b.nike.views[[#This Row],[product_ID]], a.nike.original.man[Product_ID], a.nike.original.man[Rating], "Not Found")</f>
        <v>0</v>
      </c>
      <c r="E429" s="10">
        <f>ROUND(_xlfn.XLOOKUP(b.nike.views[[#This Row],[product_ID]], a.nike.original.man[Product_ID], a.nike.original.man[Sale Price], "Not Found"), 0)</f>
        <v>90</v>
      </c>
      <c r="F429" s="5" t="str" cm="1">
        <f t="array" ref="F429">_xlfn.IFS(b.nike.views[[#This Row],[Sales_Price]]&lt;=9, "under $10",b.nike.views[[#This Row],[Sales_Price]]&lt;=20, "$20 and under",b.nike.views[[#This Row],[Sales_Price]]&lt;=50, "$50 and under", b.nike.views[[#This Row],[Sales_Price]]&lt;=99, "under $100", b.nike.views[[#This Row],[Sales_Price]]&gt;=100, "$100 +")</f>
        <v>under $100</v>
      </c>
      <c r="G429">
        <f>COUNTIF(a.nike.original.man[Product_ID], A429)</f>
        <v>2</v>
      </c>
      <c r="H429" t="str" cm="1">
        <f t="array" ref="H429">_xlfn.IFS(b.nike.views[[#This Row],[Review_Count]]&lt;=7, "Below Average",b.nike.views[[#This Row],[Review_Count]]&gt;=8, "Average +")</f>
        <v>Below Average</v>
      </c>
      <c r="I429">
        <f>SUMIF(a.nike.original.man[Product_ID],b.nike.views[[#This Row],[product_ID]], a.nike.original.man[Reviews])</f>
        <v>0</v>
      </c>
      <c r="J429" s="41">
        <f>_xlfn.XLOOKUP(b.nike.views[[#This Row],[product_ID]],a.nike.original.man[Product_ID], a.nike.original.man[Discount %], "Not Found")</f>
        <v>0</v>
      </c>
      <c r="K429" s="41"/>
      <c r="L429" t="s">
        <v>1470</v>
      </c>
    </row>
    <row r="430" spans="1:12" x14ac:dyDescent="0.2">
      <c r="A430" t="s">
        <v>392</v>
      </c>
      <c r="B430" t="str">
        <f>_xlfn.XLOOKUP(b.nike.views[[#This Row],[product_ID]], a.nike.original.man[Product_ID], a.nike.original.man[Product Name], "Not Found")</f>
        <v>Nike Free RN 5.0 2020</v>
      </c>
      <c r="C430" s="5" t="str">
        <f>_xlfn.XLOOKUP(b.nike.views[[#This Row],[product_ID]], a.nike.original.man[Product_ID], a.nike.original.man[Rating_Group], "Not Found")</f>
        <v>0 - 2.9</v>
      </c>
      <c r="D430">
        <f>_xlfn.XLOOKUP(b.nike.views[[#This Row],[product_ID]], a.nike.original.man[Product_ID], a.nike.original.man[Rating], "Not Found")</f>
        <v>0</v>
      </c>
      <c r="E430" s="10">
        <f>ROUND(_xlfn.XLOOKUP(b.nike.views[[#This Row],[product_ID]], a.nike.original.man[Product_ID], a.nike.original.man[Sale Price], "Not Found"), 0)</f>
        <v>80</v>
      </c>
      <c r="F430" s="5" t="str" cm="1">
        <f t="array" ref="F430">_xlfn.IFS(b.nike.views[[#This Row],[Sales_Price]]&lt;=9, "under $10",b.nike.views[[#This Row],[Sales_Price]]&lt;=20, "$20 and under",b.nike.views[[#This Row],[Sales_Price]]&lt;=50, "$50 and under", b.nike.views[[#This Row],[Sales_Price]]&lt;=99, "under $100", b.nike.views[[#This Row],[Sales_Price]]&gt;=100, "$100 +")</f>
        <v>under $100</v>
      </c>
      <c r="G430">
        <f>COUNTIF(a.nike.original.man[Product_ID], A430)</f>
        <v>1</v>
      </c>
      <c r="H430" t="str" cm="1">
        <f t="array" ref="H430">_xlfn.IFS(b.nike.views[[#This Row],[Review_Count]]&lt;=7, "Below Average",b.nike.views[[#This Row],[Review_Count]]&gt;=8, "Average +")</f>
        <v>Below Average</v>
      </c>
      <c r="I430">
        <f>SUMIF(a.nike.original.man[Product_ID],b.nike.views[[#This Row],[product_ID]], a.nike.original.man[Reviews])</f>
        <v>0</v>
      </c>
      <c r="J430" s="41">
        <f>_xlfn.XLOOKUP(b.nike.views[[#This Row],[product_ID]],a.nike.original.man[Product_ID], a.nike.original.man[Discount %], "Not Found")</f>
        <v>0</v>
      </c>
      <c r="K430" s="41"/>
      <c r="L430" t="s">
        <v>1470</v>
      </c>
    </row>
    <row r="431" spans="1:12" x14ac:dyDescent="0.2">
      <c r="A431" t="s">
        <v>396</v>
      </c>
      <c r="B431" t="str">
        <f>_xlfn.XLOOKUP(b.nike.views[[#This Row],[product_ID]], a.nike.original.man[Product_ID], a.nike.original.man[Product Name], "Not Found")</f>
        <v>Nike Air Force 1 React</v>
      </c>
      <c r="C431" s="5" t="str">
        <f>_xlfn.XLOOKUP(b.nike.views[[#This Row],[product_ID]], a.nike.original.man[Product_ID], a.nike.original.man[Rating_Group], "Not Found")</f>
        <v>0 - 2.9</v>
      </c>
      <c r="D431">
        <f>_xlfn.XLOOKUP(b.nike.views[[#This Row],[product_ID]], a.nike.original.man[Product_ID], a.nike.original.man[Rating], "Not Found")</f>
        <v>0</v>
      </c>
      <c r="E431" s="10">
        <f>ROUND(_xlfn.XLOOKUP(b.nike.views[[#This Row],[product_ID]], a.nike.original.man[Product_ID], a.nike.original.man[Sale Price], "Not Found"), 0)</f>
        <v>100</v>
      </c>
      <c r="F431" s="5" t="str" cm="1">
        <f t="array" ref="F431">_xlfn.IFS(b.nike.views[[#This Row],[Sales_Price]]&lt;=9, "under $10",b.nike.views[[#This Row],[Sales_Price]]&lt;=20, "$20 and under",b.nike.views[[#This Row],[Sales_Price]]&lt;=50, "$50 and under", b.nike.views[[#This Row],[Sales_Price]]&lt;=99, "under $100", b.nike.views[[#This Row],[Sales_Price]]&gt;=100, "$100 +")</f>
        <v>$100 +</v>
      </c>
      <c r="G431">
        <f>COUNTIF(a.nike.original.man[Product_ID], A431)</f>
        <v>1</v>
      </c>
      <c r="H431" t="str" cm="1">
        <f t="array" ref="H431">_xlfn.IFS(b.nike.views[[#This Row],[Review_Count]]&lt;=7, "Below Average",b.nike.views[[#This Row],[Review_Count]]&gt;=8, "Average +")</f>
        <v>Below Average</v>
      </c>
      <c r="I431">
        <f>SUMIF(a.nike.original.man[Product_ID],b.nike.views[[#This Row],[product_ID]], a.nike.original.man[Reviews])</f>
        <v>0</v>
      </c>
      <c r="J431" s="41">
        <f>_xlfn.XLOOKUP(b.nike.views[[#This Row],[product_ID]],a.nike.original.man[Product_ID], a.nike.original.man[Discount %], "Not Found")</f>
        <v>0</v>
      </c>
      <c r="K431" s="41"/>
      <c r="L431" t="s">
        <v>1470</v>
      </c>
    </row>
    <row r="432" spans="1:12" x14ac:dyDescent="0.2">
      <c r="A432" t="s">
        <v>500</v>
      </c>
      <c r="B432" t="str">
        <f>_xlfn.XLOOKUP(b.nike.views[[#This Row],[product_ID]], a.nike.original.man[Product_ID], a.nike.original.man[Product Name], "Not Found")</f>
        <v>Nike Mercurial Vapor 13 Academy MDS IC</v>
      </c>
      <c r="C432" s="5" t="str">
        <f>_xlfn.XLOOKUP(b.nike.views[[#This Row],[product_ID]], a.nike.original.man[Product_ID], a.nike.original.man[Rating_Group], "Not Found")</f>
        <v>0 - 2.9</v>
      </c>
      <c r="D432">
        <f>_xlfn.XLOOKUP(b.nike.views[[#This Row],[product_ID]], a.nike.original.man[Product_ID], a.nike.original.man[Rating], "Not Found")</f>
        <v>0</v>
      </c>
      <c r="E432" s="10">
        <f>ROUND(_xlfn.XLOOKUP(b.nike.views[[#This Row],[product_ID]], a.nike.original.man[Product_ID], a.nike.original.man[Sale Price], "Not Found"), 0)</f>
        <v>52</v>
      </c>
      <c r="F432" s="5" t="str" cm="1">
        <f t="array" ref="F432">_xlfn.IFS(b.nike.views[[#This Row],[Sales_Price]]&lt;=9, "under $10",b.nike.views[[#This Row],[Sales_Price]]&lt;=20, "$20 and under",b.nike.views[[#This Row],[Sales_Price]]&lt;=50, "$50 and under", b.nike.views[[#This Row],[Sales_Price]]&lt;=99, "under $100", b.nike.views[[#This Row],[Sales_Price]]&gt;=100, "$100 +")</f>
        <v>under $100</v>
      </c>
      <c r="G432">
        <f>COUNTIF(a.nike.original.man[Product_ID], A432)</f>
        <v>2</v>
      </c>
      <c r="H432" t="str" cm="1">
        <f t="array" ref="H432">_xlfn.IFS(b.nike.views[[#This Row],[Review_Count]]&lt;=7, "Below Average",b.nike.views[[#This Row],[Review_Count]]&gt;=8, "Average +")</f>
        <v>Below Average</v>
      </c>
      <c r="I432">
        <f>SUMIF(a.nike.original.man[Product_ID],b.nike.views[[#This Row],[product_ID]], a.nike.original.man[Reviews])</f>
        <v>0</v>
      </c>
      <c r="J432" s="41">
        <f>_xlfn.XLOOKUP(b.nike.views[[#This Row],[product_ID]],a.nike.original.man[Product_ID], a.nike.original.man[Discount %], "Not Found")</f>
        <v>0.3</v>
      </c>
      <c r="K432" s="41"/>
      <c r="L432" t="s">
        <v>1470</v>
      </c>
    </row>
    <row r="433" spans="1:12" x14ac:dyDescent="0.2">
      <c r="A433" t="s">
        <v>542</v>
      </c>
      <c r="B433" t="str">
        <f>_xlfn.XLOOKUP(b.nike.views[[#This Row],[product_ID]], a.nike.original.man[Product_ID], a.nike.original.man[Product Name], "Not Found")</f>
        <v>Nike SB Adversary Premium</v>
      </c>
      <c r="C433" s="5" t="str">
        <f>_xlfn.XLOOKUP(b.nike.views[[#This Row],[product_ID]], a.nike.original.man[Product_ID], a.nike.original.man[Rating_Group], "Not Found")</f>
        <v>0 - 2.9</v>
      </c>
      <c r="D433">
        <f>_xlfn.XLOOKUP(b.nike.views[[#This Row],[product_ID]], a.nike.original.man[Product_ID], a.nike.original.man[Rating], "Not Found")</f>
        <v>0</v>
      </c>
      <c r="E433" s="10">
        <f>ROUND(_xlfn.XLOOKUP(b.nike.views[[#This Row],[product_ID]], a.nike.original.man[Product_ID], a.nike.original.man[Sale Price], "Not Found"), 0)</f>
        <v>80</v>
      </c>
      <c r="F433" s="5" t="str" cm="1">
        <f t="array" ref="F433">_xlfn.IFS(b.nike.views[[#This Row],[Sales_Price]]&lt;=9, "under $10",b.nike.views[[#This Row],[Sales_Price]]&lt;=20, "$20 and under",b.nike.views[[#This Row],[Sales_Price]]&lt;=50, "$50 and under", b.nike.views[[#This Row],[Sales_Price]]&lt;=99, "under $100", b.nike.views[[#This Row],[Sales_Price]]&gt;=100, "$100 +")</f>
        <v>under $100</v>
      </c>
      <c r="G433">
        <f>COUNTIF(a.nike.original.man[Product_ID], A433)</f>
        <v>2</v>
      </c>
      <c r="H433" t="str" cm="1">
        <f t="array" ref="H433">_xlfn.IFS(b.nike.views[[#This Row],[Review_Count]]&lt;=7, "Below Average",b.nike.views[[#This Row],[Review_Count]]&gt;=8, "Average +")</f>
        <v>Below Average</v>
      </c>
      <c r="I433">
        <f>SUMIF(a.nike.original.man[Product_ID],b.nike.views[[#This Row],[product_ID]], a.nike.original.man[Reviews])</f>
        <v>0</v>
      </c>
      <c r="J433" s="41">
        <f>_xlfn.XLOOKUP(b.nike.views[[#This Row],[product_ID]],a.nike.original.man[Product_ID], a.nike.original.man[Discount %], "Not Found")</f>
        <v>0</v>
      </c>
      <c r="K433" s="41"/>
      <c r="L433" t="s">
        <v>1470</v>
      </c>
    </row>
    <row r="434" spans="1:12" x14ac:dyDescent="0.2">
      <c r="A434" t="s">
        <v>565</v>
      </c>
      <c r="B434" t="str">
        <f>_xlfn.XLOOKUP(b.nike.views[[#This Row],[product_ID]], a.nike.original.man[Product_ID], a.nike.original.man[Product Name], "Not Found")</f>
        <v>Nike Phantom Venom Academy IC</v>
      </c>
      <c r="C434" s="5" t="str">
        <f>_xlfn.XLOOKUP(b.nike.views[[#This Row],[product_ID]], a.nike.original.man[Product_ID], a.nike.original.man[Rating_Group], "Not Found")</f>
        <v>0 - 2.9</v>
      </c>
      <c r="D434">
        <f>_xlfn.XLOOKUP(b.nike.views[[#This Row],[product_ID]], a.nike.original.man[Product_ID], a.nike.original.man[Rating], "Not Found")</f>
        <v>0</v>
      </c>
      <c r="E434" s="10">
        <f>ROUND(_xlfn.XLOOKUP(b.nike.views[[#This Row],[product_ID]], a.nike.original.man[Product_ID], a.nike.original.man[Sale Price], "Not Found"), 0)</f>
        <v>52</v>
      </c>
      <c r="F434" s="5" t="str" cm="1">
        <f t="array" ref="F434">_xlfn.IFS(b.nike.views[[#This Row],[Sales_Price]]&lt;=9, "under $10",b.nike.views[[#This Row],[Sales_Price]]&lt;=20, "$20 and under",b.nike.views[[#This Row],[Sales_Price]]&lt;=50, "$50 and under", b.nike.views[[#This Row],[Sales_Price]]&lt;=99, "under $100", b.nike.views[[#This Row],[Sales_Price]]&gt;=100, "$100 +")</f>
        <v>under $100</v>
      </c>
      <c r="G434">
        <f>COUNTIF(a.nike.original.man[Product_ID], A434)</f>
        <v>2</v>
      </c>
      <c r="H434" t="str" cm="1">
        <f t="array" ref="H434">_xlfn.IFS(b.nike.views[[#This Row],[Review_Count]]&lt;=7, "Below Average",b.nike.views[[#This Row],[Review_Count]]&gt;=8, "Average +")</f>
        <v>Below Average</v>
      </c>
      <c r="I434">
        <f>SUMIF(a.nike.original.man[Product_ID],b.nike.views[[#This Row],[product_ID]], a.nike.original.man[Reviews])</f>
        <v>0</v>
      </c>
      <c r="J434" s="41">
        <f>_xlfn.XLOOKUP(b.nike.views[[#This Row],[product_ID]],a.nike.original.man[Product_ID], a.nike.original.man[Discount %], "Not Found")</f>
        <v>0.3</v>
      </c>
      <c r="K434" s="41"/>
      <c r="L434" t="s">
        <v>1470</v>
      </c>
    </row>
    <row r="435" spans="1:12" x14ac:dyDescent="0.2">
      <c r="A435" t="s">
        <v>573</v>
      </c>
      <c r="B435" t="str">
        <f>_xlfn.XLOOKUP(b.nike.views[[#This Row],[product_ID]], a.nike.original.man[Product_ID], a.nike.original.man[Product Name], "Not Found")</f>
        <v>Nike Mercurial Superfly 7 Academy MDS TF</v>
      </c>
      <c r="C435" s="5" t="str">
        <f>_xlfn.XLOOKUP(b.nike.views[[#This Row],[product_ID]], a.nike.original.man[Product_ID], a.nike.original.man[Rating_Group], "Not Found")</f>
        <v>0 - 2.9</v>
      </c>
      <c r="D435">
        <f>_xlfn.XLOOKUP(b.nike.views[[#This Row],[product_ID]], a.nike.original.man[Product_ID], a.nike.original.man[Rating], "Not Found")</f>
        <v>0</v>
      </c>
      <c r="E435" s="10">
        <f>ROUND(_xlfn.XLOOKUP(b.nike.views[[#This Row],[product_ID]], a.nike.original.man[Product_ID], a.nike.original.man[Sale Price], "Not Found"), 0)</f>
        <v>90</v>
      </c>
      <c r="F435" s="5" t="str" cm="1">
        <f t="array" ref="F435">_xlfn.IFS(b.nike.views[[#This Row],[Sales_Price]]&lt;=9, "under $10",b.nike.views[[#This Row],[Sales_Price]]&lt;=20, "$20 and under",b.nike.views[[#This Row],[Sales_Price]]&lt;=50, "$50 and under", b.nike.views[[#This Row],[Sales_Price]]&lt;=99, "under $100", b.nike.views[[#This Row],[Sales_Price]]&gt;=100, "$100 +")</f>
        <v>under $100</v>
      </c>
      <c r="G435">
        <f>COUNTIF(a.nike.original.man[Product_ID], A435)</f>
        <v>1</v>
      </c>
      <c r="H435" t="str" cm="1">
        <f t="array" ref="H435">_xlfn.IFS(b.nike.views[[#This Row],[Review_Count]]&lt;=7, "Below Average",b.nike.views[[#This Row],[Review_Count]]&gt;=8, "Average +")</f>
        <v>Below Average</v>
      </c>
      <c r="I435">
        <f>SUMIF(a.nike.original.man[Product_ID],b.nike.views[[#This Row],[product_ID]], a.nike.original.man[Reviews])</f>
        <v>0</v>
      </c>
      <c r="J435" s="41">
        <f>_xlfn.XLOOKUP(b.nike.views[[#This Row],[product_ID]],a.nike.original.man[Product_ID], a.nike.original.man[Discount %], "Not Found")</f>
        <v>0</v>
      </c>
      <c r="K435" s="41"/>
      <c r="L435" t="s">
        <v>1470</v>
      </c>
    </row>
    <row r="436" spans="1:12" x14ac:dyDescent="0.2">
      <c r="A436" t="s">
        <v>582</v>
      </c>
      <c r="B436" t="str">
        <f>_xlfn.XLOOKUP(b.nike.views[[#This Row],[product_ID]], a.nike.original.man[Product_ID], a.nike.original.man[Product Name], "Not Found")</f>
        <v>Air Jordan OG</v>
      </c>
      <c r="C436" s="5" t="str">
        <f>_xlfn.XLOOKUP(b.nike.views[[#This Row],[product_ID]], a.nike.original.man[Product_ID], a.nike.original.man[Rating_Group], "Not Found")</f>
        <v>0 - 2.9</v>
      </c>
      <c r="D436">
        <f>_xlfn.XLOOKUP(b.nike.views[[#This Row],[product_ID]], a.nike.original.man[Product_ID], a.nike.original.man[Rating], "Not Found")</f>
        <v>0</v>
      </c>
      <c r="E436" s="10">
        <f>ROUND(_xlfn.XLOOKUP(b.nike.views[[#This Row],[product_ID]], a.nike.original.man[Product_ID], a.nike.original.man[Sale Price], "Not Found"), 0)</f>
        <v>120</v>
      </c>
      <c r="F436" s="5" t="str" cm="1">
        <f t="array" ref="F436">_xlfn.IFS(b.nike.views[[#This Row],[Sales_Price]]&lt;=9, "under $10",b.nike.views[[#This Row],[Sales_Price]]&lt;=20, "$20 and under",b.nike.views[[#This Row],[Sales_Price]]&lt;=50, "$50 and under", b.nike.views[[#This Row],[Sales_Price]]&lt;=99, "under $100", b.nike.views[[#This Row],[Sales_Price]]&gt;=100, "$100 +")</f>
        <v>$100 +</v>
      </c>
      <c r="G436">
        <f>COUNTIF(a.nike.original.man[Product_ID], A436)</f>
        <v>2</v>
      </c>
      <c r="H436" t="str" cm="1">
        <f t="array" ref="H436">_xlfn.IFS(b.nike.views[[#This Row],[Review_Count]]&lt;=7, "Below Average",b.nike.views[[#This Row],[Review_Count]]&gt;=8, "Average +")</f>
        <v>Below Average</v>
      </c>
      <c r="I436">
        <f>SUMIF(a.nike.original.man[Product_ID],b.nike.views[[#This Row],[product_ID]], a.nike.original.man[Reviews])</f>
        <v>0</v>
      </c>
      <c r="J436" s="41">
        <f>_xlfn.XLOOKUP(b.nike.views[[#This Row],[product_ID]],a.nike.original.man[Product_ID], a.nike.original.man[Discount %], "Not Found")</f>
        <v>0</v>
      </c>
      <c r="K436" s="41"/>
      <c r="L436" t="s">
        <v>1470</v>
      </c>
    </row>
    <row r="437" spans="1:12" x14ac:dyDescent="0.2">
      <c r="A437" t="s">
        <v>656</v>
      </c>
      <c r="B437" t="str">
        <f>_xlfn.XLOOKUP(b.nike.views[[#This Row],[product_ID]], a.nike.original.man[Product_ID], a.nike.original.man[Product Name], "Not Found")</f>
        <v>Nike Mercurial Vapor 13 Club Neymar Jr. MG</v>
      </c>
      <c r="C437" s="5" t="str">
        <f>_xlfn.XLOOKUP(b.nike.views[[#This Row],[product_ID]], a.nike.original.man[Product_ID], a.nike.original.man[Rating_Group], "Not Found")</f>
        <v>0 - 2.9</v>
      </c>
      <c r="D437">
        <f>_xlfn.XLOOKUP(b.nike.views[[#This Row],[product_ID]], a.nike.original.man[Product_ID], a.nike.original.man[Rating], "Not Found")</f>
        <v>0</v>
      </c>
      <c r="E437" s="10">
        <f>ROUND(_xlfn.XLOOKUP(b.nike.views[[#This Row],[product_ID]], a.nike.original.man[Product_ID], a.nike.original.man[Sale Price], "Not Found"), 0)</f>
        <v>55</v>
      </c>
      <c r="F437" s="5" t="str" cm="1">
        <f t="array" ref="F437">_xlfn.IFS(b.nike.views[[#This Row],[Sales_Price]]&lt;=9, "under $10",b.nike.views[[#This Row],[Sales_Price]]&lt;=20, "$20 and under",b.nike.views[[#This Row],[Sales_Price]]&lt;=50, "$50 and under", b.nike.views[[#This Row],[Sales_Price]]&lt;=99, "under $100", b.nike.views[[#This Row],[Sales_Price]]&gt;=100, "$100 +")</f>
        <v>under $100</v>
      </c>
      <c r="G437">
        <f>COUNTIF(a.nike.original.man[Product_ID], A437)</f>
        <v>2</v>
      </c>
      <c r="H437" t="str" cm="1">
        <f t="array" ref="H437">_xlfn.IFS(b.nike.views[[#This Row],[Review_Count]]&lt;=7, "Below Average",b.nike.views[[#This Row],[Review_Count]]&gt;=8, "Average +")</f>
        <v>Below Average</v>
      </c>
      <c r="I437">
        <f>SUMIF(a.nike.original.man[Product_ID],b.nike.views[[#This Row],[product_ID]], a.nike.original.man[Reviews])</f>
        <v>0</v>
      </c>
      <c r="J437" s="41">
        <f>_xlfn.XLOOKUP(b.nike.views[[#This Row],[product_ID]],a.nike.original.man[Product_ID], a.nike.original.man[Discount %], "Not Found")</f>
        <v>0</v>
      </c>
      <c r="K437" s="41"/>
      <c r="L437" t="s">
        <v>1470</v>
      </c>
    </row>
    <row r="438" spans="1:12" x14ac:dyDescent="0.2">
      <c r="A438" t="s">
        <v>687</v>
      </c>
      <c r="B438" t="str">
        <f>_xlfn.XLOOKUP(b.nike.views[[#This Row],[product_ID]], a.nike.original.man[Product_ID], a.nike.original.man[Product Name], "Not Found")</f>
        <v>Nike Precision 4</v>
      </c>
      <c r="C438" s="5" t="str">
        <f>_xlfn.XLOOKUP(b.nike.views[[#This Row],[product_ID]], a.nike.original.man[Product_ID], a.nike.original.man[Rating_Group], "Not Found")</f>
        <v>0 - 2.9</v>
      </c>
      <c r="D438">
        <f>_xlfn.XLOOKUP(b.nike.views[[#This Row],[product_ID]], a.nike.original.man[Product_ID], a.nike.original.man[Rating], "Not Found")</f>
        <v>0</v>
      </c>
      <c r="E438" s="10">
        <f>ROUND(_xlfn.XLOOKUP(b.nike.views[[#This Row],[product_ID]], a.nike.original.man[Product_ID], a.nike.original.man[Sale Price], "Not Found"), 0)</f>
        <v>55</v>
      </c>
      <c r="F438" s="5" t="str" cm="1">
        <f t="array" ref="F438">_xlfn.IFS(b.nike.views[[#This Row],[Sales_Price]]&lt;=9, "under $10",b.nike.views[[#This Row],[Sales_Price]]&lt;=20, "$20 and under",b.nike.views[[#This Row],[Sales_Price]]&lt;=50, "$50 and under", b.nike.views[[#This Row],[Sales_Price]]&lt;=99, "under $100", b.nike.views[[#This Row],[Sales_Price]]&gt;=100, "$100 +")</f>
        <v>under $100</v>
      </c>
      <c r="G438">
        <f>COUNTIF(a.nike.original.man[Product_ID], A438)</f>
        <v>2</v>
      </c>
      <c r="H438" t="str" cm="1">
        <f t="array" ref="H438">_xlfn.IFS(b.nike.views[[#This Row],[Review_Count]]&lt;=7, "Below Average",b.nike.views[[#This Row],[Review_Count]]&gt;=8, "Average +")</f>
        <v>Below Average</v>
      </c>
      <c r="I438">
        <f>SUMIF(a.nike.original.man[Product_ID],b.nike.views[[#This Row],[product_ID]], a.nike.original.man[Reviews])</f>
        <v>0</v>
      </c>
      <c r="J438" s="41">
        <f>_xlfn.XLOOKUP(b.nike.views[[#This Row],[product_ID]],a.nike.original.man[Product_ID], a.nike.original.man[Discount %], "Not Found")</f>
        <v>0</v>
      </c>
      <c r="K438" s="41"/>
      <c r="L438" t="s">
        <v>1470</v>
      </c>
    </row>
    <row r="439" spans="1:12" x14ac:dyDescent="0.2">
      <c r="A439" t="s">
        <v>705</v>
      </c>
      <c r="B439" t="str">
        <f>_xlfn.XLOOKUP(b.nike.views[[#This Row],[product_ID]], a.nike.original.man[Product_ID], a.nike.original.man[Product Name], "Not Found")</f>
        <v>Nike Phantom Vision 2 Club Dynamic Fit TF</v>
      </c>
      <c r="C439" s="5" t="str">
        <f>_xlfn.XLOOKUP(b.nike.views[[#This Row],[product_ID]], a.nike.original.man[Product_ID], a.nike.original.man[Rating_Group], "Not Found")</f>
        <v>0 - 2.9</v>
      </c>
      <c r="D439">
        <f>_xlfn.XLOOKUP(b.nike.views[[#This Row],[product_ID]], a.nike.original.man[Product_ID], a.nike.original.man[Rating], "Not Found")</f>
        <v>0</v>
      </c>
      <c r="E439" s="10">
        <f>ROUND(_xlfn.XLOOKUP(b.nike.views[[#This Row],[product_ID]], a.nike.original.man[Product_ID], a.nike.original.man[Sale Price], "Not Found"), 0)</f>
        <v>60</v>
      </c>
      <c r="F439" s="5" t="str" cm="1">
        <f t="array" ref="F439">_xlfn.IFS(b.nike.views[[#This Row],[Sales_Price]]&lt;=9, "under $10",b.nike.views[[#This Row],[Sales_Price]]&lt;=20, "$20 and under",b.nike.views[[#This Row],[Sales_Price]]&lt;=50, "$50 and under", b.nike.views[[#This Row],[Sales_Price]]&lt;=99, "under $100", b.nike.views[[#This Row],[Sales_Price]]&gt;=100, "$100 +")</f>
        <v>under $100</v>
      </c>
      <c r="G439">
        <f>COUNTIF(a.nike.original.man[Product_ID], A439)</f>
        <v>2</v>
      </c>
      <c r="H439" t="str" cm="1">
        <f t="array" ref="H439">_xlfn.IFS(b.nike.views[[#This Row],[Review_Count]]&lt;=7, "Below Average",b.nike.views[[#This Row],[Review_Count]]&gt;=8, "Average +")</f>
        <v>Below Average</v>
      </c>
      <c r="I439">
        <f>SUMIF(a.nike.original.man[Product_ID],b.nike.views[[#This Row],[product_ID]], a.nike.original.man[Reviews])</f>
        <v>0</v>
      </c>
      <c r="J439" s="41">
        <f>_xlfn.XLOOKUP(b.nike.views[[#This Row],[product_ID]],a.nike.original.man[Product_ID], a.nike.original.man[Discount %], "Not Found")</f>
        <v>0</v>
      </c>
      <c r="K439" s="41"/>
      <c r="L439" t="s">
        <v>1470</v>
      </c>
    </row>
    <row r="440" spans="1:12" x14ac:dyDescent="0.2">
      <c r="A440" t="s">
        <v>723</v>
      </c>
      <c r="B440" t="str">
        <f>_xlfn.XLOOKUP(b.nike.views[[#This Row],[product_ID]], a.nike.original.man[Product_ID], a.nike.original.man[Product Name], "Not Found")</f>
        <v>Nike Flex 2020 RN</v>
      </c>
      <c r="C440" s="5" t="str">
        <f>_xlfn.XLOOKUP(b.nike.views[[#This Row],[product_ID]], a.nike.original.man[Product_ID], a.nike.original.man[Rating_Group], "Not Found")</f>
        <v>0 - 2.9</v>
      </c>
      <c r="D440">
        <f>_xlfn.XLOOKUP(b.nike.views[[#This Row],[product_ID]], a.nike.original.man[Product_ID], a.nike.original.man[Rating], "Not Found")</f>
        <v>0</v>
      </c>
      <c r="E440" s="10">
        <f>ROUND(_xlfn.XLOOKUP(b.nike.views[[#This Row],[product_ID]], a.nike.original.man[Product_ID], a.nike.original.man[Sale Price], "Not Found"), 0)</f>
        <v>70</v>
      </c>
      <c r="F440" s="5" t="str" cm="1">
        <f t="array" ref="F440">_xlfn.IFS(b.nike.views[[#This Row],[Sales_Price]]&lt;=9, "under $10",b.nike.views[[#This Row],[Sales_Price]]&lt;=20, "$20 and under",b.nike.views[[#This Row],[Sales_Price]]&lt;=50, "$50 and under", b.nike.views[[#This Row],[Sales_Price]]&lt;=99, "under $100", b.nike.views[[#This Row],[Sales_Price]]&gt;=100, "$100 +")</f>
        <v>under $100</v>
      </c>
      <c r="G440">
        <f>COUNTIF(a.nike.original.man[Product_ID], A440)</f>
        <v>1</v>
      </c>
      <c r="H440" t="str" cm="1">
        <f t="array" ref="H440">_xlfn.IFS(b.nike.views[[#This Row],[Review_Count]]&lt;=7, "Below Average",b.nike.views[[#This Row],[Review_Count]]&gt;=8, "Average +")</f>
        <v>Below Average</v>
      </c>
      <c r="I440">
        <f>SUMIF(a.nike.original.man[Product_ID],b.nike.views[[#This Row],[product_ID]], a.nike.original.man[Reviews])</f>
        <v>0</v>
      </c>
      <c r="J440" s="41">
        <f>_xlfn.XLOOKUP(b.nike.views[[#This Row],[product_ID]],a.nike.original.man[Product_ID], a.nike.original.man[Discount %], "Not Found")</f>
        <v>0</v>
      </c>
      <c r="K440" s="41"/>
      <c r="L440" t="s">
        <v>1470</v>
      </c>
    </row>
    <row r="441" spans="1:12" x14ac:dyDescent="0.2">
      <c r="A441" t="s">
        <v>728</v>
      </c>
      <c r="B441" t="str">
        <f>_xlfn.XLOOKUP(b.nike.views[[#This Row],[product_ID]], a.nike.original.man[Product_ID], a.nike.original.man[Product Name], "Not Found")</f>
        <v>Nike SB Chron Solarsoft Premium</v>
      </c>
      <c r="C441" s="5" t="str">
        <f>_xlfn.XLOOKUP(b.nike.views[[#This Row],[product_ID]], a.nike.original.man[Product_ID], a.nike.original.man[Rating_Group], "Not Found")</f>
        <v>0 - 2.9</v>
      </c>
      <c r="D441">
        <f>_xlfn.XLOOKUP(b.nike.views[[#This Row],[product_ID]], a.nike.original.man[Product_ID], a.nike.original.man[Rating], "Not Found")</f>
        <v>0</v>
      </c>
      <c r="E441" s="10">
        <f>ROUND(_xlfn.XLOOKUP(b.nike.views[[#This Row],[product_ID]], a.nike.original.man[Product_ID], a.nike.original.man[Sale Price], "Not Found"), 0)</f>
        <v>60</v>
      </c>
      <c r="F441" s="5" t="str" cm="1">
        <f t="array" ref="F441">_xlfn.IFS(b.nike.views[[#This Row],[Sales_Price]]&lt;=9, "under $10",b.nike.views[[#This Row],[Sales_Price]]&lt;=20, "$20 and under",b.nike.views[[#This Row],[Sales_Price]]&lt;=50, "$50 and under", b.nike.views[[#This Row],[Sales_Price]]&lt;=99, "under $100", b.nike.views[[#This Row],[Sales_Price]]&gt;=100, "$100 +")</f>
        <v>under $100</v>
      </c>
      <c r="G441">
        <f>COUNTIF(a.nike.original.man[Product_ID], A441)</f>
        <v>2</v>
      </c>
      <c r="H441" t="str" cm="1">
        <f t="array" ref="H441">_xlfn.IFS(b.nike.views[[#This Row],[Review_Count]]&lt;=7, "Below Average",b.nike.views[[#This Row],[Review_Count]]&gt;=8, "Average +")</f>
        <v>Below Average</v>
      </c>
      <c r="I441">
        <f>SUMIF(a.nike.original.man[Product_ID],b.nike.views[[#This Row],[product_ID]], a.nike.original.man[Reviews])</f>
        <v>0</v>
      </c>
      <c r="J441" s="41">
        <f>_xlfn.XLOOKUP(b.nike.views[[#This Row],[product_ID]],a.nike.original.man[Product_ID], a.nike.original.man[Discount %], "Not Found")</f>
        <v>0</v>
      </c>
      <c r="K441" s="41"/>
      <c r="L441" t="s">
        <v>1470</v>
      </c>
    </row>
    <row r="442" spans="1:12" x14ac:dyDescent="0.2">
      <c r="A442" t="s">
        <v>764</v>
      </c>
      <c r="B442" t="str">
        <f>_xlfn.XLOOKUP(b.nike.views[[#This Row],[product_ID]], a.nike.original.man[Product_ID], a.nike.original.man[Product Name], "Not Found")</f>
        <v>Nike Air Max 95 Premium</v>
      </c>
      <c r="C442" s="5" t="str">
        <f>_xlfn.XLOOKUP(b.nike.views[[#This Row],[product_ID]], a.nike.original.man[Product_ID], a.nike.original.man[Rating_Group], "Not Found")</f>
        <v>0 - 2.9</v>
      </c>
      <c r="D442">
        <f>_xlfn.XLOOKUP(b.nike.views[[#This Row],[product_ID]], a.nike.original.man[Product_ID], a.nike.original.man[Rating], "Not Found")</f>
        <v>0</v>
      </c>
      <c r="E442" s="10">
        <f>ROUND(_xlfn.XLOOKUP(b.nike.views[[#This Row],[product_ID]], a.nike.original.man[Product_ID], a.nike.original.man[Sale Price], "Not Found"), 0)</f>
        <v>150</v>
      </c>
      <c r="F442" s="5" t="str" cm="1">
        <f t="array" ref="F442">_xlfn.IFS(b.nike.views[[#This Row],[Sales_Price]]&lt;=9, "under $10",b.nike.views[[#This Row],[Sales_Price]]&lt;=20, "$20 and under",b.nike.views[[#This Row],[Sales_Price]]&lt;=50, "$50 and under", b.nike.views[[#This Row],[Sales_Price]]&lt;=99, "under $100", b.nike.views[[#This Row],[Sales_Price]]&gt;=100, "$100 +")</f>
        <v>$100 +</v>
      </c>
      <c r="G442">
        <f>COUNTIF(a.nike.original.man[Product_ID], A442)</f>
        <v>1</v>
      </c>
      <c r="H442" t="str" cm="1">
        <f t="array" ref="H442">_xlfn.IFS(b.nike.views[[#This Row],[Review_Count]]&lt;=7, "Below Average",b.nike.views[[#This Row],[Review_Count]]&gt;=8, "Average +")</f>
        <v>Below Average</v>
      </c>
      <c r="I442">
        <f>SUMIF(a.nike.original.man[Product_ID],b.nike.views[[#This Row],[product_ID]], a.nike.original.man[Reviews])</f>
        <v>0</v>
      </c>
      <c r="J442" s="41">
        <f>_xlfn.XLOOKUP(b.nike.views[[#This Row],[product_ID]],a.nike.original.man[Product_ID], a.nike.original.man[Discount %], "Not Found")</f>
        <v>0</v>
      </c>
      <c r="K442" s="41"/>
      <c r="L442" t="s">
        <v>1470</v>
      </c>
    </row>
    <row r="443" spans="1:12" x14ac:dyDescent="0.2">
      <c r="A443" t="s">
        <v>782</v>
      </c>
      <c r="B443" t="str">
        <f>_xlfn.XLOOKUP(b.nike.views[[#This Row],[product_ID]], a.nike.original.man[Product_ID], a.nike.original.man[Product Name], "Not Found")</f>
        <v>Nike Mercurial Vapor 13 Academy MG</v>
      </c>
      <c r="C443" s="5" t="str">
        <f>_xlfn.XLOOKUP(b.nike.views[[#This Row],[product_ID]], a.nike.original.man[Product_ID], a.nike.original.man[Rating_Group], "Not Found")</f>
        <v>0 - 2.9</v>
      </c>
      <c r="D443">
        <f>_xlfn.XLOOKUP(b.nike.views[[#This Row],[product_ID]], a.nike.original.man[Product_ID], a.nike.original.man[Rating], "Not Found")</f>
        <v>0</v>
      </c>
      <c r="E443" s="10">
        <f>ROUND(_xlfn.XLOOKUP(b.nike.views[[#This Row],[product_ID]], a.nike.original.man[Product_ID], a.nike.original.man[Sale Price], "Not Found"), 0)</f>
        <v>75</v>
      </c>
      <c r="F443" s="5" t="str" cm="1">
        <f t="array" ref="F443">_xlfn.IFS(b.nike.views[[#This Row],[Sales_Price]]&lt;=9, "under $10",b.nike.views[[#This Row],[Sales_Price]]&lt;=20, "$20 and under",b.nike.views[[#This Row],[Sales_Price]]&lt;=50, "$50 and under", b.nike.views[[#This Row],[Sales_Price]]&lt;=99, "under $100", b.nike.views[[#This Row],[Sales_Price]]&gt;=100, "$100 +")</f>
        <v>under $100</v>
      </c>
      <c r="G443">
        <f>COUNTIF(a.nike.original.man[Product_ID], A443)</f>
        <v>2</v>
      </c>
      <c r="H443" t="str" cm="1">
        <f t="array" ref="H443">_xlfn.IFS(b.nike.views[[#This Row],[Review_Count]]&lt;=7, "Below Average",b.nike.views[[#This Row],[Review_Count]]&gt;=8, "Average +")</f>
        <v>Below Average</v>
      </c>
      <c r="I443">
        <f>SUMIF(a.nike.original.man[Product_ID],b.nike.views[[#This Row],[product_ID]], a.nike.original.man[Reviews])</f>
        <v>0</v>
      </c>
      <c r="J443" s="41">
        <f>_xlfn.XLOOKUP(b.nike.views[[#This Row],[product_ID]],a.nike.original.man[Product_ID], a.nike.original.man[Discount %], "Not Found")</f>
        <v>0</v>
      </c>
      <c r="K443" s="41"/>
      <c r="L443" t="s">
        <v>1470</v>
      </c>
    </row>
    <row r="444" spans="1:12" x14ac:dyDescent="0.2">
      <c r="A444" t="s">
        <v>807</v>
      </c>
      <c r="B444" t="str">
        <f>_xlfn.XLOOKUP(b.nike.views[[#This Row],[product_ID]], a.nike.original.man[Product_ID], a.nike.original.man[Product Name], "Not Found")</f>
        <v>Nike PhantomVNM Club FG</v>
      </c>
      <c r="C444" s="5" t="str">
        <f>_xlfn.XLOOKUP(b.nike.views[[#This Row],[product_ID]], a.nike.original.man[Product_ID], a.nike.original.man[Rating_Group], "Not Found")</f>
        <v>0 - 2.9</v>
      </c>
      <c r="D444">
        <f>_xlfn.XLOOKUP(b.nike.views[[#This Row],[product_ID]], a.nike.original.man[Product_ID], a.nike.original.man[Rating], "Not Found")</f>
        <v>0</v>
      </c>
      <c r="E444" s="10">
        <f>ROUND(_xlfn.XLOOKUP(b.nike.views[[#This Row],[product_ID]], a.nike.original.man[Product_ID], a.nike.original.man[Sale Price], "Not Found"), 0)</f>
        <v>35</v>
      </c>
      <c r="F444" s="5" t="str" cm="1">
        <f t="array" ref="F444">_xlfn.IFS(b.nike.views[[#This Row],[Sales_Price]]&lt;=9, "under $10",b.nike.views[[#This Row],[Sales_Price]]&lt;=20, "$20 and under",b.nike.views[[#This Row],[Sales_Price]]&lt;=50, "$50 and under", b.nike.views[[#This Row],[Sales_Price]]&lt;=99, "under $100", b.nike.views[[#This Row],[Sales_Price]]&gt;=100, "$100 +")</f>
        <v>$50 and under</v>
      </c>
      <c r="G444">
        <f>COUNTIF(a.nike.original.man[Product_ID], A444)</f>
        <v>2</v>
      </c>
      <c r="H444" t="str" cm="1">
        <f t="array" ref="H444">_xlfn.IFS(b.nike.views[[#This Row],[Review_Count]]&lt;=7, "Below Average",b.nike.views[[#This Row],[Review_Count]]&gt;=8, "Average +")</f>
        <v>Below Average</v>
      </c>
      <c r="I444">
        <f>SUMIF(a.nike.original.man[Product_ID],b.nike.views[[#This Row],[product_ID]], a.nike.original.man[Reviews])</f>
        <v>0</v>
      </c>
      <c r="J444" s="41">
        <f>_xlfn.XLOOKUP(b.nike.views[[#This Row],[product_ID]],a.nike.original.man[Product_ID], a.nike.original.man[Discount %], "Not Found")</f>
        <v>0.3</v>
      </c>
      <c r="K444" s="41"/>
      <c r="L444" t="s">
        <v>1470</v>
      </c>
    </row>
    <row r="445" spans="1:12" x14ac:dyDescent="0.2">
      <c r="A445" t="s">
        <v>820</v>
      </c>
      <c r="B445" t="str">
        <f>_xlfn.XLOOKUP(b.nike.views[[#This Row],[product_ID]], a.nike.original.man[Product_ID], a.nike.original.man[Product Name], "Not Found")</f>
        <v>Nike Mercurial Superfly 7 Academy MDS IC</v>
      </c>
      <c r="C445" s="5" t="str">
        <f>_xlfn.XLOOKUP(b.nike.views[[#This Row],[product_ID]], a.nike.original.man[Product_ID], a.nike.original.man[Rating_Group], "Not Found")</f>
        <v>0 - 2.9</v>
      </c>
      <c r="D445">
        <f>_xlfn.XLOOKUP(b.nike.views[[#This Row],[product_ID]], a.nike.original.man[Product_ID], a.nike.original.man[Rating], "Not Found")</f>
        <v>0</v>
      </c>
      <c r="E445" s="10">
        <f>ROUND(_xlfn.XLOOKUP(b.nike.views[[#This Row],[product_ID]], a.nike.original.man[Product_ID], a.nike.original.man[Sale Price], "Not Found"), 0)</f>
        <v>63</v>
      </c>
      <c r="F445" s="5" t="str" cm="1">
        <f t="array" ref="F445">_xlfn.IFS(b.nike.views[[#This Row],[Sales_Price]]&lt;=9, "under $10",b.nike.views[[#This Row],[Sales_Price]]&lt;=20, "$20 and under",b.nike.views[[#This Row],[Sales_Price]]&lt;=50, "$50 and under", b.nike.views[[#This Row],[Sales_Price]]&lt;=99, "under $100", b.nike.views[[#This Row],[Sales_Price]]&gt;=100, "$100 +")</f>
        <v>under $100</v>
      </c>
      <c r="G445">
        <f>COUNTIF(a.nike.original.man[Product_ID], A445)</f>
        <v>2</v>
      </c>
      <c r="H445" t="str" cm="1">
        <f t="array" ref="H445">_xlfn.IFS(b.nike.views[[#This Row],[Review_Count]]&lt;=7, "Below Average",b.nike.views[[#This Row],[Review_Count]]&gt;=8, "Average +")</f>
        <v>Below Average</v>
      </c>
      <c r="I445">
        <f>SUMIF(a.nike.original.man[Product_ID],b.nike.views[[#This Row],[product_ID]], a.nike.original.man[Reviews])</f>
        <v>0</v>
      </c>
      <c r="J445" s="41">
        <f>_xlfn.XLOOKUP(b.nike.views[[#This Row],[product_ID]],a.nike.original.man[Product_ID], a.nike.original.man[Discount %], "Not Found")</f>
        <v>0.3</v>
      </c>
      <c r="K445" s="41"/>
      <c r="L445" t="s">
        <v>1470</v>
      </c>
    </row>
    <row r="446" spans="1:12" x14ac:dyDescent="0.2">
      <c r="A446" t="s">
        <v>901</v>
      </c>
      <c r="B446" t="str">
        <f>_xlfn.XLOOKUP(b.nike.views[[#This Row],[product_ID]], a.nike.original.man[Product_ID], a.nike.original.man[Product Name], "Not Found")</f>
        <v>Nike Mercurial Vapor 13 Academy MDS MG</v>
      </c>
      <c r="C446" s="5" t="str">
        <f>_xlfn.XLOOKUP(b.nike.views[[#This Row],[product_ID]], a.nike.original.man[Product_ID], a.nike.original.man[Rating_Group], "Not Found")</f>
        <v>0 - 2.9</v>
      </c>
      <c r="D446">
        <f>_xlfn.XLOOKUP(b.nike.views[[#This Row],[product_ID]], a.nike.original.man[Product_ID], a.nike.original.man[Rating], "Not Found")</f>
        <v>0</v>
      </c>
      <c r="E446" s="10">
        <f>ROUND(_xlfn.XLOOKUP(b.nike.views[[#This Row],[product_ID]], a.nike.original.man[Product_ID], a.nike.original.man[Sale Price], "Not Found"), 0)</f>
        <v>52</v>
      </c>
      <c r="F446" s="5" t="str" cm="1">
        <f t="array" ref="F446">_xlfn.IFS(b.nike.views[[#This Row],[Sales_Price]]&lt;=9, "under $10",b.nike.views[[#This Row],[Sales_Price]]&lt;=20, "$20 and under",b.nike.views[[#This Row],[Sales_Price]]&lt;=50, "$50 and under", b.nike.views[[#This Row],[Sales_Price]]&lt;=99, "under $100", b.nike.views[[#This Row],[Sales_Price]]&gt;=100, "$100 +")</f>
        <v>under $100</v>
      </c>
      <c r="G446">
        <f>COUNTIF(a.nike.original.man[Product_ID], A446)</f>
        <v>1</v>
      </c>
      <c r="H446" t="str" cm="1">
        <f t="array" ref="H446">_xlfn.IFS(b.nike.views[[#This Row],[Review_Count]]&lt;=7, "Below Average",b.nike.views[[#This Row],[Review_Count]]&gt;=8, "Average +")</f>
        <v>Below Average</v>
      </c>
      <c r="I446">
        <f>SUMIF(a.nike.original.man[Product_ID],b.nike.views[[#This Row],[product_ID]], a.nike.original.man[Reviews])</f>
        <v>0</v>
      </c>
      <c r="J446" s="41">
        <f>_xlfn.XLOOKUP(b.nike.views[[#This Row],[product_ID]],a.nike.original.man[Product_ID], a.nike.original.man[Discount %], "Not Found")</f>
        <v>0.3</v>
      </c>
      <c r="K446" s="41"/>
      <c r="L446" t="s">
        <v>1470</v>
      </c>
    </row>
    <row r="447" spans="1:12" x14ac:dyDescent="0.2">
      <c r="A447" t="s">
        <v>934</v>
      </c>
      <c r="B447" t="str">
        <f>_xlfn.XLOOKUP(b.nike.views[[#This Row],[product_ID]], a.nike.original.man[Product_ID], a.nike.original.man[Product Name], "Not Found")</f>
        <v>Nike Flex 2020 RN</v>
      </c>
      <c r="C447" s="5" t="str">
        <f>_xlfn.XLOOKUP(b.nike.views[[#This Row],[product_ID]], a.nike.original.man[Product_ID], a.nike.original.man[Rating_Group], "Not Found")</f>
        <v>0 - 2.9</v>
      </c>
      <c r="D447">
        <f>_xlfn.XLOOKUP(b.nike.views[[#This Row],[product_ID]], a.nike.original.man[Product_ID], a.nike.original.man[Rating], "Not Found")</f>
        <v>0</v>
      </c>
      <c r="E447" s="10">
        <f>ROUND(_xlfn.XLOOKUP(b.nike.views[[#This Row],[product_ID]], a.nike.original.man[Product_ID], a.nike.original.man[Sale Price], "Not Found"), 0)</f>
        <v>70</v>
      </c>
      <c r="F447" s="5" t="str" cm="1">
        <f t="array" ref="F447">_xlfn.IFS(b.nike.views[[#This Row],[Sales_Price]]&lt;=9, "under $10",b.nike.views[[#This Row],[Sales_Price]]&lt;=20, "$20 and under",b.nike.views[[#This Row],[Sales_Price]]&lt;=50, "$50 and under", b.nike.views[[#This Row],[Sales_Price]]&lt;=99, "under $100", b.nike.views[[#This Row],[Sales_Price]]&gt;=100, "$100 +")</f>
        <v>under $100</v>
      </c>
      <c r="G447">
        <f>COUNTIF(a.nike.original.man[Product_ID], A447)</f>
        <v>1</v>
      </c>
      <c r="H447" t="str" cm="1">
        <f t="array" ref="H447">_xlfn.IFS(b.nike.views[[#This Row],[Review_Count]]&lt;=7, "Below Average",b.nike.views[[#This Row],[Review_Count]]&gt;=8, "Average +")</f>
        <v>Below Average</v>
      </c>
      <c r="I447">
        <f>SUMIF(a.nike.original.man[Product_ID],b.nike.views[[#This Row],[product_ID]], a.nike.original.man[Reviews])</f>
        <v>0</v>
      </c>
      <c r="J447" s="41">
        <f>_xlfn.XLOOKUP(b.nike.views[[#This Row],[product_ID]],a.nike.original.man[Product_ID], a.nike.original.man[Discount %], "Not Found")</f>
        <v>0</v>
      </c>
      <c r="K447" s="41"/>
      <c r="L447" t="s">
        <v>1470</v>
      </c>
    </row>
    <row r="448" spans="1:12" x14ac:dyDescent="0.2">
      <c r="A448" t="s">
        <v>954</v>
      </c>
      <c r="B448" t="str">
        <f>_xlfn.XLOOKUP(b.nike.views[[#This Row],[product_ID]], a.nike.original.man[Product_ID], a.nike.original.man[Product Name], "Not Found")</f>
        <v>Nike Mercurial Vapor 13 Academy MDS TF</v>
      </c>
      <c r="C448" s="5" t="str">
        <f>_xlfn.XLOOKUP(b.nike.views[[#This Row],[product_ID]], a.nike.original.man[Product_ID], a.nike.original.man[Rating_Group], "Not Found")</f>
        <v>0 - 2.9</v>
      </c>
      <c r="D448">
        <f>_xlfn.XLOOKUP(b.nike.views[[#This Row],[product_ID]], a.nike.original.man[Product_ID], a.nike.original.man[Rating], "Not Found")</f>
        <v>0</v>
      </c>
      <c r="E448" s="10">
        <f>ROUND(_xlfn.XLOOKUP(b.nike.views[[#This Row],[product_ID]], a.nike.original.man[Product_ID], a.nike.original.man[Sale Price], "Not Found"), 0)</f>
        <v>52</v>
      </c>
      <c r="F448" s="5" t="str" cm="1">
        <f t="array" ref="F448">_xlfn.IFS(b.nike.views[[#This Row],[Sales_Price]]&lt;=9, "under $10",b.nike.views[[#This Row],[Sales_Price]]&lt;=20, "$20 and under",b.nike.views[[#This Row],[Sales_Price]]&lt;=50, "$50 and under", b.nike.views[[#This Row],[Sales_Price]]&lt;=99, "under $100", b.nike.views[[#This Row],[Sales_Price]]&gt;=100, "$100 +")</f>
        <v>under $100</v>
      </c>
      <c r="G448">
        <f>COUNTIF(a.nike.original.man[Product_ID], A448)</f>
        <v>2</v>
      </c>
      <c r="H448" t="str" cm="1">
        <f t="array" ref="H448">_xlfn.IFS(b.nike.views[[#This Row],[Review_Count]]&lt;=7, "Below Average",b.nike.views[[#This Row],[Review_Count]]&gt;=8, "Average +")</f>
        <v>Below Average</v>
      </c>
      <c r="I448">
        <f>SUMIF(a.nike.original.man[Product_ID],b.nike.views[[#This Row],[product_ID]], a.nike.original.man[Reviews])</f>
        <v>0</v>
      </c>
      <c r="J448" s="41">
        <f>_xlfn.XLOOKUP(b.nike.views[[#This Row],[product_ID]],a.nike.original.man[Product_ID], a.nike.original.man[Discount %], "Not Found")</f>
        <v>0.3</v>
      </c>
      <c r="K448" s="41"/>
      <c r="L448" t="s">
        <v>1470</v>
      </c>
    </row>
    <row r="449" spans="1:12" x14ac:dyDescent="0.2">
      <c r="A449" t="s">
        <v>963</v>
      </c>
      <c r="B449" t="str">
        <f>_xlfn.XLOOKUP(b.nike.views[[#This Row],[product_ID]], a.nike.original.man[Product_ID], a.nike.original.man[Product Name], "Not Found")</f>
        <v>Nike Tiempo Legend 8 Club TF</v>
      </c>
      <c r="C449" s="5" t="str">
        <f>_xlfn.XLOOKUP(b.nike.views[[#This Row],[product_ID]], a.nike.original.man[Product_ID], a.nike.original.man[Rating_Group], "Not Found")</f>
        <v>0 - 2.9</v>
      </c>
      <c r="D449">
        <f>_xlfn.XLOOKUP(b.nike.views[[#This Row],[product_ID]], a.nike.original.man[Product_ID], a.nike.original.man[Rating], "Not Found")</f>
        <v>0</v>
      </c>
      <c r="E449" s="10">
        <f>ROUND(_xlfn.XLOOKUP(b.nike.views[[#This Row],[product_ID]], a.nike.original.man[Product_ID], a.nike.original.man[Sale Price], "Not Found"), 0)</f>
        <v>45</v>
      </c>
      <c r="F449" s="5" t="str" cm="1">
        <f t="array" ref="F449">_xlfn.IFS(b.nike.views[[#This Row],[Sales_Price]]&lt;=9, "under $10",b.nike.views[[#This Row],[Sales_Price]]&lt;=20, "$20 and under",b.nike.views[[#This Row],[Sales_Price]]&lt;=50, "$50 and under", b.nike.views[[#This Row],[Sales_Price]]&lt;=99, "under $100", b.nike.views[[#This Row],[Sales_Price]]&gt;=100, "$100 +")</f>
        <v>$50 and under</v>
      </c>
      <c r="G449">
        <f>COUNTIF(a.nike.original.man[Product_ID], A449)</f>
        <v>2</v>
      </c>
      <c r="H449" t="str" cm="1">
        <f t="array" ref="H449">_xlfn.IFS(b.nike.views[[#This Row],[Review_Count]]&lt;=7, "Below Average",b.nike.views[[#This Row],[Review_Count]]&gt;=8, "Average +")</f>
        <v>Below Average</v>
      </c>
      <c r="I449">
        <f>SUMIF(a.nike.original.man[Product_ID],b.nike.views[[#This Row],[product_ID]], a.nike.original.man[Reviews])</f>
        <v>0</v>
      </c>
      <c r="J449" s="41">
        <f>_xlfn.XLOOKUP(b.nike.views[[#This Row],[product_ID]],a.nike.original.man[Product_ID], a.nike.original.man[Discount %], "Not Found")</f>
        <v>0</v>
      </c>
      <c r="K449" s="41"/>
      <c r="L449" t="s">
        <v>1470</v>
      </c>
    </row>
    <row r="450" spans="1:12" x14ac:dyDescent="0.2">
      <c r="A450" t="s">
        <v>1039</v>
      </c>
      <c r="B450" t="str">
        <f>_xlfn.XLOOKUP(b.nike.views[[#This Row],[product_ID]], a.nike.original.man[Product_ID], a.nike.original.man[Product Name], "Not Found")</f>
        <v>Nike ISPA Air Max 720</v>
      </c>
      <c r="C450" s="5" t="str">
        <f>_xlfn.XLOOKUP(b.nike.views[[#This Row],[product_ID]], a.nike.original.man[Product_ID], a.nike.original.man[Rating_Group], "Not Found")</f>
        <v>0 - 2.9</v>
      </c>
      <c r="D450">
        <f>_xlfn.XLOOKUP(b.nike.views[[#This Row],[product_ID]], a.nike.original.man[Product_ID], a.nike.original.man[Rating], "Not Found")</f>
        <v>0</v>
      </c>
      <c r="E450" s="10">
        <f>ROUND(_xlfn.XLOOKUP(b.nike.views[[#This Row],[product_ID]], a.nike.original.man[Product_ID], a.nike.original.man[Sale Price], "Not Found"), 0)</f>
        <v>180</v>
      </c>
      <c r="F450" s="5" t="str" cm="1">
        <f t="array" ref="F450">_xlfn.IFS(b.nike.views[[#This Row],[Sales_Price]]&lt;=9, "under $10",b.nike.views[[#This Row],[Sales_Price]]&lt;=20, "$20 and under",b.nike.views[[#This Row],[Sales_Price]]&lt;=50, "$50 and under", b.nike.views[[#This Row],[Sales_Price]]&lt;=99, "under $100", b.nike.views[[#This Row],[Sales_Price]]&gt;=100, "$100 +")</f>
        <v>$100 +</v>
      </c>
      <c r="G450">
        <f>COUNTIF(a.nike.original.man[Product_ID], A450)</f>
        <v>1</v>
      </c>
      <c r="H450" t="str" cm="1">
        <f t="array" ref="H450">_xlfn.IFS(b.nike.views[[#This Row],[Review_Count]]&lt;=7, "Below Average",b.nike.views[[#This Row],[Review_Count]]&gt;=8, "Average +")</f>
        <v>Below Average</v>
      </c>
      <c r="I450">
        <f>SUMIF(a.nike.original.man[Product_ID],b.nike.views[[#This Row],[product_ID]], a.nike.original.man[Reviews])</f>
        <v>0</v>
      </c>
      <c r="J450" s="41">
        <f>_xlfn.XLOOKUP(b.nike.views[[#This Row],[product_ID]],a.nike.original.man[Product_ID], a.nike.original.man[Discount %], "Not Found")</f>
        <v>0</v>
      </c>
      <c r="K450" s="41"/>
      <c r="L450" t="s">
        <v>1470</v>
      </c>
    </row>
    <row r="451" spans="1:12" x14ac:dyDescent="0.2">
      <c r="A451" t="s">
        <v>1074</v>
      </c>
      <c r="B451" t="str">
        <f>_xlfn.XLOOKUP(b.nike.views[[#This Row],[product_ID]], a.nike.original.man[Product_ID], a.nike.original.man[Product Name], "Not Found")</f>
        <v>Nike Kawa Shower</v>
      </c>
      <c r="C451" s="5" t="str">
        <f>_xlfn.XLOOKUP(b.nike.views[[#This Row],[product_ID]], a.nike.original.man[Product_ID], a.nike.original.man[Rating_Group], "Not Found")</f>
        <v>0 - 2.9</v>
      </c>
      <c r="D451">
        <f>_xlfn.XLOOKUP(b.nike.views[[#This Row],[product_ID]], a.nike.original.man[Product_ID], a.nike.original.man[Rating], "Not Found")</f>
        <v>0</v>
      </c>
      <c r="E451" s="10">
        <f>ROUND(_xlfn.XLOOKUP(b.nike.views[[#This Row],[product_ID]], a.nike.original.man[Product_ID], a.nike.original.man[Sale Price], "Not Found"), 0)</f>
        <v>16</v>
      </c>
      <c r="F451" s="5" t="str" cm="1">
        <f t="array" ref="F451">_xlfn.IFS(b.nike.views[[#This Row],[Sales_Price]]&lt;=9, "under $10",b.nike.views[[#This Row],[Sales_Price]]&lt;=20, "$20 and under",b.nike.views[[#This Row],[Sales_Price]]&lt;=50, "$50 and under", b.nike.views[[#This Row],[Sales_Price]]&lt;=99, "under $100", b.nike.views[[#This Row],[Sales_Price]]&gt;=100, "$100 +")</f>
        <v>$20 and under</v>
      </c>
      <c r="G451">
        <f>COUNTIF(a.nike.original.man[Product_ID], A451)</f>
        <v>1</v>
      </c>
      <c r="H451" t="str" cm="1">
        <f t="array" ref="H451">_xlfn.IFS(b.nike.views[[#This Row],[Review_Count]]&lt;=7, "Below Average",b.nike.views[[#This Row],[Review_Count]]&gt;=8, "Average +")</f>
        <v>Below Average</v>
      </c>
      <c r="I451">
        <f>SUMIF(a.nike.original.man[Product_ID],b.nike.views[[#This Row],[product_ID]], a.nike.original.man[Reviews])</f>
        <v>0</v>
      </c>
      <c r="J451" s="41">
        <f>_xlfn.XLOOKUP(b.nike.views[[#This Row],[product_ID]],a.nike.original.man[Product_ID], a.nike.original.man[Discount %], "Not Found")</f>
        <v>0</v>
      </c>
      <c r="K451" s="41"/>
      <c r="L451" t="s">
        <v>1470</v>
      </c>
    </row>
    <row r="452" spans="1:12" x14ac:dyDescent="0.2">
      <c r="A452" t="s">
        <v>1077</v>
      </c>
      <c r="B452" t="str">
        <f>_xlfn.XLOOKUP(b.nike.views[[#This Row],[product_ID]], a.nike.original.man[Product_ID], a.nike.original.man[Product Name], "Not Found")</f>
        <v>Air Jordan 1 Mid</v>
      </c>
      <c r="C452" s="5" t="str">
        <f>_xlfn.XLOOKUP(b.nike.views[[#This Row],[product_ID]], a.nike.original.man[Product_ID], a.nike.original.man[Rating_Group], "Not Found")</f>
        <v>0 - 2.9</v>
      </c>
      <c r="D452">
        <f>_xlfn.XLOOKUP(b.nike.views[[#This Row],[product_ID]], a.nike.original.man[Product_ID], a.nike.original.man[Rating], "Not Found")</f>
        <v>0</v>
      </c>
      <c r="E452" s="10">
        <f>ROUND(_xlfn.XLOOKUP(b.nike.views[[#This Row],[product_ID]], a.nike.original.man[Product_ID], a.nike.original.man[Sale Price], "Not Found"), 0)</f>
        <v>100</v>
      </c>
      <c r="F452" s="5" t="str" cm="1">
        <f t="array" ref="F452">_xlfn.IFS(b.nike.views[[#This Row],[Sales_Price]]&lt;=9, "under $10",b.nike.views[[#This Row],[Sales_Price]]&lt;=20, "$20 and under",b.nike.views[[#This Row],[Sales_Price]]&lt;=50, "$50 and under", b.nike.views[[#This Row],[Sales_Price]]&lt;=99, "under $100", b.nike.views[[#This Row],[Sales_Price]]&gt;=100, "$100 +")</f>
        <v>$100 +</v>
      </c>
      <c r="G452">
        <f>COUNTIF(a.nike.original.man[Product_ID], A452)</f>
        <v>1</v>
      </c>
      <c r="H452" t="str" cm="1">
        <f t="array" ref="H452">_xlfn.IFS(b.nike.views[[#This Row],[Review_Count]]&lt;=7, "Below Average",b.nike.views[[#This Row],[Review_Count]]&gt;=8, "Average +")</f>
        <v>Below Average</v>
      </c>
      <c r="I452">
        <f>SUMIF(a.nike.original.man[Product_ID],b.nike.views[[#This Row],[product_ID]], a.nike.original.man[Reviews])</f>
        <v>0</v>
      </c>
      <c r="J452" s="41">
        <f>_xlfn.XLOOKUP(b.nike.views[[#This Row],[product_ID]],a.nike.original.man[Product_ID], a.nike.original.man[Discount %], "Not Found")</f>
        <v>0</v>
      </c>
      <c r="K452" s="41"/>
      <c r="L452" t="s">
        <v>1470</v>
      </c>
    </row>
    <row r="453" spans="1:12" x14ac:dyDescent="0.2">
      <c r="A453" t="s">
        <v>154</v>
      </c>
      <c r="B453" t="str">
        <f>_xlfn.XLOOKUP(b.nike.views[[#This Row],[product_ID]], a.nike.original.man[Product_ID], a.nike.original.man[Product Name], "Not Found")</f>
        <v>Air Max 97 LX</v>
      </c>
      <c r="C453" s="5" t="str">
        <f>_xlfn.XLOOKUP(b.nike.views[[#This Row],[product_ID]], a.nike.original.man[Product_ID], a.nike.original.man[Rating_Group], "Not Found")</f>
        <v>0 - 2.9</v>
      </c>
      <c r="D453">
        <f>_xlfn.XLOOKUP(b.nike.views[[#This Row],[product_ID]], a.nike.original.man[Product_ID], a.nike.original.man[Rating], "Not Found")</f>
        <v>0</v>
      </c>
      <c r="E453" s="10">
        <f>ROUND(_xlfn.XLOOKUP(b.nike.views[[#This Row],[product_ID]], a.nike.original.man[Product_ID], a.nike.original.man[Sale Price], "Not Found"), 0)</f>
        <v>160</v>
      </c>
      <c r="F453" s="5" t="str" cm="1">
        <f t="array" ref="F453">_xlfn.IFS(b.nike.views[[#This Row],[Sales_Price]]&lt;=9, "under $10",b.nike.views[[#This Row],[Sales_Price]]&lt;=20, "$20 and under",b.nike.views[[#This Row],[Sales_Price]]&lt;=50, "$50 and under", b.nike.views[[#This Row],[Sales_Price]]&lt;=99, "under $100", b.nike.views[[#This Row],[Sales_Price]]&gt;=100, "$100 +")</f>
        <v>$100 +</v>
      </c>
      <c r="G453">
        <f>COUNTIF(a.nike.original.man[Product_ID], A453)</f>
        <v>1</v>
      </c>
      <c r="H453" t="str" cm="1">
        <f t="array" ref="H453">_xlfn.IFS(b.nike.views[[#This Row],[Review_Count]]&lt;=7, "Below Average",b.nike.views[[#This Row],[Review_Count]]&gt;=8, "Average +")</f>
        <v>Below Average</v>
      </c>
      <c r="I453">
        <f>SUMIF(a.nike.original.man[Product_ID],b.nike.views[[#This Row],[product_ID]], a.nike.original.man[Reviews])</f>
        <v>0</v>
      </c>
      <c r="J453" s="41">
        <f>_xlfn.XLOOKUP(b.nike.views[[#This Row],[product_ID]],a.nike.original.man[Product_ID], a.nike.original.man[Discount %], "Not Found")</f>
        <v>0</v>
      </c>
      <c r="K453" s="41"/>
      <c r="L453" t="s">
        <v>1470</v>
      </c>
    </row>
    <row r="454" spans="1:12" x14ac:dyDescent="0.2">
      <c r="A454" t="s">
        <v>166</v>
      </c>
      <c r="B454" t="str">
        <f>_xlfn.XLOOKUP(b.nike.views[[#This Row],[product_ID]], a.nike.original.man[Product_ID], a.nike.original.man[Product Name], "Not Found")</f>
        <v>Nike Air Max Tailwind 99</v>
      </c>
      <c r="C454" s="5" t="str">
        <f>_xlfn.XLOOKUP(b.nike.views[[#This Row],[product_ID]], a.nike.original.man[Product_ID], a.nike.original.man[Rating_Group], "Not Found")</f>
        <v>0 - 2.9</v>
      </c>
      <c r="D454">
        <f>_xlfn.XLOOKUP(b.nike.views[[#This Row],[product_ID]], a.nike.original.man[Product_ID], a.nike.original.man[Rating], "Not Found")</f>
        <v>0</v>
      </c>
      <c r="E454" s="10">
        <f>ROUND(_xlfn.XLOOKUP(b.nike.views[[#This Row],[product_ID]], a.nike.original.man[Product_ID], a.nike.original.man[Sale Price], "Not Found"), 0)</f>
        <v>112</v>
      </c>
      <c r="F454" s="5" t="str" cm="1">
        <f t="array" ref="F454">_xlfn.IFS(b.nike.views[[#This Row],[Sales_Price]]&lt;=9, "under $10",b.nike.views[[#This Row],[Sales_Price]]&lt;=20, "$20 and under",b.nike.views[[#This Row],[Sales_Price]]&lt;=50, "$50 and under", b.nike.views[[#This Row],[Sales_Price]]&lt;=99, "under $100", b.nike.views[[#This Row],[Sales_Price]]&gt;=100, "$100 +")</f>
        <v>$100 +</v>
      </c>
      <c r="G454">
        <f>COUNTIF(a.nike.original.man[Product_ID], A454)</f>
        <v>1</v>
      </c>
      <c r="H454" t="str" cm="1">
        <f t="array" ref="H454">_xlfn.IFS(b.nike.views[[#This Row],[Review_Count]]&lt;=7, "Below Average",b.nike.views[[#This Row],[Review_Count]]&gt;=8, "Average +")</f>
        <v>Below Average</v>
      </c>
      <c r="I454">
        <f>SUMIF(a.nike.original.man[Product_ID],b.nike.views[[#This Row],[product_ID]], a.nike.original.man[Reviews])</f>
        <v>0</v>
      </c>
      <c r="J454" s="41">
        <f>_xlfn.XLOOKUP(b.nike.views[[#This Row],[product_ID]],a.nike.original.man[Product_ID], a.nike.original.man[Discount %], "Not Found")</f>
        <v>0.3</v>
      </c>
      <c r="K454" s="41"/>
      <c r="L454" t="s">
        <v>1470</v>
      </c>
    </row>
    <row r="455" spans="1:12" x14ac:dyDescent="0.2">
      <c r="A455" t="s">
        <v>444</v>
      </c>
      <c r="B455" t="str">
        <f>_xlfn.XLOOKUP(b.nike.views[[#This Row],[product_ID]], a.nike.original.man[Product_ID], a.nike.original.man[Product Name], "Not Found")</f>
        <v>Nike Air Max 1 DNA Ch. 1</v>
      </c>
      <c r="C455" s="5" t="str">
        <f>_xlfn.XLOOKUP(b.nike.views[[#This Row],[product_ID]], a.nike.original.man[Product_ID], a.nike.original.man[Rating_Group], "Not Found")</f>
        <v>0 - 2.9</v>
      </c>
      <c r="D455">
        <f>_xlfn.XLOOKUP(b.nike.views[[#This Row],[product_ID]], a.nike.original.man[Product_ID], a.nike.original.man[Rating], "Not Found")</f>
        <v>0</v>
      </c>
      <c r="E455" s="10">
        <f>ROUND(_xlfn.XLOOKUP(b.nike.views[[#This Row],[product_ID]], a.nike.original.man[Product_ID], a.nike.original.man[Sale Price], "Not Found"), 0)</f>
        <v>130</v>
      </c>
      <c r="F455" s="5" t="str" cm="1">
        <f t="array" ref="F455">_xlfn.IFS(b.nike.views[[#This Row],[Sales_Price]]&lt;=9, "under $10",b.nike.views[[#This Row],[Sales_Price]]&lt;=20, "$20 and under",b.nike.views[[#This Row],[Sales_Price]]&lt;=50, "$50 and under", b.nike.views[[#This Row],[Sales_Price]]&lt;=99, "under $100", b.nike.views[[#This Row],[Sales_Price]]&gt;=100, "$100 +")</f>
        <v>$100 +</v>
      </c>
      <c r="G455">
        <f>COUNTIF(a.nike.original.man[Product_ID], A455)</f>
        <v>1</v>
      </c>
      <c r="H455" t="str" cm="1">
        <f t="array" ref="H455">_xlfn.IFS(b.nike.views[[#This Row],[Review_Count]]&lt;=7, "Below Average",b.nike.views[[#This Row],[Review_Count]]&gt;=8, "Average +")</f>
        <v>Below Average</v>
      </c>
      <c r="I455">
        <f>SUMIF(a.nike.original.man[Product_ID],b.nike.views[[#This Row],[product_ID]], a.nike.original.man[Reviews])</f>
        <v>0</v>
      </c>
      <c r="J455" s="41">
        <f>_xlfn.XLOOKUP(b.nike.views[[#This Row],[product_ID]],a.nike.original.man[Product_ID], a.nike.original.man[Discount %], "Not Found")</f>
        <v>0</v>
      </c>
      <c r="K455" s="41"/>
      <c r="L455" t="s">
        <v>1470</v>
      </c>
    </row>
    <row r="456" spans="1:12" x14ac:dyDescent="0.2">
      <c r="A456" t="s">
        <v>693</v>
      </c>
      <c r="B456" t="str">
        <f>_xlfn.XLOOKUP(b.nike.views[[#This Row],[product_ID]], a.nike.original.man[Product_ID], a.nike.original.man[Product Name], "Not Found")</f>
        <v>Kyrie Flytrap 3 EP</v>
      </c>
      <c r="C456" s="5" t="str">
        <f>_xlfn.XLOOKUP(b.nike.views[[#This Row],[product_ID]], a.nike.original.man[Product_ID], a.nike.original.man[Rating_Group], "Not Found")</f>
        <v>0 - 2.9</v>
      </c>
      <c r="D456">
        <f>_xlfn.XLOOKUP(b.nike.views[[#This Row],[product_ID]], a.nike.original.man[Product_ID], a.nike.original.man[Rating], "Not Found")</f>
        <v>0</v>
      </c>
      <c r="E456" s="10">
        <f>ROUND(_xlfn.XLOOKUP(b.nike.views[[#This Row],[product_ID]], a.nike.original.man[Product_ID], a.nike.original.man[Sale Price], "Not Found"), 0)</f>
        <v>65</v>
      </c>
      <c r="F456" s="5" t="str" cm="1">
        <f t="array" ref="F456">_xlfn.IFS(b.nike.views[[#This Row],[Sales_Price]]&lt;=9, "under $10",b.nike.views[[#This Row],[Sales_Price]]&lt;=20, "$20 and under",b.nike.views[[#This Row],[Sales_Price]]&lt;=50, "$50 and under", b.nike.views[[#This Row],[Sales_Price]]&lt;=99, "under $100", b.nike.views[[#This Row],[Sales_Price]]&gt;=100, "$100 +")</f>
        <v>under $100</v>
      </c>
      <c r="G456">
        <f>COUNTIF(a.nike.original.man[Product_ID], A456)</f>
        <v>1</v>
      </c>
      <c r="H456" t="str" cm="1">
        <f t="array" ref="H456">_xlfn.IFS(b.nike.views[[#This Row],[Review_Count]]&lt;=7, "Below Average",b.nike.views[[#This Row],[Review_Count]]&gt;=8, "Average +")</f>
        <v>Below Average</v>
      </c>
      <c r="I456">
        <f>SUMIF(a.nike.original.man[Product_ID],b.nike.views[[#This Row],[product_ID]], a.nike.original.man[Reviews])</f>
        <v>0</v>
      </c>
      <c r="J456" s="41">
        <f>_xlfn.XLOOKUP(b.nike.views[[#This Row],[product_ID]],a.nike.original.man[Product_ID], a.nike.original.man[Discount %], "Not Found")</f>
        <v>0</v>
      </c>
      <c r="K456" s="41"/>
      <c r="L456" t="s">
        <v>1470</v>
      </c>
    </row>
    <row r="457" spans="1:12" x14ac:dyDescent="0.2">
      <c r="A457" t="s">
        <v>43</v>
      </c>
      <c r="B457" t="str">
        <f>_xlfn.XLOOKUP(b.nike.views[[#This Row],[product_ID]], a.nike.original.man[Product_ID], a.nike.original.man[Product Name], "Not Found")</f>
        <v>Jordan Air Max 200 XX</v>
      </c>
      <c r="C457" s="5" t="str">
        <f>_xlfn.XLOOKUP(b.nike.views[[#This Row],[product_ID]], a.nike.original.man[Product_ID], a.nike.original.man[Rating_Group], "Not Found")</f>
        <v>0 - 2.9</v>
      </c>
      <c r="D457">
        <f>_xlfn.XLOOKUP(b.nike.views[[#This Row],[product_ID]], a.nike.original.man[Product_ID], a.nike.original.man[Rating], "Not Found")</f>
        <v>0</v>
      </c>
      <c r="E457" s="10">
        <f>ROUND(_xlfn.XLOOKUP(b.nike.views[[#This Row],[product_ID]], a.nike.original.man[Product_ID], a.nike.original.man[Sale Price], "Not Found"), 0)</f>
        <v>105</v>
      </c>
      <c r="F457" s="5" t="str" cm="1">
        <f t="array" ref="F457">_xlfn.IFS(b.nike.views[[#This Row],[Sales_Price]]&lt;=9, "under $10",b.nike.views[[#This Row],[Sales_Price]]&lt;=20, "$20 and under",b.nike.views[[#This Row],[Sales_Price]]&lt;=50, "$50 and under", b.nike.views[[#This Row],[Sales_Price]]&lt;=99, "under $100", b.nike.views[[#This Row],[Sales_Price]]&gt;=100, "$100 +")</f>
        <v>$100 +</v>
      </c>
      <c r="G457">
        <f>COUNTIF(a.nike.original.man[Product_ID], A457)</f>
        <v>1</v>
      </c>
      <c r="H457" t="str" cm="1">
        <f t="array" ref="H457">_xlfn.IFS(b.nike.views[[#This Row],[Review_Count]]&lt;=7, "Below Average",b.nike.views[[#This Row],[Review_Count]]&gt;=8, "Average +")</f>
        <v>Below Average</v>
      </c>
      <c r="I457">
        <f>SUMIF(a.nike.original.man[Product_ID],b.nike.views[[#This Row],[product_ID]], a.nike.original.man[Reviews])</f>
        <v>0</v>
      </c>
      <c r="J457" s="41">
        <f>_xlfn.XLOOKUP(b.nike.views[[#This Row],[product_ID]],a.nike.original.man[Product_ID], a.nike.original.man[Discount %], "Not Found")</f>
        <v>0</v>
      </c>
      <c r="K457" s="41"/>
      <c r="L457" t="s">
        <v>1470</v>
      </c>
    </row>
    <row r="458" spans="1:12" x14ac:dyDescent="0.2">
      <c r="A458" t="s">
        <v>62</v>
      </c>
      <c r="B458" t="str">
        <f>_xlfn.XLOOKUP(b.nike.views[[#This Row],[product_ID]], a.nike.original.man[Product_ID], a.nike.original.man[Product Name], "Not Found")</f>
        <v>Nike Court Vintage Premium</v>
      </c>
      <c r="C458" s="5" t="str">
        <f>_xlfn.XLOOKUP(b.nike.views[[#This Row],[product_ID]], a.nike.original.man[Product_ID], a.nike.original.man[Rating_Group], "Not Found")</f>
        <v>0 - 2.9</v>
      </c>
      <c r="D458">
        <f>_xlfn.XLOOKUP(b.nike.views[[#This Row],[product_ID]], a.nike.original.man[Product_ID], a.nike.original.man[Rating], "Not Found")</f>
        <v>0</v>
      </c>
      <c r="E458" s="10">
        <f>ROUND(_xlfn.XLOOKUP(b.nike.views[[#This Row],[product_ID]], a.nike.original.man[Product_ID], a.nike.original.man[Sale Price], "Not Found"), 0)</f>
        <v>55</v>
      </c>
      <c r="F458" s="5" t="str" cm="1">
        <f t="array" ref="F458">_xlfn.IFS(b.nike.views[[#This Row],[Sales_Price]]&lt;=9, "under $10",b.nike.views[[#This Row],[Sales_Price]]&lt;=20, "$20 and under",b.nike.views[[#This Row],[Sales_Price]]&lt;=50, "$50 and under", b.nike.views[[#This Row],[Sales_Price]]&lt;=99, "under $100", b.nike.views[[#This Row],[Sales_Price]]&gt;=100, "$100 +")</f>
        <v>under $100</v>
      </c>
      <c r="G458">
        <f>COUNTIF(a.nike.original.man[Product_ID], A458)</f>
        <v>1</v>
      </c>
      <c r="H458" t="str" cm="1">
        <f t="array" ref="H458">_xlfn.IFS(b.nike.views[[#This Row],[Review_Count]]&lt;=7, "Below Average",b.nike.views[[#This Row],[Review_Count]]&gt;=8, "Average +")</f>
        <v>Below Average</v>
      </c>
      <c r="I458">
        <f>SUMIF(a.nike.original.man[Product_ID],b.nike.views[[#This Row],[product_ID]], a.nike.original.man[Reviews])</f>
        <v>0</v>
      </c>
      <c r="J458" s="41">
        <f>_xlfn.XLOOKUP(b.nike.views[[#This Row],[product_ID]],a.nike.original.man[Product_ID], a.nike.original.man[Discount %], "Not Found")</f>
        <v>0</v>
      </c>
      <c r="K458" s="41"/>
      <c r="L458" t="s">
        <v>1470</v>
      </c>
    </row>
    <row r="459" spans="1:12" x14ac:dyDescent="0.2">
      <c r="A459" t="s">
        <v>174</v>
      </c>
      <c r="B459" t="str">
        <f>_xlfn.XLOOKUP(b.nike.views[[#This Row],[product_ID]], a.nike.original.man[Product_ID], a.nike.original.man[Product Name], "Not Found")</f>
        <v>Nike Air Max Triax</v>
      </c>
      <c r="C459" s="5" t="str">
        <f>_xlfn.XLOOKUP(b.nike.views[[#This Row],[product_ID]], a.nike.original.man[Product_ID], a.nike.original.man[Rating_Group], "Not Found")</f>
        <v>0 - 2.9</v>
      </c>
      <c r="D459">
        <f>_xlfn.XLOOKUP(b.nike.views[[#This Row],[product_ID]], a.nike.original.man[Product_ID], a.nike.original.man[Rating], "Not Found")</f>
        <v>0</v>
      </c>
      <c r="E459" s="10">
        <f>ROUND(_xlfn.XLOOKUP(b.nike.views[[#This Row],[product_ID]], a.nike.original.man[Product_ID], a.nike.original.man[Sale Price], "Not Found"), 0)</f>
        <v>110</v>
      </c>
      <c r="F459" s="5" t="str" cm="1">
        <f t="array" ref="F459">_xlfn.IFS(b.nike.views[[#This Row],[Sales_Price]]&lt;=9, "under $10",b.nike.views[[#This Row],[Sales_Price]]&lt;=20, "$20 and under",b.nike.views[[#This Row],[Sales_Price]]&lt;=50, "$50 and under", b.nike.views[[#This Row],[Sales_Price]]&lt;=99, "under $100", b.nike.views[[#This Row],[Sales_Price]]&gt;=100, "$100 +")</f>
        <v>$100 +</v>
      </c>
      <c r="G459">
        <f>COUNTIF(a.nike.original.man[Product_ID], A459)</f>
        <v>1</v>
      </c>
      <c r="H459" t="str" cm="1">
        <f t="array" ref="H459">_xlfn.IFS(b.nike.views[[#This Row],[Review_Count]]&lt;=7, "Below Average",b.nike.views[[#This Row],[Review_Count]]&gt;=8, "Average +")</f>
        <v>Below Average</v>
      </c>
      <c r="I459">
        <f>SUMIF(a.nike.original.man[Product_ID],b.nike.views[[#This Row],[product_ID]], a.nike.original.man[Reviews])</f>
        <v>0</v>
      </c>
      <c r="J459" s="41">
        <f>_xlfn.XLOOKUP(b.nike.views[[#This Row],[product_ID]],a.nike.original.man[Product_ID], a.nike.original.man[Discount %], "Not Found")</f>
        <v>0</v>
      </c>
      <c r="K459" s="41"/>
      <c r="L459" t="s">
        <v>1470</v>
      </c>
    </row>
    <row r="460" spans="1:12" x14ac:dyDescent="0.2">
      <c r="A460" t="s">
        <v>243</v>
      </c>
      <c r="B460" t="str">
        <f>_xlfn.XLOOKUP(b.nike.views[[#This Row],[product_ID]], a.nike.original.man[Product_ID], a.nike.original.man[Product Name], "Not Found")</f>
        <v>Jordan React Havoc SE</v>
      </c>
      <c r="C460" s="5" t="str">
        <f>_xlfn.XLOOKUP(b.nike.views[[#This Row],[product_ID]], a.nike.original.man[Product_ID], a.nike.original.man[Rating_Group], "Not Found")</f>
        <v>0 - 2.9</v>
      </c>
      <c r="D460">
        <f>_xlfn.XLOOKUP(b.nike.views[[#This Row],[product_ID]], a.nike.original.man[Product_ID], a.nike.original.man[Rating], "Not Found")</f>
        <v>0</v>
      </c>
      <c r="E460" s="10">
        <f>ROUND(_xlfn.XLOOKUP(b.nike.views[[#This Row],[product_ID]], a.nike.original.man[Product_ID], a.nike.original.man[Sale Price], "Not Found"), 0)</f>
        <v>110</v>
      </c>
      <c r="F460" s="5" t="str" cm="1">
        <f t="array" ref="F460">_xlfn.IFS(b.nike.views[[#This Row],[Sales_Price]]&lt;=9, "under $10",b.nike.views[[#This Row],[Sales_Price]]&lt;=20, "$20 and under",b.nike.views[[#This Row],[Sales_Price]]&lt;=50, "$50 and under", b.nike.views[[#This Row],[Sales_Price]]&lt;=99, "under $100", b.nike.views[[#This Row],[Sales_Price]]&gt;=100, "$100 +")</f>
        <v>$100 +</v>
      </c>
      <c r="G460">
        <f>COUNTIF(a.nike.original.man[Product_ID], A460)</f>
        <v>1</v>
      </c>
      <c r="H460" t="str" cm="1">
        <f t="array" ref="H460">_xlfn.IFS(b.nike.views[[#This Row],[Review_Count]]&lt;=7, "Below Average",b.nike.views[[#This Row],[Review_Count]]&gt;=8, "Average +")</f>
        <v>Below Average</v>
      </c>
      <c r="I460">
        <f>SUMIF(a.nike.original.man[Product_ID],b.nike.views[[#This Row],[product_ID]], a.nike.original.man[Reviews])</f>
        <v>0</v>
      </c>
      <c r="J460" s="41">
        <f>_xlfn.XLOOKUP(b.nike.views[[#This Row],[product_ID]],a.nike.original.man[Product_ID], a.nike.original.man[Discount %], "Not Found")</f>
        <v>0</v>
      </c>
      <c r="K460" s="41"/>
      <c r="L460" t="s">
        <v>1470</v>
      </c>
    </row>
    <row r="461" spans="1:12" x14ac:dyDescent="0.2">
      <c r="A461" t="s">
        <v>266</v>
      </c>
      <c r="B461" t="str">
        <f>_xlfn.XLOOKUP(b.nike.views[[#This Row],[product_ID]], a.nike.original.man[Product_ID], a.nike.original.man[Product Name], "Not Found")</f>
        <v>Nike Air Max 2 Light</v>
      </c>
      <c r="C461" s="5" t="str">
        <f>_xlfn.XLOOKUP(b.nike.views[[#This Row],[product_ID]], a.nike.original.man[Product_ID], a.nike.original.man[Rating_Group], "Not Found")</f>
        <v>0 - 2.9</v>
      </c>
      <c r="D461">
        <f>_xlfn.XLOOKUP(b.nike.views[[#This Row],[product_ID]], a.nike.original.man[Product_ID], a.nike.original.man[Rating], "Not Found")</f>
        <v>0</v>
      </c>
      <c r="E461" s="10">
        <f>ROUND(_xlfn.XLOOKUP(b.nike.views[[#This Row],[product_ID]], a.nike.original.man[Product_ID], a.nike.original.man[Sale Price], "Not Found"), 0)</f>
        <v>96</v>
      </c>
      <c r="F461" s="5" t="str" cm="1">
        <f t="array" ref="F461">_xlfn.IFS(b.nike.views[[#This Row],[Sales_Price]]&lt;=9, "under $10",b.nike.views[[#This Row],[Sales_Price]]&lt;=20, "$20 and under",b.nike.views[[#This Row],[Sales_Price]]&lt;=50, "$50 and under", b.nike.views[[#This Row],[Sales_Price]]&lt;=99, "under $100", b.nike.views[[#This Row],[Sales_Price]]&gt;=100, "$100 +")</f>
        <v>under $100</v>
      </c>
      <c r="G461">
        <f>COUNTIF(a.nike.original.man[Product_ID], A461)</f>
        <v>1</v>
      </c>
      <c r="H461" t="str" cm="1">
        <f t="array" ref="H461">_xlfn.IFS(b.nike.views[[#This Row],[Review_Count]]&lt;=7, "Below Average",b.nike.views[[#This Row],[Review_Count]]&gt;=8, "Average +")</f>
        <v>Below Average</v>
      </c>
      <c r="I461">
        <f>SUMIF(a.nike.original.man[Product_ID],b.nike.views[[#This Row],[product_ID]], a.nike.original.man[Reviews])</f>
        <v>0</v>
      </c>
      <c r="J461" s="41">
        <f>_xlfn.XLOOKUP(b.nike.views[[#This Row],[product_ID]],a.nike.original.man[Product_ID], a.nike.original.man[Discount %], "Not Found")</f>
        <v>0.2</v>
      </c>
      <c r="K461" s="41"/>
      <c r="L461" t="s">
        <v>1470</v>
      </c>
    </row>
    <row r="462" spans="1:12" x14ac:dyDescent="0.2">
      <c r="A462" t="s">
        <v>447</v>
      </c>
      <c r="B462" t="str">
        <f>_xlfn.XLOOKUP(b.nike.views[[#This Row],[product_ID]], a.nike.original.man[Product_ID], a.nike.original.man[Product Name], "Not Found")</f>
        <v>Nike Joyride Flyknit AW</v>
      </c>
      <c r="C462" s="5" t="str">
        <f>_xlfn.XLOOKUP(b.nike.views[[#This Row],[product_ID]], a.nike.original.man[Product_ID], a.nike.original.man[Rating_Group], "Not Found")</f>
        <v>0 - 2.9</v>
      </c>
      <c r="D462">
        <f>_xlfn.XLOOKUP(b.nike.views[[#This Row],[product_ID]], a.nike.original.man[Product_ID], a.nike.original.man[Rating], "Not Found")</f>
        <v>0</v>
      </c>
      <c r="E462" s="10">
        <f>ROUND(_xlfn.XLOOKUP(b.nike.views[[#This Row],[product_ID]], a.nike.original.man[Product_ID], a.nike.original.man[Sale Price], "Not Found"), 0)</f>
        <v>120</v>
      </c>
      <c r="F462" s="5" t="str" cm="1">
        <f t="array" ref="F462">_xlfn.IFS(b.nike.views[[#This Row],[Sales_Price]]&lt;=9, "under $10",b.nike.views[[#This Row],[Sales_Price]]&lt;=20, "$20 and under",b.nike.views[[#This Row],[Sales_Price]]&lt;=50, "$50 and under", b.nike.views[[#This Row],[Sales_Price]]&lt;=99, "under $100", b.nike.views[[#This Row],[Sales_Price]]&gt;=100, "$100 +")</f>
        <v>$100 +</v>
      </c>
      <c r="G462">
        <f>COUNTIF(a.nike.original.man[Product_ID], A462)</f>
        <v>1</v>
      </c>
      <c r="H462" t="str" cm="1">
        <f t="array" ref="H462">_xlfn.IFS(b.nike.views[[#This Row],[Review_Count]]&lt;=7, "Below Average",b.nike.views[[#This Row],[Review_Count]]&gt;=8, "Average +")</f>
        <v>Below Average</v>
      </c>
      <c r="I462">
        <f>SUMIF(a.nike.original.man[Product_ID],b.nike.views[[#This Row],[product_ID]], a.nike.original.man[Reviews])</f>
        <v>0</v>
      </c>
      <c r="J462" s="41">
        <f>_xlfn.XLOOKUP(b.nike.views[[#This Row],[product_ID]],a.nike.original.man[Product_ID], a.nike.original.man[Discount %], "Not Found")</f>
        <v>0.25</v>
      </c>
      <c r="K462" s="41"/>
      <c r="L462" t="s">
        <v>1470</v>
      </c>
    </row>
    <row r="463" spans="1:12" x14ac:dyDescent="0.2">
      <c r="A463" t="s">
        <v>515</v>
      </c>
      <c r="B463" t="str">
        <f>_xlfn.XLOOKUP(b.nike.views[[#This Row],[product_ID]], a.nike.original.man[Product_ID], a.nike.original.man[Product Name], "Not Found")</f>
        <v>KD13 EP</v>
      </c>
      <c r="C463" s="5" t="str">
        <f>_xlfn.XLOOKUP(b.nike.views[[#This Row],[product_ID]], a.nike.original.man[Product_ID], a.nike.original.man[Rating_Group], "Not Found")</f>
        <v>0 - 2.9</v>
      </c>
      <c r="D463">
        <f>_xlfn.XLOOKUP(b.nike.views[[#This Row],[product_ID]], a.nike.original.man[Product_ID], a.nike.original.man[Rating], "Not Found")</f>
        <v>0</v>
      </c>
      <c r="E463" s="10">
        <f>ROUND(_xlfn.XLOOKUP(b.nike.views[[#This Row],[product_ID]], a.nike.original.man[Product_ID], a.nike.original.man[Sale Price], "Not Found"), 0)</f>
        <v>130</v>
      </c>
      <c r="F463" s="5" t="str" cm="1">
        <f t="array" ref="F463">_xlfn.IFS(b.nike.views[[#This Row],[Sales_Price]]&lt;=9, "under $10",b.nike.views[[#This Row],[Sales_Price]]&lt;=20, "$20 and under",b.nike.views[[#This Row],[Sales_Price]]&lt;=50, "$50 and under", b.nike.views[[#This Row],[Sales_Price]]&lt;=99, "under $100", b.nike.views[[#This Row],[Sales_Price]]&gt;=100, "$100 +")</f>
        <v>$100 +</v>
      </c>
      <c r="G463">
        <f>COUNTIF(a.nike.original.man[Product_ID], A463)</f>
        <v>1</v>
      </c>
      <c r="H463" t="str" cm="1">
        <f t="array" ref="H463">_xlfn.IFS(b.nike.views[[#This Row],[Review_Count]]&lt;=7, "Below Average",b.nike.views[[#This Row],[Review_Count]]&gt;=8, "Average +")</f>
        <v>Below Average</v>
      </c>
      <c r="I463">
        <f>SUMIF(a.nike.original.man[Product_ID],b.nike.views[[#This Row],[product_ID]], a.nike.original.man[Reviews])</f>
        <v>0</v>
      </c>
      <c r="J463" s="41">
        <f>_xlfn.XLOOKUP(b.nike.views[[#This Row],[product_ID]],a.nike.original.man[Product_ID], a.nike.original.man[Discount %], "Not Found")</f>
        <v>0</v>
      </c>
      <c r="K463" s="41"/>
      <c r="L463" t="s">
        <v>1470</v>
      </c>
    </row>
    <row r="464" spans="1:12" x14ac:dyDescent="0.2">
      <c r="A464" t="s">
        <v>533</v>
      </c>
      <c r="B464" t="str">
        <f>_xlfn.XLOOKUP(b.nike.views[[#This Row],[product_ID]], a.nike.original.man[Product_ID], a.nike.original.man[Product Name], "Not Found")</f>
        <v>Nike Air Max 95 Print</v>
      </c>
      <c r="C464" s="5" t="str">
        <f>_xlfn.XLOOKUP(b.nike.views[[#This Row],[product_ID]], a.nike.original.man[Product_ID], a.nike.original.man[Rating_Group], "Not Found")</f>
        <v>0 - 2.9</v>
      </c>
      <c r="D464">
        <f>_xlfn.XLOOKUP(b.nike.views[[#This Row],[product_ID]], a.nike.original.man[Product_ID], a.nike.original.man[Rating], "Not Found")</f>
        <v>0</v>
      </c>
      <c r="E464" s="10">
        <f>ROUND(_xlfn.XLOOKUP(b.nike.views[[#This Row],[product_ID]], a.nike.original.man[Product_ID], a.nike.original.man[Sale Price], "Not Found"), 0)</f>
        <v>170</v>
      </c>
      <c r="F464" s="5" t="str" cm="1">
        <f t="array" ref="F464">_xlfn.IFS(b.nike.views[[#This Row],[Sales_Price]]&lt;=9, "under $10",b.nike.views[[#This Row],[Sales_Price]]&lt;=20, "$20 and under",b.nike.views[[#This Row],[Sales_Price]]&lt;=50, "$50 and under", b.nike.views[[#This Row],[Sales_Price]]&lt;=99, "under $100", b.nike.views[[#This Row],[Sales_Price]]&gt;=100, "$100 +")</f>
        <v>$100 +</v>
      </c>
      <c r="G464">
        <f>COUNTIF(a.nike.original.man[Product_ID], A464)</f>
        <v>1</v>
      </c>
      <c r="H464" t="str" cm="1">
        <f t="array" ref="H464">_xlfn.IFS(b.nike.views[[#This Row],[Review_Count]]&lt;=7, "Below Average",b.nike.views[[#This Row],[Review_Count]]&gt;=8, "Average +")</f>
        <v>Below Average</v>
      </c>
      <c r="I464">
        <f>SUMIF(a.nike.original.man[Product_ID],b.nike.views[[#This Row],[product_ID]], a.nike.original.man[Reviews])</f>
        <v>0</v>
      </c>
      <c r="J464" s="41">
        <f>_xlfn.XLOOKUP(b.nike.views[[#This Row],[product_ID]],a.nike.original.man[Product_ID], a.nike.original.man[Discount %], "Not Found")</f>
        <v>0</v>
      </c>
      <c r="K464" s="41"/>
      <c r="L464" t="s">
        <v>1470</v>
      </c>
    </row>
    <row r="465" spans="1:12" x14ac:dyDescent="0.2">
      <c r="A465" t="s">
        <v>633</v>
      </c>
      <c r="B465" t="str">
        <f>_xlfn.XLOOKUP(b.nike.views[[#This Row],[product_ID]], a.nike.original.man[Product_ID], a.nike.original.man[Product Name], "Not Found")</f>
        <v>Nike Air Max 90 SP</v>
      </c>
      <c r="C465" s="5" t="str">
        <f>_xlfn.XLOOKUP(b.nike.views[[#This Row],[product_ID]], a.nike.original.man[Product_ID], a.nike.original.man[Rating_Group], "Not Found")</f>
        <v>0 - 2.9</v>
      </c>
      <c r="D465">
        <f>_xlfn.XLOOKUP(b.nike.views[[#This Row],[product_ID]], a.nike.original.man[Product_ID], a.nike.original.man[Rating], "Not Found")</f>
        <v>0</v>
      </c>
      <c r="E465" s="10">
        <f>ROUND(_xlfn.XLOOKUP(b.nike.views[[#This Row],[product_ID]], a.nike.original.man[Product_ID], a.nike.original.man[Sale Price], "Not Found"), 0)</f>
        <v>160</v>
      </c>
      <c r="F465" s="5" t="str" cm="1">
        <f t="array" ref="F465">_xlfn.IFS(b.nike.views[[#This Row],[Sales_Price]]&lt;=9, "under $10",b.nike.views[[#This Row],[Sales_Price]]&lt;=20, "$20 and under",b.nike.views[[#This Row],[Sales_Price]]&lt;=50, "$50 and under", b.nike.views[[#This Row],[Sales_Price]]&lt;=99, "under $100", b.nike.views[[#This Row],[Sales_Price]]&gt;=100, "$100 +")</f>
        <v>$100 +</v>
      </c>
      <c r="G465">
        <f>COUNTIF(a.nike.original.man[Product_ID], A465)</f>
        <v>1</v>
      </c>
      <c r="H465" t="str" cm="1">
        <f t="array" ref="H465">_xlfn.IFS(b.nike.views[[#This Row],[Review_Count]]&lt;=7, "Below Average",b.nike.views[[#This Row],[Review_Count]]&gt;=8, "Average +")</f>
        <v>Below Average</v>
      </c>
      <c r="I465">
        <f>SUMIF(a.nike.original.man[Product_ID],b.nike.views[[#This Row],[product_ID]], a.nike.original.man[Reviews])</f>
        <v>0</v>
      </c>
      <c r="J465" s="41">
        <f>_xlfn.XLOOKUP(b.nike.views[[#This Row],[product_ID]],a.nike.original.man[Product_ID], a.nike.original.man[Discount %], "Not Found")</f>
        <v>0</v>
      </c>
      <c r="K465" s="41"/>
      <c r="L465" t="s">
        <v>1470</v>
      </c>
    </row>
    <row r="466" spans="1:12" x14ac:dyDescent="0.2">
      <c r="A466" t="s">
        <v>644</v>
      </c>
      <c r="B466" t="str">
        <f>_xlfn.XLOOKUP(b.nike.views[[#This Row],[product_ID]], a.nike.original.man[Product_ID], a.nike.original.man[Product Name], "Not Found")</f>
        <v>Nike Air Max 270 React LX</v>
      </c>
      <c r="C466" s="5" t="str">
        <f>_xlfn.XLOOKUP(b.nike.views[[#This Row],[product_ID]], a.nike.original.man[Product_ID], a.nike.original.man[Rating_Group], "Not Found")</f>
        <v>0 - 2.9</v>
      </c>
      <c r="D466">
        <f>_xlfn.XLOOKUP(b.nike.views[[#This Row],[product_ID]], a.nike.original.man[Product_ID], a.nike.original.man[Rating], "Not Found")</f>
        <v>0</v>
      </c>
      <c r="E466" s="10">
        <f>ROUND(_xlfn.XLOOKUP(b.nike.views[[#This Row],[product_ID]], a.nike.original.man[Product_ID], a.nike.original.man[Sale Price], "Not Found"), 0)</f>
        <v>84</v>
      </c>
      <c r="F466" s="5" t="str" cm="1">
        <f t="array" ref="F466">_xlfn.IFS(b.nike.views[[#This Row],[Sales_Price]]&lt;=9, "under $10",b.nike.views[[#This Row],[Sales_Price]]&lt;=20, "$20 and under",b.nike.views[[#This Row],[Sales_Price]]&lt;=50, "$50 and under", b.nike.views[[#This Row],[Sales_Price]]&lt;=99, "under $100", b.nike.views[[#This Row],[Sales_Price]]&gt;=100, "$100 +")</f>
        <v>under $100</v>
      </c>
      <c r="G466">
        <f>COUNTIF(a.nike.original.man[Product_ID], A466)</f>
        <v>1</v>
      </c>
      <c r="H466" t="str" cm="1">
        <f t="array" ref="H466">_xlfn.IFS(b.nike.views[[#This Row],[Review_Count]]&lt;=7, "Below Average",b.nike.views[[#This Row],[Review_Count]]&gt;=8, "Average +")</f>
        <v>Below Average</v>
      </c>
      <c r="I466">
        <f>SUMIF(a.nike.original.man[Product_ID],b.nike.views[[#This Row],[product_ID]], a.nike.original.man[Reviews])</f>
        <v>0</v>
      </c>
      <c r="J466" s="41">
        <f>_xlfn.XLOOKUP(b.nike.views[[#This Row],[product_ID]],a.nike.original.man[Product_ID], a.nike.original.man[Discount %], "Not Found")</f>
        <v>0.4</v>
      </c>
      <c r="K466" s="41"/>
      <c r="L466" t="s">
        <v>1470</v>
      </c>
    </row>
    <row r="467" spans="1:12" x14ac:dyDescent="0.2">
      <c r="A467" t="s">
        <v>699</v>
      </c>
      <c r="B467" t="str">
        <f>_xlfn.XLOOKUP(b.nike.views[[#This Row],[product_ID]], a.nike.original.man[Product_ID], a.nike.original.man[Product Name], "Not Found")</f>
        <v>Jordan Max 200</v>
      </c>
      <c r="C467" s="5" t="str">
        <f>_xlfn.XLOOKUP(b.nike.views[[#This Row],[product_ID]], a.nike.original.man[Product_ID], a.nike.original.man[Rating_Group], "Not Found")</f>
        <v>0 - 2.9</v>
      </c>
      <c r="D467">
        <f>_xlfn.XLOOKUP(b.nike.views[[#This Row],[product_ID]], a.nike.original.man[Product_ID], a.nike.original.man[Rating], "Not Found")</f>
        <v>0</v>
      </c>
      <c r="E467" s="10">
        <f>ROUND(_xlfn.XLOOKUP(b.nike.views[[#This Row],[product_ID]], a.nike.original.man[Product_ID], a.nike.original.man[Sale Price], "Not Found"), 0)</f>
        <v>105</v>
      </c>
      <c r="F467" s="5" t="str" cm="1">
        <f t="array" ref="F467">_xlfn.IFS(b.nike.views[[#This Row],[Sales_Price]]&lt;=9, "under $10",b.nike.views[[#This Row],[Sales_Price]]&lt;=20, "$20 and under",b.nike.views[[#This Row],[Sales_Price]]&lt;=50, "$50 and under", b.nike.views[[#This Row],[Sales_Price]]&lt;=99, "under $100", b.nike.views[[#This Row],[Sales_Price]]&gt;=100, "$100 +")</f>
        <v>$100 +</v>
      </c>
      <c r="G467">
        <f>COUNTIF(a.nike.original.man[Product_ID], A467)</f>
        <v>1</v>
      </c>
      <c r="H467" t="str" cm="1">
        <f t="array" ref="H467">_xlfn.IFS(b.nike.views[[#This Row],[Review_Count]]&lt;=7, "Below Average",b.nike.views[[#This Row],[Review_Count]]&gt;=8, "Average +")</f>
        <v>Below Average</v>
      </c>
      <c r="I467">
        <f>SUMIF(a.nike.original.man[Product_ID],b.nike.views[[#This Row],[product_ID]], a.nike.original.man[Reviews])</f>
        <v>0</v>
      </c>
      <c r="J467" s="41">
        <f>_xlfn.XLOOKUP(b.nike.views[[#This Row],[product_ID]],a.nike.original.man[Product_ID], a.nike.original.man[Discount %], "Not Found")</f>
        <v>0</v>
      </c>
      <c r="K467" s="41"/>
      <c r="L467" t="s">
        <v>1470</v>
      </c>
    </row>
    <row r="468" spans="1:12" x14ac:dyDescent="0.2">
      <c r="A468" t="s">
        <v>734</v>
      </c>
      <c r="B468" t="str">
        <f>_xlfn.XLOOKUP(b.nike.views[[#This Row],[product_ID]], a.nike.original.man[Product_ID], a.nike.original.man[Product Name], "Not Found")</f>
        <v>NikeCourt Air Max Vapor Wing Premium</v>
      </c>
      <c r="C468" s="5" t="str">
        <f>_xlfn.XLOOKUP(b.nike.views[[#This Row],[product_ID]], a.nike.original.man[Product_ID], a.nike.original.man[Rating_Group], "Not Found")</f>
        <v>0 - 2.9</v>
      </c>
      <c r="D468">
        <f>_xlfn.XLOOKUP(b.nike.views[[#This Row],[product_ID]], a.nike.original.man[Product_ID], a.nike.original.man[Rating], "Not Found")</f>
        <v>0</v>
      </c>
      <c r="E468" s="10">
        <f>ROUND(_xlfn.XLOOKUP(b.nike.views[[#This Row],[product_ID]], a.nike.original.man[Product_ID], a.nike.original.man[Sale Price], "Not Found"), 0)</f>
        <v>80</v>
      </c>
      <c r="F468" s="5" t="str" cm="1">
        <f t="array" ref="F468">_xlfn.IFS(b.nike.views[[#This Row],[Sales_Price]]&lt;=9, "under $10",b.nike.views[[#This Row],[Sales_Price]]&lt;=20, "$20 and under",b.nike.views[[#This Row],[Sales_Price]]&lt;=50, "$50 and under", b.nike.views[[#This Row],[Sales_Price]]&lt;=99, "under $100", b.nike.views[[#This Row],[Sales_Price]]&gt;=100, "$100 +")</f>
        <v>under $100</v>
      </c>
      <c r="G468">
        <f>COUNTIF(a.nike.original.man[Product_ID], A468)</f>
        <v>1</v>
      </c>
      <c r="H468" t="str" cm="1">
        <f t="array" ref="H468">_xlfn.IFS(b.nike.views[[#This Row],[Review_Count]]&lt;=7, "Below Average",b.nike.views[[#This Row],[Review_Count]]&gt;=8, "Average +")</f>
        <v>Below Average</v>
      </c>
      <c r="I468">
        <f>SUMIF(a.nike.original.man[Product_ID],b.nike.views[[#This Row],[product_ID]], a.nike.original.man[Reviews])</f>
        <v>0</v>
      </c>
      <c r="J468" s="41">
        <f>_xlfn.XLOOKUP(b.nike.views[[#This Row],[product_ID]],a.nike.original.man[Product_ID], a.nike.original.man[Discount %], "Not Found")</f>
        <v>0</v>
      </c>
      <c r="K468" s="41"/>
      <c r="L468" t="s">
        <v>1470</v>
      </c>
    </row>
    <row r="469" spans="1:12" x14ac:dyDescent="0.2">
      <c r="A469" t="s">
        <v>755</v>
      </c>
      <c r="B469" t="str">
        <f>_xlfn.XLOOKUP(b.nike.views[[#This Row],[product_ID]], a.nike.original.man[Product_ID], a.nike.original.man[Product Name], "Not Found")</f>
        <v>Nike Air Max 720 Horizon</v>
      </c>
      <c r="C469" s="5" t="str">
        <f>_xlfn.XLOOKUP(b.nike.views[[#This Row],[product_ID]], a.nike.original.man[Product_ID], a.nike.original.man[Rating_Group], "Not Found")</f>
        <v>0 - 2.9</v>
      </c>
      <c r="D469">
        <f>_xlfn.XLOOKUP(b.nike.views[[#This Row],[product_ID]], a.nike.original.man[Product_ID], a.nike.original.man[Rating], "Not Found")</f>
        <v>0</v>
      </c>
      <c r="E469" s="10">
        <f>ROUND(_xlfn.XLOOKUP(b.nike.views[[#This Row],[product_ID]], a.nike.original.man[Product_ID], a.nike.original.man[Sale Price], "Not Found"), 0)</f>
        <v>160</v>
      </c>
      <c r="F469" s="5" t="str" cm="1">
        <f t="array" ref="F469">_xlfn.IFS(b.nike.views[[#This Row],[Sales_Price]]&lt;=9, "under $10",b.nike.views[[#This Row],[Sales_Price]]&lt;=20, "$20 and under",b.nike.views[[#This Row],[Sales_Price]]&lt;=50, "$50 and under", b.nike.views[[#This Row],[Sales_Price]]&lt;=99, "under $100", b.nike.views[[#This Row],[Sales_Price]]&gt;=100, "$100 +")</f>
        <v>$100 +</v>
      </c>
      <c r="G469">
        <f>COUNTIF(a.nike.original.man[Product_ID], A469)</f>
        <v>1</v>
      </c>
      <c r="H469" t="str" cm="1">
        <f t="array" ref="H469">_xlfn.IFS(b.nike.views[[#This Row],[Review_Count]]&lt;=7, "Below Average",b.nike.views[[#This Row],[Review_Count]]&gt;=8, "Average +")</f>
        <v>Below Average</v>
      </c>
      <c r="I469">
        <f>SUMIF(a.nike.original.man[Product_ID],b.nike.views[[#This Row],[product_ID]], a.nike.original.man[Reviews])</f>
        <v>0</v>
      </c>
      <c r="J469" s="41">
        <f>_xlfn.XLOOKUP(b.nike.views[[#This Row],[product_ID]],a.nike.original.man[Product_ID], a.nike.original.man[Discount %], "Not Found")</f>
        <v>0.2</v>
      </c>
      <c r="K469" s="41"/>
      <c r="L469" t="s">
        <v>1470</v>
      </c>
    </row>
    <row r="470" spans="1:12" x14ac:dyDescent="0.2">
      <c r="A470" t="s">
        <v>897</v>
      </c>
      <c r="B470" t="str">
        <f>_xlfn.XLOOKUP(b.nike.views[[#This Row],[product_ID]], a.nike.original.man[Product_ID], a.nike.original.man[Product Name], "Not Found")</f>
        <v>Nike Fly.By Mid</v>
      </c>
      <c r="C470" s="5" t="str">
        <f>_xlfn.XLOOKUP(b.nike.views[[#This Row],[product_ID]], a.nike.original.man[Product_ID], a.nike.original.man[Rating_Group], "Not Found")</f>
        <v>0 - 2.9</v>
      </c>
      <c r="D470">
        <f>_xlfn.XLOOKUP(b.nike.views[[#This Row],[product_ID]], a.nike.original.man[Product_ID], a.nike.original.man[Rating], "Not Found")</f>
        <v>0</v>
      </c>
      <c r="E470" s="10">
        <f>ROUND(_xlfn.XLOOKUP(b.nike.views[[#This Row],[product_ID]], a.nike.original.man[Product_ID], a.nike.original.man[Sale Price], "Not Found"), 0)</f>
        <v>45</v>
      </c>
      <c r="F470" s="5" t="str" cm="1">
        <f t="array" ref="F470">_xlfn.IFS(b.nike.views[[#This Row],[Sales_Price]]&lt;=9, "under $10",b.nike.views[[#This Row],[Sales_Price]]&lt;=20, "$20 and under",b.nike.views[[#This Row],[Sales_Price]]&lt;=50, "$50 and under", b.nike.views[[#This Row],[Sales_Price]]&lt;=99, "under $100", b.nike.views[[#This Row],[Sales_Price]]&gt;=100, "$100 +")</f>
        <v>$50 and under</v>
      </c>
      <c r="G470">
        <f>COUNTIF(a.nike.original.man[Product_ID], A470)</f>
        <v>1</v>
      </c>
      <c r="H470" t="str" cm="1">
        <f t="array" ref="H470">_xlfn.IFS(b.nike.views[[#This Row],[Review_Count]]&lt;=7, "Below Average",b.nike.views[[#This Row],[Review_Count]]&gt;=8, "Average +")</f>
        <v>Below Average</v>
      </c>
      <c r="I470">
        <f>SUMIF(a.nike.original.man[Product_ID],b.nike.views[[#This Row],[product_ID]], a.nike.original.man[Reviews])</f>
        <v>0</v>
      </c>
      <c r="J470" s="41">
        <f>_xlfn.XLOOKUP(b.nike.views[[#This Row],[product_ID]],a.nike.original.man[Product_ID], a.nike.original.man[Discount %], "Not Found")</f>
        <v>0</v>
      </c>
      <c r="K470" s="41"/>
      <c r="L470" t="s">
        <v>1470</v>
      </c>
    </row>
    <row r="471" spans="1:12" x14ac:dyDescent="0.2">
      <c r="A471" t="s">
        <v>940</v>
      </c>
      <c r="B471" t="str">
        <f>_xlfn.XLOOKUP(b.nike.views[[#This Row],[product_ID]], a.nike.original.man[Product_ID], a.nike.original.man[Product Name], "Not Found")</f>
        <v>Jordan Modero 2 VP</v>
      </c>
      <c r="C471" s="5" t="str">
        <f>_xlfn.XLOOKUP(b.nike.views[[#This Row],[product_ID]], a.nike.original.man[Product_ID], a.nike.original.man[Rating_Group], "Not Found")</f>
        <v>0 - 2.9</v>
      </c>
      <c r="D471">
        <f>_xlfn.XLOOKUP(b.nike.views[[#This Row],[product_ID]], a.nike.original.man[Product_ID], a.nike.original.man[Rating], "Not Found")</f>
        <v>0</v>
      </c>
      <c r="E471" s="10">
        <f>ROUND(_xlfn.XLOOKUP(b.nike.views[[#This Row],[product_ID]], a.nike.original.man[Product_ID], a.nike.original.man[Sale Price], "Not Found"), 0)</f>
        <v>45</v>
      </c>
      <c r="F471" s="5" t="str" cm="1">
        <f t="array" ref="F471">_xlfn.IFS(b.nike.views[[#This Row],[Sales_Price]]&lt;=9, "under $10",b.nike.views[[#This Row],[Sales_Price]]&lt;=20, "$20 and under",b.nike.views[[#This Row],[Sales_Price]]&lt;=50, "$50 and under", b.nike.views[[#This Row],[Sales_Price]]&lt;=99, "under $100", b.nike.views[[#This Row],[Sales_Price]]&gt;=100, "$100 +")</f>
        <v>$50 and under</v>
      </c>
      <c r="G471">
        <f>COUNTIF(a.nike.original.man[Product_ID], A471)</f>
        <v>1</v>
      </c>
      <c r="H471" t="str" cm="1">
        <f t="array" ref="H471">_xlfn.IFS(b.nike.views[[#This Row],[Review_Count]]&lt;=7, "Below Average",b.nike.views[[#This Row],[Review_Count]]&gt;=8, "Average +")</f>
        <v>Below Average</v>
      </c>
      <c r="I471">
        <f>SUMIF(a.nike.original.man[Product_ID],b.nike.views[[#This Row],[product_ID]], a.nike.original.man[Reviews])</f>
        <v>0</v>
      </c>
      <c r="J471" s="41">
        <f>_xlfn.XLOOKUP(b.nike.views[[#This Row],[product_ID]],a.nike.original.man[Product_ID], a.nike.original.man[Discount %], "Not Found")</f>
        <v>0</v>
      </c>
      <c r="K471" s="41"/>
      <c r="L471" t="s">
        <v>1470</v>
      </c>
    </row>
    <row r="472" spans="1:12" x14ac:dyDescent="0.2">
      <c r="A472" t="s">
        <v>1020</v>
      </c>
      <c r="B472" t="str">
        <f>_xlfn.XLOOKUP(b.nike.views[[#This Row],[product_ID]], a.nike.original.man[Product_ID], a.nike.original.man[Product Name], "Not Found")</f>
        <v>Nike Air Force 1 Type-2</v>
      </c>
      <c r="C472" s="5" t="str">
        <f>_xlfn.XLOOKUP(b.nike.views[[#This Row],[product_ID]], a.nike.original.man[Product_ID], a.nike.original.man[Rating_Group], "Not Found")</f>
        <v>0 - 2.9</v>
      </c>
      <c r="D472">
        <f>_xlfn.XLOOKUP(b.nike.views[[#This Row],[product_ID]], a.nike.original.man[Product_ID], a.nike.original.man[Rating], "Not Found")</f>
        <v>0</v>
      </c>
      <c r="E472" s="10">
        <f>ROUND(_xlfn.XLOOKUP(b.nike.views[[#This Row],[product_ID]], a.nike.original.man[Product_ID], a.nike.original.man[Sale Price], "Not Found"), 0)</f>
        <v>120</v>
      </c>
      <c r="F472" s="5" t="str" cm="1">
        <f t="array" ref="F472">_xlfn.IFS(b.nike.views[[#This Row],[Sales_Price]]&lt;=9, "under $10",b.nike.views[[#This Row],[Sales_Price]]&lt;=20, "$20 and under",b.nike.views[[#This Row],[Sales_Price]]&lt;=50, "$50 and under", b.nike.views[[#This Row],[Sales_Price]]&lt;=99, "under $100", b.nike.views[[#This Row],[Sales_Price]]&gt;=100, "$100 +")</f>
        <v>$100 +</v>
      </c>
      <c r="G472">
        <f>COUNTIF(a.nike.original.man[Product_ID], A472)</f>
        <v>1</v>
      </c>
      <c r="H472" t="str" cm="1">
        <f t="array" ref="H472">_xlfn.IFS(b.nike.views[[#This Row],[Review_Count]]&lt;=7, "Below Average",b.nike.views[[#This Row],[Review_Count]]&gt;=8, "Average +")</f>
        <v>Below Average</v>
      </c>
      <c r="I472">
        <f>SUMIF(a.nike.original.man[Product_ID],b.nike.views[[#This Row],[product_ID]], a.nike.original.man[Reviews])</f>
        <v>0</v>
      </c>
      <c r="J472" s="41">
        <f>_xlfn.XLOOKUP(b.nike.views[[#This Row],[product_ID]],a.nike.original.man[Product_ID], a.nike.original.man[Discount %], "Not Found")</f>
        <v>0</v>
      </c>
      <c r="K472" s="41"/>
      <c r="L472" t="s">
        <v>1470</v>
      </c>
    </row>
    <row r="473" spans="1:12" x14ac:dyDescent="0.2">
      <c r="A473" t="s">
        <v>15</v>
      </c>
      <c r="B473" t="str">
        <f>_xlfn.XLOOKUP(b.nike.views[[#This Row],[product_ID]], a.nike.original.man[Product_ID], a.nike.original.man[Product Name], "Not Found")</f>
        <v>Nike Air Force 1 Sage Low LX</v>
      </c>
      <c r="C473" s="5" t="str">
        <f>_xlfn.XLOOKUP(b.nike.views[[#This Row],[product_ID]], a.nike.original.man[Product_ID], a.nike.original.man[Rating_Group], "Not Found")</f>
        <v>0 - 2.9</v>
      </c>
      <c r="D473">
        <f>_xlfn.XLOOKUP(b.nike.views[[#This Row],[product_ID]], a.nike.original.man[Product_ID], a.nike.original.man[Rating], "Not Found")</f>
        <v>0</v>
      </c>
      <c r="E473" s="10">
        <f>ROUND(_xlfn.XLOOKUP(b.nike.views[[#This Row],[product_ID]], a.nike.original.man[Product_ID], a.nike.original.man[Sale Price], "Not Found"), 0)</f>
        <v>100</v>
      </c>
      <c r="F473" s="5" t="str" cm="1">
        <f t="array" ref="F473">_xlfn.IFS(b.nike.views[[#This Row],[Sales_Price]]&lt;=9, "under $10",b.nike.views[[#This Row],[Sales_Price]]&lt;=20, "$20 and under",b.nike.views[[#This Row],[Sales_Price]]&lt;=50, "$50 and under", b.nike.views[[#This Row],[Sales_Price]]&lt;=99, "under $100", b.nike.views[[#This Row],[Sales_Price]]&gt;=100, "$100 +")</f>
        <v>$100 +</v>
      </c>
      <c r="G473">
        <f>COUNTIF(a.nike.original.man[Product_ID], A473)</f>
        <v>1</v>
      </c>
      <c r="H473" t="str" cm="1">
        <f t="array" ref="H473">_xlfn.IFS(b.nike.views[[#This Row],[Review_Count]]&lt;=7, "Below Average",b.nike.views[[#This Row],[Review_Count]]&gt;=8, "Average +")</f>
        <v>Below Average</v>
      </c>
      <c r="I473">
        <f>SUMIF(a.nike.original.man[Product_ID],b.nike.views[[#This Row],[product_ID]], a.nike.original.man[Reviews])</f>
        <v>0</v>
      </c>
      <c r="J473" s="41">
        <f>_xlfn.XLOOKUP(b.nike.views[[#This Row],[product_ID]],a.nike.original.man[Product_ID], a.nike.original.man[Discount %], "Not Found")</f>
        <v>0</v>
      </c>
      <c r="K473" s="41"/>
      <c r="L473" t="s">
        <v>1470</v>
      </c>
    </row>
    <row r="474" spans="1:12" x14ac:dyDescent="0.2">
      <c r="A474" t="s">
        <v>27</v>
      </c>
      <c r="B474" t="str">
        <f>_xlfn.XLOOKUP(b.nike.views[[#This Row],[product_ID]], a.nike.original.man[Product_ID], a.nike.original.man[Product Name], "Not Found")</f>
        <v>NikeCourt Blanc</v>
      </c>
      <c r="C474" s="5" t="str">
        <f>_xlfn.XLOOKUP(b.nike.views[[#This Row],[product_ID]], a.nike.original.man[Product_ID], a.nike.original.man[Rating_Group], "Not Found")</f>
        <v>0 - 2.9</v>
      </c>
      <c r="D474">
        <f>_xlfn.XLOOKUP(b.nike.views[[#This Row],[product_ID]], a.nike.original.man[Product_ID], a.nike.original.man[Rating], "Not Found")</f>
        <v>0</v>
      </c>
      <c r="E474" s="10">
        <f>ROUND(_xlfn.XLOOKUP(b.nike.views[[#This Row],[product_ID]], a.nike.original.man[Product_ID], a.nike.original.man[Sale Price], "Not Found"), 0)</f>
        <v>60</v>
      </c>
      <c r="F474" s="5" t="str" cm="1">
        <f t="array" ref="F474">_xlfn.IFS(b.nike.views[[#This Row],[Sales_Price]]&lt;=9, "under $10",b.nike.views[[#This Row],[Sales_Price]]&lt;=20, "$20 and under",b.nike.views[[#This Row],[Sales_Price]]&lt;=50, "$50 and under", b.nike.views[[#This Row],[Sales_Price]]&lt;=99, "under $100", b.nike.views[[#This Row],[Sales_Price]]&gt;=100, "$100 +")</f>
        <v>under $100</v>
      </c>
      <c r="G474">
        <f>COUNTIF(a.nike.original.man[Product_ID], A474)</f>
        <v>1</v>
      </c>
      <c r="H474" t="str" cm="1">
        <f t="array" ref="H474">_xlfn.IFS(b.nike.views[[#This Row],[Review_Count]]&lt;=7, "Below Average",b.nike.views[[#This Row],[Review_Count]]&gt;=8, "Average +")</f>
        <v>Below Average</v>
      </c>
      <c r="I474">
        <f>SUMIF(a.nike.original.man[Product_ID],b.nike.views[[#This Row],[product_ID]], a.nike.original.man[Reviews])</f>
        <v>0</v>
      </c>
      <c r="J474" s="41">
        <f>_xlfn.XLOOKUP(b.nike.views[[#This Row],[product_ID]],a.nike.original.man[Product_ID], a.nike.original.man[Discount %], "Not Found")</f>
        <v>0</v>
      </c>
      <c r="K474" s="41"/>
      <c r="L474" t="s">
        <v>1470</v>
      </c>
    </row>
    <row r="475" spans="1:12" x14ac:dyDescent="0.2">
      <c r="A475" t="s">
        <v>139</v>
      </c>
      <c r="B475" t="str">
        <f>_xlfn.XLOOKUP(b.nike.views[[#This Row],[product_ID]], a.nike.original.man[Product_ID], a.nike.original.man[Product Name], "Not Found")</f>
        <v>Nike Joyride Dual Run Premium</v>
      </c>
      <c r="C475" s="5" t="str">
        <f>_xlfn.XLOOKUP(b.nike.views[[#This Row],[product_ID]], a.nike.original.man[Product_ID], a.nike.original.man[Rating_Group], "Not Found")</f>
        <v>0 - 2.9</v>
      </c>
      <c r="D475">
        <f>_xlfn.XLOOKUP(b.nike.views[[#This Row],[product_ID]], a.nike.original.man[Product_ID], a.nike.original.man[Rating], "Not Found")</f>
        <v>0</v>
      </c>
      <c r="E475" s="10">
        <f>ROUND(_xlfn.XLOOKUP(b.nike.views[[#This Row],[product_ID]], a.nike.original.man[Product_ID], a.nike.original.man[Sale Price], "Not Found"), 0)</f>
        <v>120</v>
      </c>
      <c r="F475" s="5" t="str" cm="1">
        <f t="array" ref="F475">_xlfn.IFS(b.nike.views[[#This Row],[Sales_Price]]&lt;=9, "under $10",b.nike.views[[#This Row],[Sales_Price]]&lt;=20, "$20 and under",b.nike.views[[#This Row],[Sales_Price]]&lt;=50, "$50 and under", b.nike.views[[#This Row],[Sales_Price]]&lt;=99, "under $100", b.nike.views[[#This Row],[Sales_Price]]&gt;=100, "$100 +")</f>
        <v>$100 +</v>
      </c>
      <c r="G475">
        <f>COUNTIF(a.nike.original.man[Product_ID], A475)</f>
        <v>1</v>
      </c>
      <c r="H475" t="str" cm="1">
        <f t="array" ref="H475">_xlfn.IFS(b.nike.views[[#This Row],[Review_Count]]&lt;=7, "Below Average",b.nike.views[[#This Row],[Review_Count]]&gt;=8, "Average +")</f>
        <v>Below Average</v>
      </c>
      <c r="I475">
        <f>SUMIF(a.nike.original.man[Product_ID],b.nike.views[[#This Row],[product_ID]], a.nike.original.man[Reviews])</f>
        <v>0</v>
      </c>
      <c r="J475" s="41">
        <f>_xlfn.XLOOKUP(b.nike.views[[#This Row],[product_ID]],a.nike.original.man[Product_ID], a.nike.original.man[Discount %], "Not Found")</f>
        <v>0</v>
      </c>
      <c r="K475" s="41"/>
      <c r="L475" t="s">
        <v>1470</v>
      </c>
    </row>
    <row r="476" spans="1:12" x14ac:dyDescent="0.2">
      <c r="A476" t="s">
        <v>192</v>
      </c>
      <c r="B476" t="str">
        <f>_xlfn.XLOOKUP(b.nike.views[[#This Row],[product_ID]], a.nike.original.man[Product_ID], a.nike.original.man[Product Name], "Not Found")</f>
        <v>Nike Air Max 720 OBJ Slip</v>
      </c>
      <c r="C476" s="5" t="str">
        <f>_xlfn.XLOOKUP(b.nike.views[[#This Row],[product_ID]], a.nike.original.man[Product_ID], a.nike.original.man[Rating_Group], "Not Found")</f>
        <v>0 - 2.9</v>
      </c>
      <c r="D476">
        <f>_xlfn.XLOOKUP(b.nike.views[[#This Row],[product_ID]], a.nike.original.man[Product_ID], a.nike.original.man[Rating], "Not Found")</f>
        <v>0</v>
      </c>
      <c r="E476" s="10">
        <f>ROUND(_xlfn.XLOOKUP(b.nike.views[[#This Row],[product_ID]], a.nike.original.man[Product_ID], a.nike.original.man[Sale Price], "Not Found"), 0)</f>
        <v>170</v>
      </c>
      <c r="F476" s="5" t="str" cm="1">
        <f t="array" ref="F476">_xlfn.IFS(b.nike.views[[#This Row],[Sales_Price]]&lt;=9, "under $10",b.nike.views[[#This Row],[Sales_Price]]&lt;=20, "$20 and under",b.nike.views[[#This Row],[Sales_Price]]&lt;=50, "$50 and under", b.nike.views[[#This Row],[Sales_Price]]&lt;=99, "under $100", b.nike.views[[#This Row],[Sales_Price]]&gt;=100, "$100 +")</f>
        <v>$100 +</v>
      </c>
      <c r="G476">
        <f>COUNTIF(a.nike.original.man[Product_ID], A476)</f>
        <v>1</v>
      </c>
      <c r="H476" t="str" cm="1">
        <f t="array" ref="H476">_xlfn.IFS(b.nike.views[[#This Row],[Review_Count]]&lt;=7, "Below Average",b.nike.views[[#This Row],[Review_Count]]&gt;=8, "Average +")</f>
        <v>Below Average</v>
      </c>
      <c r="I476">
        <f>SUMIF(a.nike.original.man[Product_ID],b.nike.views[[#This Row],[product_ID]], a.nike.original.man[Reviews])</f>
        <v>0</v>
      </c>
      <c r="J476" s="41">
        <f>_xlfn.XLOOKUP(b.nike.views[[#This Row],[product_ID]],a.nike.original.man[Product_ID], a.nike.original.man[Discount %], "Not Found")</f>
        <v>0</v>
      </c>
      <c r="K476" s="41"/>
      <c r="L476" t="s">
        <v>1470</v>
      </c>
    </row>
    <row r="477" spans="1:12" x14ac:dyDescent="0.2">
      <c r="A477" t="s">
        <v>213</v>
      </c>
      <c r="B477" t="str">
        <f>_xlfn.XLOOKUP(b.nike.views[[#This Row],[product_ID]], a.nike.original.man[Product_ID], a.nike.original.man[Product Name], "Not Found")</f>
        <v>Nike Air Force 1 Type</v>
      </c>
      <c r="C477" s="5" t="str">
        <f>_xlfn.XLOOKUP(b.nike.views[[#This Row],[product_ID]], a.nike.original.man[Product_ID], a.nike.original.man[Rating_Group], "Not Found")</f>
        <v>0 - 2.9</v>
      </c>
      <c r="D477">
        <f>_xlfn.XLOOKUP(b.nike.views[[#This Row],[product_ID]], a.nike.original.man[Product_ID], a.nike.original.man[Rating], "Not Found")</f>
        <v>0</v>
      </c>
      <c r="E477" s="10">
        <f>ROUND(_xlfn.XLOOKUP(b.nike.views[[#This Row],[product_ID]], a.nike.original.man[Product_ID], a.nike.original.man[Sale Price], "Not Found"), 0)</f>
        <v>120</v>
      </c>
      <c r="F477" s="5" t="str" cm="1">
        <f t="array" ref="F477">_xlfn.IFS(b.nike.views[[#This Row],[Sales_Price]]&lt;=9, "under $10",b.nike.views[[#This Row],[Sales_Price]]&lt;=20, "$20 and under",b.nike.views[[#This Row],[Sales_Price]]&lt;=50, "$50 and under", b.nike.views[[#This Row],[Sales_Price]]&lt;=99, "under $100", b.nike.views[[#This Row],[Sales_Price]]&gt;=100, "$100 +")</f>
        <v>$100 +</v>
      </c>
      <c r="G477">
        <f>COUNTIF(a.nike.original.man[Product_ID], A477)</f>
        <v>1</v>
      </c>
      <c r="H477" t="str" cm="1">
        <f t="array" ref="H477">_xlfn.IFS(b.nike.views[[#This Row],[Review_Count]]&lt;=7, "Below Average",b.nike.views[[#This Row],[Review_Count]]&gt;=8, "Average +")</f>
        <v>Below Average</v>
      </c>
      <c r="I477">
        <f>SUMIF(a.nike.original.man[Product_ID],b.nike.views[[#This Row],[product_ID]], a.nike.original.man[Reviews])</f>
        <v>0</v>
      </c>
      <c r="J477" s="41">
        <f>_xlfn.XLOOKUP(b.nike.views[[#This Row],[product_ID]],a.nike.original.man[Product_ID], a.nike.original.man[Discount %], "Not Found")</f>
        <v>0</v>
      </c>
      <c r="K477" s="41"/>
      <c r="L477" t="s">
        <v>1470</v>
      </c>
    </row>
    <row r="478" spans="1:12" x14ac:dyDescent="0.2">
      <c r="A478" t="s">
        <v>224</v>
      </c>
      <c r="B478" t="str">
        <f>_xlfn.XLOOKUP(b.nike.views[[#This Row],[product_ID]], a.nike.original.man[Product_ID], a.nike.original.man[Product Name], "Not Found")</f>
        <v>Air Jordan 1 Low SE</v>
      </c>
      <c r="C478" s="5" t="str">
        <f>_xlfn.XLOOKUP(b.nike.views[[#This Row],[product_ID]], a.nike.original.man[Product_ID], a.nike.original.man[Rating_Group], "Not Found")</f>
        <v>0 - 2.9</v>
      </c>
      <c r="D478">
        <f>_xlfn.XLOOKUP(b.nike.views[[#This Row],[product_ID]], a.nike.original.man[Product_ID], a.nike.original.man[Rating], "Not Found")</f>
        <v>0</v>
      </c>
      <c r="E478" s="10">
        <f>ROUND(_xlfn.XLOOKUP(b.nike.views[[#This Row],[product_ID]], a.nike.original.man[Product_ID], a.nike.original.man[Sale Price], "Not Found"), 0)</f>
        <v>90</v>
      </c>
      <c r="F478" s="5" t="str" cm="1">
        <f t="array" ref="F478">_xlfn.IFS(b.nike.views[[#This Row],[Sales_Price]]&lt;=9, "under $10",b.nike.views[[#This Row],[Sales_Price]]&lt;=20, "$20 and under",b.nike.views[[#This Row],[Sales_Price]]&lt;=50, "$50 and under", b.nike.views[[#This Row],[Sales_Price]]&lt;=99, "under $100", b.nike.views[[#This Row],[Sales_Price]]&gt;=100, "$100 +")</f>
        <v>under $100</v>
      </c>
      <c r="G478">
        <f>COUNTIF(a.nike.original.man[Product_ID], A478)</f>
        <v>1</v>
      </c>
      <c r="H478" t="str" cm="1">
        <f t="array" ref="H478">_xlfn.IFS(b.nike.views[[#This Row],[Review_Count]]&lt;=7, "Below Average",b.nike.views[[#This Row],[Review_Count]]&gt;=8, "Average +")</f>
        <v>Below Average</v>
      </c>
      <c r="I478">
        <f>SUMIF(a.nike.original.man[Product_ID],b.nike.views[[#This Row],[product_ID]], a.nike.original.man[Reviews])</f>
        <v>0</v>
      </c>
      <c r="J478" s="41">
        <f>_xlfn.XLOOKUP(b.nike.views[[#This Row],[product_ID]],a.nike.original.man[Product_ID], a.nike.original.man[Discount %], "Not Found")</f>
        <v>0</v>
      </c>
      <c r="K478" s="41"/>
      <c r="L478" t="s">
        <v>1470</v>
      </c>
    </row>
    <row r="479" spans="1:12" x14ac:dyDescent="0.2">
      <c r="A479" t="s">
        <v>230</v>
      </c>
      <c r="B479" t="str">
        <f>_xlfn.XLOOKUP(b.nike.views[[#This Row],[product_ID]], a.nike.original.man[Product_ID], a.nike.original.man[Product Name], "Not Found")</f>
        <v>Nike Blazer Low</v>
      </c>
      <c r="C479" s="5" t="str">
        <f>_xlfn.XLOOKUP(b.nike.views[[#This Row],[product_ID]], a.nike.original.man[Product_ID], a.nike.original.man[Rating_Group], "Not Found")</f>
        <v>0 - 2.9</v>
      </c>
      <c r="D479">
        <f>_xlfn.XLOOKUP(b.nike.views[[#This Row],[product_ID]], a.nike.original.man[Product_ID], a.nike.original.man[Rating], "Not Found")</f>
        <v>0</v>
      </c>
      <c r="E479" s="10">
        <f>ROUND(_xlfn.XLOOKUP(b.nike.views[[#This Row],[product_ID]], a.nike.original.man[Product_ID], a.nike.original.man[Sale Price], "Not Found"), 0)</f>
        <v>70</v>
      </c>
      <c r="F479" s="5" t="str" cm="1">
        <f t="array" ref="F479">_xlfn.IFS(b.nike.views[[#This Row],[Sales_Price]]&lt;=9, "under $10",b.nike.views[[#This Row],[Sales_Price]]&lt;=20, "$20 and under",b.nike.views[[#This Row],[Sales_Price]]&lt;=50, "$50 and under", b.nike.views[[#This Row],[Sales_Price]]&lt;=99, "under $100", b.nike.views[[#This Row],[Sales_Price]]&gt;=100, "$100 +")</f>
        <v>under $100</v>
      </c>
      <c r="G479">
        <f>COUNTIF(a.nike.original.man[Product_ID], A479)</f>
        <v>1</v>
      </c>
      <c r="H479" t="str" cm="1">
        <f t="array" ref="H479">_xlfn.IFS(b.nike.views[[#This Row],[Review_Count]]&lt;=7, "Below Average",b.nike.views[[#This Row],[Review_Count]]&gt;=8, "Average +")</f>
        <v>Below Average</v>
      </c>
      <c r="I479">
        <f>SUMIF(a.nike.original.man[Product_ID],b.nike.views[[#This Row],[product_ID]], a.nike.original.man[Reviews])</f>
        <v>0</v>
      </c>
      <c r="J479" s="41">
        <f>_xlfn.XLOOKUP(b.nike.views[[#This Row],[product_ID]],a.nike.original.man[Product_ID], a.nike.original.man[Discount %], "Not Found")</f>
        <v>0</v>
      </c>
      <c r="K479" s="41"/>
      <c r="L479" t="s">
        <v>1470</v>
      </c>
    </row>
    <row r="480" spans="1:12" x14ac:dyDescent="0.2">
      <c r="A480" t="s">
        <v>233</v>
      </c>
      <c r="B480" t="str">
        <f>_xlfn.XLOOKUP(b.nike.views[[#This Row],[product_ID]], a.nike.original.man[Product_ID], a.nike.original.man[Product Name], "Not Found")</f>
        <v>Zoom LeBron 3 QS</v>
      </c>
      <c r="C480" s="5" t="str">
        <f>_xlfn.XLOOKUP(b.nike.views[[#This Row],[product_ID]], a.nike.original.man[Product_ID], a.nike.original.man[Rating_Group], "Not Found")</f>
        <v>0 - 2.9</v>
      </c>
      <c r="D480">
        <f>_xlfn.XLOOKUP(b.nike.views[[#This Row],[product_ID]], a.nike.original.man[Product_ID], a.nike.original.man[Rating], "Not Found")</f>
        <v>0</v>
      </c>
      <c r="E480" s="10">
        <f>ROUND(_xlfn.XLOOKUP(b.nike.views[[#This Row],[product_ID]], a.nike.original.man[Product_ID], a.nike.original.man[Sale Price], "Not Found"), 0)</f>
        <v>150</v>
      </c>
      <c r="F480" s="5" t="str" cm="1">
        <f t="array" ref="F480">_xlfn.IFS(b.nike.views[[#This Row],[Sales_Price]]&lt;=9, "under $10",b.nike.views[[#This Row],[Sales_Price]]&lt;=20, "$20 and under",b.nike.views[[#This Row],[Sales_Price]]&lt;=50, "$50 and under", b.nike.views[[#This Row],[Sales_Price]]&lt;=99, "under $100", b.nike.views[[#This Row],[Sales_Price]]&gt;=100, "$100 +")</f>
        <v>$100 +</v>
      </c>
      <c r="G480">
        <f>COUNTIF(a.nike.original.man[Product_ID], A480)</f>
        <v>1</v>
      </c>
      <c r="H480" t="str" cm="1">
        <f t="array" ref="H480">_xlfn.IFS(b.nike.views[[#This Row],[Review_Count]]&lt;=7, "Below Average",b.nike.views[[#This Row],[Review_Count]]&gt;=8, "Average +")</f>
        <v>Below Average</v>
      </c>
      <c r="I480">
        <f>SUMIF(a.nike.original.man[Product_ID],b.nike.views[[#This Row],[product_ID]], a.nike.original.man[Reviews])</f>
        <v>0</v>
      </c>
      <c r="J480" s="41">
        <f>_xlfn.XLOOKUP(b.nike.views[[#This Row],[product_ID]],a.nike.original.man[Product_ID], a.nike.original.man[Discount %], "Not Found")</f>
        <v>0</v>
      </c>
      <c r="K480" s="41"/>
      <c r="L480" t="s">
        <v>1470</v>
      </c>
    </row>
    <row r="481" spans="1:12" x14ac:dyDescent="0.2">
      <c r="A481" t="s">
        <v>281</v>
      </c>
      <c r="B481" t="str">
        <f>_xlfn.XLOOKUP(b.nike.views[[#This Row],[product_ID]], a.nike.original.man[Product_ID], a.nike.original.man[Product Name], "Not Found")</f>
        <v>Nike Air Max 95 SP</v>
      </c>
      <c r="C481" s="5" t="str">
        <f>_xlfn.XLOOKUP(b.nike.views[[#This Row],[product_ID]], a.nike.original.man[Product_ID], a.nike.original.man[Rating_Group], "Not Found")</f>
        <v>0 - 2.9</v>
      </c>
      <c r="D481">
        <f>_xlfn.XLOOKUP(b.nike.views[[#This Row],[product_ID]], a.nike.original.man[Product_ID], a.nike.original.man[Rating], "Not Found")</f>
        <v>0</v>
      </c>
      <c r="E481" s="10">
        <f>ROUND(_xlfn.XLOOKUP(b.nike.views[[#This Row],[product_ID]], a.nike.original.man[Product_ID], a.nike.original.man[Sale Price], "Not Found"), 0)</f>
        <v>112</v>
      </c>
      <c r="F481" s="5" t="str" cm="1">
        <f t="array" ref="F481">_xlfn.IFS(b.nike.views[[#This Row],[Sales_Price]]&lt;=9, "under $10",b.nike.views[[#This Row],[Sales_Price]]&lt;=20, "$20 and under",b.nike.views[[#This Row],[Sales_Price]]&lt;=50, "$50 and under", b.nike.views[[#This Row],[Sales_Price]]&lt;=99, "under $100", b.nike.views[[#This Row],[Sales_Price]]&gt;=100, "$100 +")</f>
        <v>$100 +</v>
      </c>
      <c r="G481">
        <f>COUNTIF(a.nike.original.man[Product_ID], A481)</f>
        <v>1</v>
      </c>
      <c r="H481" t="str" cm="1">
        <f t="array" ref="H481">_xlfn.IFS(b.nike.views[[#This Row],[Review_Count]]&lt;=7, "Below Average",b.nike.views[[#This Row],[Review_Count]]&gt;=8, "Average +")</f>
        <v>Below Average</v>
      </c>
      <c r="I481">
        <f>SUMIF(a.nike.original.man[Product_ID],b.nike.views[[#This Row],[product_ID]], a.nike.original.man[Reviews])</f>
        <v>0</v>
      </c>
      <c r="J481" s="41">
        <f>_xlfn.XLOOKUP(b.nike.views[[#This Row],[product_ID]],a.nike.original.man[Product_ID], a.nike.original.man[Discount %], "Not Found")</f>
        <v>0.3</v>
      </c>
      <c r="K481" s="41"/>
      <c r="L481" t="s">
        <v>1470</v>
      </c>
    </row>
    <row r="482" spans="1:12" x14ac:dyDescent="0.2">
      <c r="A482" t="s">
        <v>367</v>
      </c>
      <c r="B482" t="str">
        <f>_xlfn.XLOOKUP(b.nike.views[[#This Row],[product_ID]], a.nike.original.man[Product_ID], a.nike.original.man[Product Name], "Not Found")</f>
        <v>Nike Air Max 200 SP</v>
      </c>
      <c r="C482" s="5" t="str">
        <f>_xlfn.XLOOKUP(b.nike.views[[#This Row],[product_ID]], a.nike.original.man[Product_ID], a.nike.original.man[Rating_Group], "Not Found")</f>
        <v>0 - 2.9</v>
      </c>
      <c r="D482">
        <f>_xlfn.XLOOKUP(b.nike.views[[#This Row],[product_ID]], a.nike.original.man[Product_ID], a.nike.original.man[Rating], "Not Found")</f>
        <v>0</v>
      </c>
      <c r="E482" s="10">
        <f>ROUND(_xlfn.XLOOKUP(b.nike.views[[#This Row],[product_ID]], a.nike.original.man[Product_ID], a.nike.original.man[Sale Price], "Not Found"), 0)</f>
        <v>84</v>
      </c>
      <c r="F482" s="5" t="str" cm="1">
        <f t="array" ref="F482">_xlfn.IFS(b.nike.views[[#This Row],[Sales_Price]]&lt;=9, "under $10",b.nike.views[[#This Row],[Sales_Price]]&lt;=20, "$20 and under",b.nike.views[[#This Row],[Sales_Price]]&lt;=50, "$50 and under", b.nike.views[[#This Row],[Sales_Price]]&lt;=99, "under $100", b.nike.views[[#This Row],[Sales_Price]]&gt;=100, "$100 +")</f>
        <v>under $100</v>
      </c>
      <c r="G482">
        <f>COUNTIF(a.nike.original.man[Product_ID], A482)</f>
        <v>1</v>
      </c>
      <c r="H482" t="str" cm="1">
        <f t="array" ref="H482">_xlfn.IFS(b.nike.views[[#This Row],[Review_Count]]&lt;=7, "Below Average",b.nike.views[[#This Row],[Review_Count]]&gt;=8, "Average +")</f>
        <v>Below Average</v>
      </c>
      <c r="I482">
        <f>SUMIF(a.nike.original.man[Product_ID],b.nike.views[[#This Row],[product_ID]], a.nike.original.man[Reviews])</f>
        <v>0</v>
      </c>
      <c r="J482" s="41">
        <f>_xlfn.XLOOKUP(b.nike.views[[#This Row],[product_ID]],a.nike.original.man[Product_ID], a.nike.original.man[Discount %], "Not Found")</f>
        <v>0.3</v>
      </c>
      <c r="K482" s="41"/>
      <c r="L482" t="s">
        <v>1470</v>
      </c>
    </row>
    <row r="483" spans="1:12" x14ac:dyDescent="0.2">
      <c r="A483" t="s">
        <v>408</v>
      </c>
      <c r="B483" t="str">
        <f>_xlfn.XLOOKUP(b.nike.views[[#This Row],[product_ID]], a.nike.original.man[Product_ID], a.nike.original.man[Product Name], "Not Found")</f>
        <v>Kyrie 6 AS EP</v>
      </c>
      <c r="C483" s="5" t="str">
        <f>_xlfn.XLOOKUP(b.nike.views[[#This Row],[product_ID]], a.nike.original.man[Product_ID], a.nike.original.man[Rating_Group], "Not Found")</f>
        <v>0 - 2.9</v>
      </c>
      <c r="D483">
        <f>_xlfn.XLOOKUP(b.nike.views[[#This Row],[product_ID]], a.nike.original.man[Product_ID], a.nike.original.man[Rating], "Not Found")</f>
        <v>0</v>
      </c>
      <c r="E483" s="10">
        <f>ROUND(_xlfn.XLOOKUP(b.nike.views[[#This Row],[product_ID]], a.nike.original.man[Product_ID], a.nike.original.man[Sale Price], "Not Found"), 0)</f>
        <v>110</v>
      </c>
      <c r="F483" s="5" t="str" cm="1">
        <f t="array" ref="F483">_xlfn.IFS(b.nike.views[[#This Row],[Sales_Price]]&lt;=9, "under $10",b.nike.views[[#This Row],[Sales_Price]]&lt;=20, "$20 and under",b.nike.views[[#This Row],[Sales_Price]]&lt;=50, "$50 and under", b.nike.views[[#This Row],[Sales_Price]]&lt;=99, "under $100", b.nike.views[[#This Row],[Sales_Price]]&gt;=100, "$100 +")</f>
        <v>$100 +</v>
      </c>
      <c r="G483">
        <f>COUNTIF(a.nike.original.man[Product_ID], A483)</f>
        <v>1</v>
      </c>
      <c r="H483" t="str" cm="1">
        <f t="array" ref="H483">_xlfn.IFS(b.nike.views[[#This Row],[Review_Count]]&lt;=7, "Below Average",b.nike.views[[#This Row],[Review_Count]]&gt;=8, "Average +")</f>
        <v>Below Average</v>
      </c>
      <c r="I483">
        <f>SUMIF(a.nike.original.man[Product_ID],b.nike.views[[#This Row],[product_ID]], a.nike.original.man[Reviews])</f>
        <v>0</v>
      </c>
      <c r="J483" s="41">
        <f>_xlfn.XLOOKUP(b.nike.views[[#This Row],[product_ID]],a.nike.original.man[Product_ID], a.nike.original.man[Discount %], "Not Found")</f>
        <v>0</v>
      </c>
      <c r="K483" s="41"/>
      <c r="L483" t="s">
        <v>1470</v>
      </c>
    </row>
    <row r="484" spans="1:12" x14ac:dyDescent="0.2">
      <c r="A484" t="s">
        <v>450</v>
      </c>
      <c r="B484" t="str">
        <f>_xlfn.XLOOKUP(b.nike.views[[#This Row],[product_ID]], a.nike.original.man[Product_ID], a.nike.original.man[Product Name], "Not Found")</f>
        <v>Nike Legend React 2</v>
      </c>
      <c r="C484" s="5" t="str">
        <f>_xlfn.XLOOKUP(b.nike.views[[#This Row],[product_ID]], a.nike.original.man[Product_ID], a.nike.original.man[Rating_Group], "Not Found")</f>
        <v>0 - 2.9</v>
      </c>
      <c r="D484">
        <f>_xlfn.XLOOKUP(b.nike.views[[#This Row],[product_ID]], a.nike.original.man[Product_ID], a.nike.original.man[Rating], "Not Found")</f>
        <v>0</v>
      </c>
      <c r="E484" s="10">
        <f>ROUND(_xlfn.XLOOKUP(b.nike.views[[#This Row],[product_ID]], a.nike.original.man[Product_ID], a.nike.original.man[Sale Price], "Not Found"), 0)</f>
        <v>80</v>
      </c>
      <c r="F484" s="5" t="str" cm="1">
        <f t="array" ref="F484">_xlfn.IFS(b.nike.views[[#This Row],[Sales_Price]]&lt;=9, "under $10",b.nike.views[[#This Row],[Sales_Price]]&lt;=20, "$20 and under",b.nike.views[[#This Row],[Sales_Price]]&lt;=50, "$50 and under", b.nike.views[[#This Row],[Sales_Price]]&lt;=99, "under $100", b.nike.views[[#This Row],[Sales_Price]]&gt;=100, "$100 +")</f>
        <v>under $100</v>
      </c>
      <c r="G484">
        <f>COUNTIF(a.nike.original.man[Product_ID], A484)</f>
        <v>1</v>
      </c>
      <c r="H484" t="str" cm="1">
        <f t="array" ref="H484">_xlfn.IFS(b.nike.views[[#This Row],[Review_Count]]&lt;=7, "Below Average",b.nike.views[[#This Row],[Review_Count]]&gt;=8, "Average +")</f>
        <v>Below Average</v>
      </c>
      <c r="I484">
        <f>SUMIF(a.nike.original.man[Product_ID],b.nike.views[[#This Row],[product_ID]], a.nike.original.man[Reviews])</f>
        <v>0</v>
      </c>
      <c r="J484" s="41">
        <f>_xlfn.XLOOKUP(b.nike.views[[#This Row],[product_ID]],a.nike.original.man[Product_ID], a.nike.original.man[Discount %], "Not Found")</f>
        <v>0</v>
      </c>
      <c r="K484" s="41"/>
      <c r="L484" t="s">
        <v>1470</v>
      </c>
    </row>
    <row r="485" spans="1:12" x14ac:dyDescent="0.2">
      <c r="A485" t="s">
        <v>486</v>
      </c>
      <c r="B485" t="str">
        <f>_xlfn.XLOOKUP(b.nike.views[[#This Row],[product_ID]], a.nike.original.man[Product_ID], a.nike.original.man[Product Name], "Not Found")</f>
        <v>Nike Air Max 90 Print</v>
      </c>
      <c r="C485" s="5" t="str">
        <f>_xlfn.XLOOKUP(b.nike.views[[#This Row],[product_ID]], a.nike.original.man[Product_ID], a.nike.original.man[Rating_Group], "Not Found")</f>
        <v>0 - 2.9</v>
      </c>
      <c r="D485">
        <f>_xlfn.XLOOKUP(b.nike.views[[#This Row],[product_ID]], a.nike.original.man[Product_ID], a.nike.original.man[Rating], "Not Found")</f>
        <v>0</v>
      </c>
      <c r="E485" s="10">
        <f>ROUND(_xlfn.XLOOKUP(b.nike.views[[#This Row],[product_ID]], a.nike.original.man[Product_ID], a.nike.original.man[Sale Price], "Not Found"), 0)</f>
        <v>130</v>
      </c>
      <c r="F485" s="5" t="str" cm="1">
        <f t="array" ref="F485">_xlfn.IFS(b.nike.views[[#This Row],[Sales_Price]]&lt;=9, "under $10",b.nike.views[[#This Row],[Sales_Price]]&lt;=20, "$20 and under",b.nike.views[[#This Row],[Sales_Price]]&lt;=50, "$50 and under", b.nike.views[[#This Row],[Sales_Price]]&lt;=99, "under $100", b.nike.views[[#This Row],[Sales_Price]]&gt;=100, "$100 +")</f>
        <v>$100 +</v>
      </c>
      <c r="G485">
        <f>COUNTIF(a.nike.original.man[Product_ID], A485)</f>
        <v>1</v>
      </c>
      <c r="H485" t="str" cm="1">
        <f t="array" ref="H485">_xlfn.IFS(b.nike.views[[#This Row],[Review_Count]]&lt;=7, "Below Average",b.nike.views[[#This Row],[Review_Count]]&gt;=8, "Average +")</f>
        <v>Below Average</v>
      </c>
      <c r="I485">
        <f>SUMIF(a.nike.original.man[Product_ID],b.nike.views[[#This Row],[product_ID]], a.nike.original.man[Reviews])</f>
        <v>0</v>
      </c>
      <c r="J485" s="41">
        <f>_xlfn.XLOOKUP(b.nike.views[[#This Row],[product_ID]],a.nike.original.man[Product_ID], a.nike.original.man[Discount %], "Not Found")</f>
        <v>0</v>
      </c>
      <c r="K485" s="41"/>
      <c r="L485" t="s">
        <v>1470</v>
      </c>
    </row>
    <row r="486" spans="1:12" x14ac:dyDescent="0.2">
      <c r="A486" t="s">
        <v>536</v>
      </c>
      <c r="B486" t="str">
        <f>_xlfn.XLOOKUP(b.nike.views[[#This Row],[product_ID]], a.nike.original.man[Product_ID], a.nike.original.man[Product Name], "Not Found")</f>
        <v>Nike P-6000</v>
      </c>
      <c r="C486" s="5" t="str">
        <f>_xlfn.XLOOKUP(b.nike.views[[#This Row],[product_ID]], a.nike.original.man[Product_ID], a.nike.original.man[Rating_Group], "Not Found")</f>
        <v>0 - 2.9</v>
      </c>
      <c r="D486">
        <f>_xlfn.XLOOKUP(b.nike.views[[#This Row],[product_ID]], a.nike.original.man[Product_ID], a.nike.original.man[Rating], "Not Found")</f>
        <v>0</v>
      </c>
      <c r="E486" s="10">
        <f>ROUND(_xlfn.XLOOKUP(b.nike.views[[#This Row],[product_ID]], a.nike.original.man[Product_ID], a.nike.original.man[Sale Price], "Not Found"), 0)</f>
        <v>48</v>
      </c>
      <c r="F486" s="5" t="str" cm="1">
        <f t="array" ref="F486">_xlfn.IFS(b.nike.views[[#This Row],[Sales_Price]]&lt;=9, "under $10",b.nike.views[[#This Row],[Sales_Price]]&lt;=20, "$20 and under",b.nike.views[[#This Row],[Sales_Price]]&lt;=50, "$50 and under", b.nike.views[[#This Row],[Sales_Price]]&lt;=99, "under $100", b.nike.views[[#This Row],[Sales_Price]]&gt;=100, "$100 +")</f>
        <v>$50 and under</v>
      </c>
      <c r="G486">
        <f>COUNTIF(a.nike.original.man[Product_ID], A486)</f>
        <v>1</v>
      </c>
      <c r="H486" t="str" cm="1">
        <f t="array" ref="H486">_xlfn.IFS(b.nike.views[[#This Row],[Review_Count]]&lt;=7, "Below Average",b.nike.views[[#This Row],[Review_Count]]&gt;=8, "Average +")</f>
        <v>Below Average</v>
      </c>
      <c r="I486">
        <f>SUMIF(a.nike.original.man[Product_ID],b.nike.views[[#This Row],[product_ID]], a.nike.original.man[Reviews])</f>
        <v>0</v>
      </c>
      <c r="J486" s="41">
        <f>_xlfn.XLOOKUP(b.nike.views[[#This Row],[product_ID]],a.nike.original.man[Product_ID], a.nike.original.man[Discount %], "Not Found")</f>
        <v>0.4</v>
      </c>
      <c r="K486" s="41"/>
      <c r="L486" t="s">
        <v>1470</v>
      </c>
    </row>
    <row r="487" spans="1:12" x14ac:dyDescent="0.2">
      <c r="A487" t="s">
        <v>559</v>
      </c>
      <c r="B487" t="str">
        <f>_xlfn.XLOOKUP(b.nike.views[[#This Row],[product_ID]], a.nike.original.man[Product_ID], a.nike.original.man[Product Name], "Not Found")</f>
        <v>Nike Air Max 95 Essential</v>
      </c>
      <c r="C487" s="5" t="str">
        <f>_xlfn.XLOOKUP(b.nike.views[[#This Row],[product_ID]], a.nike.original.man[Product_ID], a.nike.original.man[Rating_Group], "Not Found")</f>
        <v>0 - 2.9</v>
      </c>
      <c r="D487">
        <f>_xlfn.XLOOKUP(b.nike.views[[#This Row],[product_ID]], a.nike.original.man[Product_ID], a.nike.original.man[Rating], "Not Found")</f>
        <v>0</v>
      </c>
      <c r="E487" s="10">
        <f>ROUND(_xlfn.XLOOKUP(b.nike.views[[#This Row],[product_ID]], a.nike.original.man[Product_ID], a.nike.original.man[Sale Price], "Not Found"), 0)</f>
        <v>112</v>
      </c>
      <c r="F487" s="5" t="str" cm="1">
        <f t="array" ref="F487">_xlfn.IFS(b.nike.views[[#This Row],[Sales_Price]]&lt;=9, "under $10",b.nike.views[[#This Row],[Sales_Price]]&lt;=20, "$20 and under",b.nike.views[[#This Row],[Sales_Price]]&lt;=50, "$50 and under", b.nike.views[[#This Row],[Sales_Price]]&lt;=99, "under $100", b.nike.views[[#This Row],[Sales_Price]]&gt;=100, "$100 +")</f>
        <v>$100 +</v>
      </c>
      <c r="G487">
        <f>COUNTIF(a.nike.original.man[Product_ID], A487)</f>
        <v>1</v>
      </c>
      <c r="H487" t="str" cm="1">
        <f t="array" ref="H487">_xlfn.IFS(b.nike.views[[#This Row],[Review_Count]]&lt;=7, "Below Average",b.nike.views[[#This Row],[Review_Count]]&gt;=8, "Average +")</f>
        <v>Below Average</v>
      </c>
      <c r="I487">
        <f>SUMIF(a.nike.original.man[Product_ID],b.nike.views[[#This Row],[product_ID]], a.nike.original.man[Reviews])</f>
        <v>0</v>
      </c>
      <c r="J487" s="41">
        <f>_xlfn.XLOOKUP(b.nike.views[[#This Row],[product_ID]],a.nike.original.man[Product_ID], a.nike.original.man[Discount %], "Not Found")</f>
        <v>0.2</v>
      </c>
      <c r="K487" s="41"/>
      <c r="L487" t="s">
        <v>1470</v>
      </c>
    </row>
    <row r="488" spans="1:12" x14ac:dyDescent="0.2">
      <c r="A488" t="s">
        <v>603</v>
      </c>
      <c r="B488" t="str">
        <f>_xlfn.XLOOKUP(b.nike.views[[#This Row],[product_ID]], a.nike.original.man[Product_ID], a.nike.original.man[Product Name], "Not Found")</f>
        <v>Nike Air Max 90/1</v>
      </c>
      <c r="C488" s="5" t="str">
        <f>_xlfn.XLOOKUP(b.nike.views[[#This Row],[product_ID]], a.nike.original.man[Product_ID], a.nike.original.man[Rating_Group], "Not Found")</f>
        <v>0 - 2.9</v>
      </c>
      <c r="D488">
        <f>_xlfn.XLOOKUP(b.nike.views[[#This Row],[product_ID]], a.nike.original.man[Product_ID], a.nike.original.man[Rating], "Not Found")</f>
        <v>0</v>
      </c>
      <c r="E488" s="10">
        <f>ROUND(_xlfn.XLOOKUP(b.nike.views[[#This Row],[product_ID]], a.nike.original.man[Product_ID], a.nike.original.man[Sale Price], "Not Found"), 0)</f>
        <v>150</v>
      </c>
      <c r="F488" s="5" t="str" cm="1">
        <f t="array" ref="F488">_xlfn.IFS(b.nike.views[[#This Row],[Sales_Price]]&lt;=9, "under $10",b.nike.views[[#This Row],[Sales_Price]]&lt;=20, "$20 and under",b.nike.views[[#This Row],[Sales_Price]]&lt;=50, "$50 and under", b.nike.views[[#This Row],[Sales_Price]]&lt;=99, "under $100", b.nike.views[[#This Row],[Sales_Price]]&gt;=100, "$100 +")</f>
        <v>$100 +</v>
      </c>
      <c r="G488">
        <f>COUNTIF(a.nike.original.man[Product_ID], A488)</f>
        <v>1</v>
      </c>
      <c r="H488" t="str" cm="1">
        <f t="array" ref="H488">_xlfn.IFS(b.nike.views[[#This Row],[Review_Count]]&lt;=7, "Below Average",b.nike.views[[#This Row],[Review_Count]]&gt;=8, "Average +")</f>
        <v>Below Average</v>
      </c>
      <c r="I488">
        <f>SUMIF(a.nike.original.man[Product_ID],b.nike.views[[#This Row],[product_ID]], a.nike.original.man[Reviews])</f>
        <v>0</v>
      </c>
      <c r="J488" s="41">
        <f>_xlfn.XLOOKUP(b.nike.views[[#This Row],[product_ID]],a.nike.original.man[Product_ID], a.nike.original.man[Discount %], "Not Found")</f>
        <v>0</v>
      </c>
      <c r="K488" s="41"/>
      <c r="L488" t="s">
        <v>1470</v>
      </c>
    </row>
    <row r="489" spans="1:12" x14ac:dyDescent="0.2">
      <c r="A489" t="s">
        <v>615</v>
      </c>
      <c r="B489" t="str">
        <f>_xlfn.XLOOKUP(b.nike.views[[#This Row],[product_ID]], a.nike.original.man[Product_ID], a.nike.original.man[Product Name], "Not Found")</f>
        <v>Nike Air Max 1 Premium</v>
      </c>
      <c r="C489" s="5" t="str">
        <f>_xlfn.XLOOKUP(b.nike.views[[#This Row],[product_ID]], a.nike.original.man[Product_ID], a.nike.original.man[Rating_Group], "Not Found")</f>
        <v>0 - 2.9</v>
      </c>
      <c r="D489">
        <f>_xlfn.XLOOKUP(b.nike.views[[#This Row],[product_ID]], a.nike.original.man[Product_ID], a.nike.original.man[Rating], "Not Found")</f>
        <v>0</v>
      </c>
      <c r="E489" s="10">
        <f>ROUND(_xlfn.XLOOKUP(b.nike.views[[#This Row],[product_ID]], a.nike.original.man[Product_ID], a.nike.original.man[Sale Price], "Not Found"), 0)</f>
        <v>120</v>
      </c>
      <c r="F489" s="5" t="str" cm="1">
        <f t="array" ref="F489">_xlfn.IFS(b.nike.views[[#This Row],[Sales_Price]]&lt;=9, "under $10",b.nike.views[[#This Row],[Sales_Price]]&lt;=20, "$20 and under",b.nike.views[[#This Row],[Sales_Price]]&lt;=50, "$50 and under", b.nike.views[[#This Row],[Sales_Price]]&lt;=99, "under $100", b.nike.views[[#This Row],[Sales_Price]]&gt;=100, "$100 +")</f>
        <v>$100 +</v>
      </c>
      <c r="G489">
        <f>COUNTIF(a.nike.original.man[Product_ID], A489)</f>
        <v>1</v>
      </c>
      <c r="H489" t="str" cm="1">
        <f t="array" ref="H489">_xlfn.IFS(b.nike.views[[#This Row],[Review_Count]]&lt;=7, "Below Average",b.nike.views[[#This Row],[Review_Count]]&gt;=8, "Average +")</f>
        <v>Below Average</v>
      </c>
      <c r="I489">
        <f>SUMIF(a.nike.original.man[Product_ID],b.nike.views[[#This Row],[product_ID]], a.nike.original.man[Reviews])</f>
        <v>0</v>
      </c>
      <c r="J489" s="41">
        <f>_xlfn.XLOOKUP(b.nike.views[[#This Row],[product_ID]],a.nike.original.man[Product_ID], a.nike.original.man[Discount %], "Not Found")</f>
        <v>0</v>
      </c>
      <c r="K489" s="41"/>
      <c r="L489" t="s">
        <v>1470</v>
      </c>
    </row>
    <row r="490" spans="1:12" x14ac:dyDescent="0.2">
      <c r="A490" t="s">
        <v>647</v>
      </c>
      <c r="B490" t="str">
        <f>_xlfn.XLOOKUP(b.nike.views[[#This Row],[product_ID]], a.nike.original.man[Product_ID], a.nike.original.man[Product Name], "Not Found")</f>
        <v>Nike AF-1 Shadow SE</v>
      </c>
      <c r="C490" s="5" t="str">
        <f>_xlfn.XLOOKUP(b.nike.views[[#This Row],[product_ID]], a.nike.original.man[Product_ID], a.nike.original.man[Rating_Group], "Not Found")</f>
        <v>0 - 2.9</v>
      </c>
      <c r="D490">
        <f>_xlfn.XLOOKUP(b.nike.views[[#This Row],[product_ID]], a.nike.original.man[Product_ID], a.nike.original.man[Rating], "Not Found")</f>
        <v>0</v>
      </c>
      <c r="E490" s="10">
        <f>ROUND(_xlfn.XLOOKUP(b.nike.views[[#This Row],[product_ID]], a.nike.original.man[Product_ID], a.nike.original.man[Sale Price], "Not Found"), 0)</f>
        <v>100</v>
      </c>
      <c r="F490" s="5" t="str" cm="1">
        <f t="array" ref="F490">_xlfn.IFS(b.nike.views[[#This Row],[Sales_Price]]&lt;=9, "under $10",b.nike.views[[#This Row],[Sales_Price]]&lt;=20, "$20 and under",b.nike.views[[#This Row],[Sales_Price]]&lt;=50, "$50 and under", b.nike.views[[#This Row],[Sales_Price]]&lt;=99, "under $100", b.nike.views[[#This Row],[Sales_Price]]&gt;=100, "$100 +")</f>
        <v>$100 +</v>
      </c>
      <c r="G490">
        <f>COUNTIF(a.nike.original.man[Product_ID], A490)</f>
        <v>1</v>
      </c>
      <c r="H490" t="str" cm="1">
        <f t="array" ref="H490">_xlfn.IFS(b.nike.views[[#This Row],[Review_Count]]&lt;=7, "Below Average",b.nike.views[[#This Row],[Review_Count]]&gt;=8, "Average +")</f>
        <v>Below Average</v>
      </c>
      <c r="I490">
        <f>SUMIF(a.nike.original.man[Product_ID],b.nike.views[[#This Row],[product_ID]], a.nike.original.man[Reviews])</f>
        <v>0</v>
      </c>
      <c r="J490" s="41">
        <f>_xlfn.XLOOKUP(b.nike.views[[#This Row],[product_ID]],a.nike.original.man[Product_ID], a.nike.original.man[Discount %], "Not Found")</f>
        <v>0</v>
      </c>
      <c r="K490" s="41"/>
      <c r="L490" t="s">
        <v>1470</v>
      </c>
    </row>
    <row r="491" spans="1:12" x14ac:dyDescent="0.2">
      <c r="A491" t="s">
        <v>653</v>
      </c>
      <c r="B491" t="str">
        <f>_xlfn.XLOOKUP(b.nike.views[[#This Row],[product_ID]], a.nike.original.man[Product_ID], a.nike.original.man[Product Name], "Not Found")</f>
        <v>Nike Bella Kai</v>
      </c>
      <c r="C491" s="5" t="str">
        <f>_xlfn.XLOOKUP(b.nike.views[[#This Row],[product_ID]], a.nike.original.man[Product_ID], a.nike.original.man[Rating_Group], "Not Found")</f>
        <v>0 - 2.9</v>
      </c>
      <c r="D491">
        <f>_xlfn.XLOOKUP(b.nike.views[[#This Row],[product_ID]], a.nike.original.man[Product_ID], a.nike.original.man[Rating], "Not Found")</f>
        <v>0</v>
      </c>
      <c r="E491" s="10">
        <f>ROUND(_xlfn.XLOOKUP(b.nike.views[[#This Row],[product_ID]], a.nike.original.man[Product_ID], a.nike.original.man[Sale Price], "Not Found"), 0)</f>
        <v>20</v>
      </c>
      <c r="F491" s="5" t="str" cm="1">
        <f t="array" ref="F491">_xlfn.IFS(b.nike.views[[#This Row],[Sales_Price]]&lt;=9, "under $10",b.nike.views[[#This Row],[Sales_Price]]&lt;=20, "$20 and under",b.nike.views[[#This Row],[Sales_Price]]&lt;=50, "$50 and under", b.nike.views[[#This Row],[Sales_Price]]&lt;=99, "under $100", b.nike.views[[#This Row],[Sales_Price]]&gt;=100, "$100 +")</f>
        <v>$20 and under</v>
      </c>
      <c r="G491">
        <f>COUNTIF(a.nike.original.man[Product_ID], A491)</f>
        <v>1</v>
      </c>
      <c r="H491" t="str" cm="1">
        <f t="array" ref="H491">_xlfn.IFS(b.nike.views[[#This Row],[Review_Count]]&lt;=7, "Below Average",b.nike.views[[#This Row],[Review_Count]]&gt;=8, "Average +")</f>
        <v>Below Average</v>
      </c>
      <c r="I491">
        <f>SUMIF(a.nike.original.man[Product_ID],b.nike.views[[#This Row],[product_ID]], a.nike.original.man[Reviews])</f>
        <v>0</v>
      </c>
      <c r="J491" s="41">
        <f>_xlfn.XLOOKUP(b.nike.views[[#This Row],[product_ID]],a.nike.original.man[Product_ID], a.nike.original.man[Discount %], "Not Found")</f>
        <v>0</v>
      </c>
      <c r="K491" s="41"/>
      <c r="L491" t="s">
        <v>1470</v>
      </c>
    </row>
    <row r="492" spans="1:12" x14ac:dyDescent="0.2">
      <c r="A492" t="s">
        <v>665</v>
      </c>
      <c r="B492" t="str">
        <f>_xlfn.XLOOKUP(b.nike.views[[#This Row],[product_ID]], a.nike.original.man[Product_ID], a.nike.original.man[Product Name], "Not Found")</f>
        <v>LeBron Witness 4 EP</v>
      </c>
      <c r="C492" s="5" t="str">
        <f>_xlfn.XLOOKUP(b.nike.views[[#This Row],[product_ID]], a.nike.original.man[Product_ID], a.nike.original.man[Rating_Group], "Not Found")</f>
        <v>0 - 2.9</v>
      </c>
      <c r="D492">
        <f>_xlfn.XLOOKUP(b.nike.views[[#This Row],[product_ID]], a.nike.original.man[Product_ID], a.nike.original.man[Rating], "Not Found")</f>
        <v>0</v>
      </c>
      <c r="E492" s="10">
        <f>ROUND(_xlfn.XLOOKUP(b.nike.views[[#This Row],[product_ID]], a.nike.original.man[Product_ID], a.nike.original.man[Sale Price], "Not Found"), 0)</f>
        <v>80</v>
      </c>
      <c r="F492" s="5" t="str" cm="1">
        <f t="array" ref="F492">_xlfn.IFS(b.nike.views[[#This Row],[Sales_Price]]&lt;=9, "under $10",b.nike.views[[#This Row],[Sales_Price]]&lt;=20, "$20 and under",b.nike.views[[#This Row],[Sales_Price]]&lt;=50, "$50 and under", b.nike.views[[#This Row],[Sales_Price]]&lt;=99, "under $100", b.nike.views[[#This Row],[Sales_Price]]&gt;=100, "$100 +")</f>
        <v>under $100</v>
      </c>
      <c r="G492">
        <f>COUNTIF(a.nike.original.man[Product_ID], A492)</f>
        <v>1</v>
      </c>
      <c r="H492" t="str" cm="1">
        <f t="array" ref="H492">_xlfn.IFS(b.nike.views[[#This Row],[Review_Count]]&lt;=7, "Below Average",b.nike.views[[#This Row],[Review_Count]]&gt;=8, "Average +")</f>
        <v>Below Average</v>
      </c>
      <c r="I492">
        <f>SUMIF(a.nike.original.man[Product_ID],b.nike.views[[#This Row],[product_ID]], a.nike.original.man[Reviews])</f>
        <v>0</v>
      </c>
      <c r="J492" s="41">
        <f>_xlfn.XLOOKUP(b.nike.views[[#This Row],[product_ID]],a.nike.original.man[Product_ID], a.nike.original.man[Discount %], "Not Found")</f>
        <v>0</v>
      </c>
      <c r="K492" s="41"/>
      <c r="L492" t="s">
        <v>1470</v>
      </c>
    </row>
    <row r="493" spans="1:12" x14ac:dyDescent="0.2">
      <c r="A493" t="s">
        <v>690</v>
      </c>
      <c r="B493" t="str">
        <f>_xlfn.XLOOKUP(b.nike.views[[#This Row],[product_ID]], a.nike.original.man[Product_ID], a.nike.original.man[Product Name], "Not Found")</f>
        <v>Nike Renew Run Special Edition</v>
      </c>
      <c r="C493" s="5" t="str">
        <f>_xlfn.XLOOKUP(b.nike.views[[#This Row],[product_ID]], a.nike.original.man[Product_ID], a.nike.original.man[Rating_Group], "Not Found")</f>
        <v>0 - 2.9</v>
      </c>
      <c r="D493">
        <f>_xlfn.XLOOKUP(b.nike.views[[#This Row],[product_ID]], a.nike.original.man[Product_ID], a.nike.original.man[Rating], "Not Found")</f>
        <v>0</v>
      </c>
      <c r="E493" s="10">
        <f>ROUND(_xlfn.XLOOKUP(b.nike.views[[#This Row],[product_ID]], a.nike.original.man[Product_ID], a.nike.original.man[Sale Price], "Not Found"), 0)</f>
        <v>80</v>
      </c>
      <c r="F493" s="5" t="str" cm="1">
        <f t="array" ref="F493">_xlfn.IFS(b.nike.views[[#This Row],[Sales_Price]]&lt;=9, "under $10",b.nike.views[[#This Row],[Sales_Price]]&lt;=20, "$20 and under",b.nike.views[[#This Row],[Sales_Price]]&lt;=50, "$50 and under", b.nike.views[[#This Row],[Sales_Price]]&lt;=99, "under $100", b.nike.views[[#This Row],[Sales_Price]]&gt;=100, "$100 +")</f>
        <v>under $100</v>
      </c>
      <c r="G493">
        <f>COUNTIF(a.nike.original.man[Product_ID], A493)</f>
        <v>1</v>
      </c>
      <c r="H493" t="str" cm="1">
        <f t="array" ref="H493">_xlfn.IFS(b.nike.views[[#This Row],[Review_Count]]&lt;=7, "Below Average",b.nike.views[[#This Row],[Review_Count]]&gt;=8, "Average +")</f>
        <v>Below Average</v>
      </c>
      <c r="I493">
        <f>SUMIF(a.nike.original.man[Product_ID],b.nike.views[[#This Row],[product_ID]], a.nike.original.man[Reviews])</f>
        <v>0</v>
      </c>
      <c r="J493" s="41">
        <f>_xlfn.XLOOKUP(b.nike.views[[#This Row],[product_ID]],a.nike.original.man[Product_ID], a.nike.original.man[Discount %], "Not Found")</f>
        <v>0</v>
      </c>
      <c r="K493" s="41"/>
      <c r="L493" t="s">
        <v>1470</v>
      </c>
    </row>
    <row r="494" spans="1:12" x14ac:dyDescent="0.2">
      <c r="A494" t="s">
        <v>749</v>
      </c>
      <c r="B494" t="str">
        <f>_xlfn.XLOOKUP(b.nike.views[[#This Row],[product_ID]], a.nike.original.man[Product_ID], a.nike.original.man[Product Name], "Not Found")</f>
        <v>Nike Zoom KD11 EP</v>
      </c>
      <c r="C494" s="5" t="str">
        <f>_xlfn.XLOOKUP(b.nike.views[[#This Row],[product_ID]], a.nike.original.man[Product_ID], a.nike.original.man[Rating_Group], "Not Found")</f>
        <v>0 - 2.9</v>
      </c>
      <c r="D494">
        <f>_xlfn.XLOOKUP(b.nike.views[[#This Row],[product_ID]], a.nike.original.man[Product_ID], a.nike.original.man[Rating], "Not Found")</f>
        <v>0</v>
      </c>
      <c r="E494" s="10">
        <f>ROUND(_xlfn.XLOOKUP(b.nike.views[[#This Row],[product_ID]], a.nike.original.man[Product_ID], a.nike.original.man[Sale Price], "Not Found"), 0)</f>
        <v>150</v>
      </c>
      <c r="F494" s="5" t="str" cm="1">
        <f t="array" ref="F494">_xlfn.IFS(b.nike.views[[#This Row],[Sales_Price]]&lt;=9, "under $10",b.nike.views[[#This Row],[Sales_Price]]&lt;=20, "$20 and under",b.nike.views[[#This Row],[Sales_Price]]&lt;=50, "$50 and under", b.nike.views[[#This Row],[Sales_Price]]&lt;=99, "under $100", b.nike.views[[#This Row],[Sales_Price]]&gt;=100, "$100 +")</f>
        <v>$100 +</v>
      </c>
      <c r="G494">
        <f>COUNTIF(a.nike.original.man[Product_ID], A494)</f>
        <v>1</v>
      </c>
      <c r="H494" t="str" cm="1">
        <f t="array" ref="H494">_xlfn.IFS(b.nike.views[[#This Row],[Review_Count]]&lt;=7, "Below Average",b.nike.views[[#This Row],[Review_Count]]&gt;=8, "Average +")</f>
        <v>Below Average</v>
      </c>
      <c r="I494">
        <f>SUMIF(a.nike.original.man[Product_ID],b.nike.views[[#This Row],[product_ID]], a.nike.original.man[Reviews])</f>
        <v>0</v>
      </c>
      <c r="J494" s="41">
        <f>_xlfn.XLOOKUP(b.nike.views[[#This Row],[product_ID]],a.nike.original.man[Product_ID], a.nike.original.man[Discount %], "Not Found")</f>
        <v>0</v>
      </c>
      <c r="K494" s="41"/>
      <c r="L494" t="s">
        <v>1470</v>
      </c>
    </row>
    <row r="495" spans="1:12" x14ac:dyDescent="0.2">
      <c r="A495" t="s">
        <v>823</v>
      </c>
      <c r="B495" t="str">
        <f>_xlfn.XLOOKUP(b.nike.views[[#This Row],[product_ID]], a.nike.original.man[Product_ID], a.nike.original.man[Product Name], "Not Found")</f>
        <v>Nike Air Max 1 Print</v>
      </c>
      <c r="C495" s="5" t="str">
        <f>_xlfn.XLOOKUP(b.nike.views[[#This Row],[product_ID]], a.nike.original.man[Product_ID], a.nike.original.man[Rating_Group], "Not Found")</f>
        <v>0 - 2.9</v>
      </c>
      <c r="D495">
        <f>_xlfn.XLOOKUP(b.nike.views[[#This Row],[product_ID]], a.nike.original.man[Product_ID], a.nike.original.man[Rating], "Not Found")</f>
        <v>0</v>
      </c>
      <c r="E495" s="10">
        <f>ROUND(_xlfn.XLOOKUP(b.nike.views[[#This Row],[product_ID]], a.nike.original.man[Product_ID], a.nike.original.man[Sale Price], "Not Found"), 0)</f>
        <v>130</v>
      </c>
      <c r="F495" s="5" t="str" cm="1">
        <f t="array" ref="F495">_xlfn.IFS(b.nike.views[[#This Row],[Sales_Price]]&lt;=9, "under $10",b.nike.views[[#This Row],[Sales_Price]]&lt;=20, "$20 and under",b.nike.views[[#This Row],[Sales_Price]]&lt;=50, "$50 and under", b.nike.views[[#This Row],[Sales_Price]]&lt;=99, "under $100", b.nike.views[[#This Row],[Sales_Price]]&gt;=100, "$100 +")</f>
        <v>$100 +</v>
      </c>
      <c r="G495">
        <f>COUNTIF(a.nike.original.man[Product_ID], A495)</f>
        <v>1</v>
      </c>
      <c r="H495" t="str" cm="1">
        <f t="array" ref="H495">_xlfn.IFS(b.nike.views[[#This Row],[Review_Count]]&lt;=7, "Below Average",b.nike.views[[#This Row],[Review_Count]]&gt;=8, "Average +")</f>
        <v>Below Average</v>
      </c>
      <c r="I495">
        <f>SUMIF(a.nike.original.man[Product_ID],b.nike.views[[#This Row],[product_ID]], a.nike.original.man[Reviews])</f>
        <v>0</v>
      </c>
      <c r="J495" s="41">
        <f>_xlfn.XLOOKUP(b.nike.views[[#This Row],[product_ID]],a.nike.original.man[Product_ID], a.nike.original.man[Discount %], "Not Found")</f>
        <v>0</v>
      </c>
      <c r="K495" s="41"/>
      <c r="L495" t="s">
        <v>1470</v>
      </c>
    </row>
    <row r="496" spans="1:12" x14ac:dyDescent="0.2">
      <c r="A496" t="s">
        <v>835</v>
      </c>
      <c r="B496" t="str">
        <f>_xlfn.XLOOKUP(b.nike.views[[#This Row],[product_ID]], a.nike.original.man[Product_ID], a.nike.original.man[Product Name], "Not Found")</f>
        <v>Nike Benassi JDI SE</v>
      </c>
      <c r="C496" s="5" t="str">
        <f>_xlfn.XLOOKUP(b.nike.views[[#This Row],[product_ID]], a.nike.original.man[Product_ID], a.nike.original.man[Rating_Group], "Not Found")</f>
        <v>0 - 2.9</v>
      </c>
      <c r="D496">
        <f>_xlfn.XLOOKUP(b.nike.views[[#This Row],[product_ID]], a.nike.original.man[Product_ID], a.nike.original.man[Rating], "Not Found")</f>
        <v>0</v>
      </c>
      <c r="E496" s="10">
        <f>ROUND(_xlfn.XLOOKUP(b.nike.views[[#This Row],[product_ID]], a.nike.original.man[Product_ID], a.nike.original.man[Sale Price], "Not Found"), 0)</f>
        <v>21</v>
      </c>
      <c r="F496" s="5" t="str" cm="1">
        <f t="array" ref="F496">_xlfn.IFS(b.nike.views[[#This Row],[Sales_Price]]&lt;=9, "under $10",b.nike.views[[#This Row],[Sales_Price]]&lt;=20, "$20 and under",b.nike.views[[#This Row],[Sales_Price]]&lt;=50, "$50 and under", b.nike.views[[#This Row],[Sales_Price]]&lt;=99, "under $100", b.nike.views[[#This Row],[Sales_Price]]&gt;=100, "$100 +")</f>
        <v>$50 and under</v>
      </c>
      <c r="G496">
        <f>COUNTIF(a.nike.original.man[Product_ID], A496)</f>
        <v>1</v>
      </c>
      <c r="H496" t="str" cm="1">
        <f t="array" ref="H496">_xlfn.IFS(b.nike.views[[#This Row],[Review_Count]]&lt;=7, "Below Average",b.nike.views[[#This Row],[Review_Count]]&gt;=8, "Average +")</f>
        <v>Below Average</v>
      </c>
      <c r="I496">
        <f>SUMIF(a.nike.original.man[Product_ID],b.nike.views[[#This Row],[product_ID]], a.nike.original.man[Reviews])</f>
        <v>0</v>
      </c>
      <c r="J496" s="41">
        <f>_xlfn.XLOOKUP(b.nike.views[[#This Row],[product_ID]],a.nike.original.man[Product_ID], a.nike.original.man[Discount %], "Not Found")</f>
        <v>0.3</v>
      </c>
      <c r="K496" s="41"/>
      <c r="L496" t="s">
        <v>1470</v>
      </c>
    </row>
    <row r="497" spans="1:12" x14ac:dyDescent="0.2">
      <c r="A497" t="s">
        <v>870</v>
      </c>
      <c r="B497" t="str">
        <f>_xlfn.XLOOKUP(b.nike.views[[#This Row],[product_ID]], a.nike.original.man[Product_ID], a.nike.original.man[Product Name], "Not Found")</f>
        <v>NikeCourt Lite 2</v>
      </c>
      <c r="C497" s="5" t="str">
        <f>_xlfn.XLOOKUP(b.nike.views[[#This Row],[product_ID]], a.nike.original.man[Product_ID], a.nike.original.man[Rating_Group], "Not Found")</f>
        <v>0 - 2.9</v>
      </c>
      <c r="D497">
        <f>_xlfn.XLOOKUP(b.nike.views[[#This Row],[product_ID]], a.nike.original.man[Product_ID], a.nike.original.man[Rating], "Not Found")</f>
        <v>0</v>
      </c>
      <c r="E497" s="10">
        <f>ROUND(_xlfn.XLOOKUP(b.nike.views[[#This Row],[product_ID]], a.nike.original.man[Product_ID], a.nike.original.man[Sale Price], "Not Found"), 0)</f>
        <v>50</v>
      </c>
      <c r="F497" s="5" t="str" cm="1">
        <f t="array" ref="F497">_xlfn.IFS(b.nike.views[[#This Row],[Sales_Price]]&lt;=9, "under $10",b.nike.views[[#This Row],[Sales_Price]]&lt;=20, "$20 and under",b.nike.views[[#This Row],[Sales_Price]]&lt;=50, "$50 and under", b.nike.views[[#This Row],[Sales_Price]]&lt;=99, "under $100", b.nike.views[[#This Row],[Sales_Price]]&gt;=100, "$100 +")</f>
        <v>$50 and under</v>
      </c>
      <c r="G497">
        <f>COUNTIF(a.nike.original.man[Product_ID], A497)</f>
        <v>1</v>
      </c>
      <c r="H497" t="str" cm="1">
        <f t="array" ref="H497">_xlfn.IFS(b.nike.views[[#This Row],[Review_Count]]&lt;=7, "Below Average",b.nike.views[[#This Row],[Review_Count]]&gt;=8, "Average +")</f>
        <v>Below Average</v>
      </c>
      <c r="I497">
        <f>SUMIF(a.nike.original.man[Product_ID],b.nike.views[[#This Row],[product_ID]], a.nike.original.man[Reviews])</f>
        <v>0</v>
      </c>
      <c r="J497" s="41">
        <f>_xlfn.XLOOKUP(b.nike.views[[#This Row],[product_ID]],a.nike.original.man[Product_ID], a.nike.original.man[Discount %], "Not Found")</f>
        <v>0</v>
      </c>
      <c r="K497" s="41"/>
      <c r="L497" t="s">
        <v>1470</v>
      </c>
    </row>
    <row r="498" spans="1:12" x14ac:dyDescent="0.2">
      <c r="A498" t="s">
        <v>873</v>
      </c>
      <c r="B498" t="str">
        <f>_xlfn.XLOOKUP(b.nike.views[[#This Row],[product_ID]], a.nike.original.man[Product_ID], a.nike.original.man[Product Name], "Not Found")</f>
        <v>Air Max 200 20</v>
      </c>
      <c r="C498" s="5" t="str">
        <f>_xlfn.XLOOKUP(b.nike.views[[#This Row],[product_ID]], a.nike.original.man[Product_ID], a.nike.original.man[Rating_Group], "Not Found")</f>
        <v>0 - 2.9</v>
      </c>
      <c r="D498">
        <f>_xlfn.XLOOKUP(b.nike.views[[#This Row],[product_ID]], a.nike.original.man[Product_ID], a.nike.original.man[Rating], "Not Found")</f>
        <v>0</v>
      </c>
      <c r="E498" s="10">
        <f>ROUND(_xlfn.XLOOKUP(b.nike.views[[#This Row],[product_ID]], a.nike.original.man[Product_ID], a.nike.original.man[Sale Price], "Not Found"), 0)</f>
        <v>110</v>
      </c>
      <c r="F498" s="5" t="str" cm="1">
        <f t="array" ref="F498">_xlfn.IFS(b.nike.views[[#This Row],[Sales_Price]]&lt;=9, "under $10",b.nike.views[[#This Row],[Sales_Price]]&lt;=20, "$20 and under",b.nike.views[[#This Row],[Sales_Price]]&lt;=50, "$50 and under", b.nike.views[[#This Row],[Sales_Price]]&lt;=99, "under $100", b.nike.views[[#This Row],[Sales_Price]]&gt;=100, "$100 +")</f>
        <v>$100 +</v>
      </c>
      <c r="G498">
        <f>COUNTIF(a.nike.original.man[Product_ID], A498)</f>
        <v>1</v>
      </c>
      <c r="H498" t="str" cm="1">
        <f t="array" ref="H498">_xlfn.IFS(b.nike.views[[#This Row],[Review_Count]]&lt;=7, "Below Average",b.nike.views[[#This Row],[Review_Count]]&gt;=8, "Average +")</f>
        <v>Below Average</v>
      </c>
      <c r="I498">
        <f>SUMIF(a.nike.original.man[Product_ID],b.nike.views[[#This Row],[product_ID]], a.nike.original.man[Reviews])</f>
        <v>0</v>
      </c>
      <c r="J498" s="41">
        <f>_xlfn.XLOOKUP(b.nike.views[[#This Row],[product_ID]],a.nike.original.man[Product_ID], a.nike.original.man[Discount %], "Not Found")</f>
        <v>0</v>
      </c>
      <c r="K498" s="41"/>
      <c r="L498" t="s">
        <v>1470</v>
      </c>
    </row>
    <row r="499" spans="1:12" x14ac:dyDescent="0.2">
      <c r="A499" t="s">
        <v>888</v>
      </c>
      <c r="B499" t="str">
        <f>_xlfn.XLOOKUP(b.nike.views[[#This Row],[product_ID]], a.nike.original.man[Product_ID], a.nike.original.man[Product Name], "Not Found")</f>
        <v>Nike Air Max 97 On Air Jasmine Lasode</v>
      </c>
      <c r="C499" s="5" t="str">
        <f>_xlfn.XLOOKUP(b.nike.views[[#This Row],[product_ID]], a.nike.original.man[Product_ID], a.nike.original.man[Rating_Group], "Not Found")</f>
        <v>0 - 2.9</v>
      </c>
      <c r="D499">
        <f>_xlfn.XLOOKUP(b.nike.views[[#This Row],[product_ID]], a.nike.original.man[Product_ID], a.nike.original.man[Rating], "Not Found")</f>
        <v>0</v>
      </c>
      <c r="E499" s="10">
        <f>ROUND(_xlfn.XLOOKUP(b.nike.views[[#This Row],[product_ID]], a.nike.original.man[Product_ID], a.nike.original.man[Sale Price], "Not Found"), 0)</f>
        <v>136</v>
      </c>
      <c r="F499" s="5" t="str" cm="1">
        <f t="array" ref="F499">_xlfn.IFS(b.nike.views[[#This Row],[Sales_Price]]&lt;=9, "under $10",b.nike.views[[#This Row],[Sales_Price]]&lt;=20, "$20 and under",b.nike.views[[#This Row],[Sales_Price]]&lt;=50, "$50 and under", b.nike.views[[#This Row],[Sales_Price]]&lt;=99, "under $100", b.nike.views[[#This Row],[Sales_Price]]&gt;=100, "$100 +")</f>
        <v>$100 +</v>
      </c>
      <c r="G499">
        <f>COUNTIF(a.nike.original.man[Product_ID], A499)</f>
        <v>1</v>
      </c>
      <c r="H499" t="str" cm="1">
        <f t="array" ref="H499">_xlfn.IFS(b.nike.views[[#This Row],[Review_Count]]&lt;=7, "Below Average",b.nike.views[[#This Row],[Review_Count]]&gt;=8, "Average +")</f>
        <v>Below Average</v>
      </c>
      <c r="I499">
        <f>SUMIF(a.nike.original.man[Product_ID],b.nike.views[[#This Row],[product_ID]], a.nike.original.man[Reviews])</f>
        <v>0</v>
      </c>
      <c r="J499" s="41">
        <f>_xlfn.XLOOKUP(b.nike.views[[#This Row],[product_ID]],a.nike.original.man[Product_ID], a.nike.original.man[Discount %], "Not Found")</f>
        <v>0.2</v>
      </c>
      <c r="K499" s="41"/>
      <c r="L499" t="s">
        <v>1470</v>
      </c>
    </row>
    <row r="500" spans="1:12" x14ac:dyDescent="0.2">
      <c r="A500" t="s">
        <v>912</v>
      </c>
      <c r="B500" t="str">
        <f>_xlfn.XLOOKUP(b.nike.views[[#This Row],[product_ID]], a.nike.original.man[Product_ID], a.nike.original.man[Product Name], "Not Found")</f>
        <v>Nike Air VaporMax LX</v>
      </c>
      <c r="C500" s="5" t="str">
        <f>_xlfn.XLOOKUP(b.nike.views[[#This Row],[product_ID]], a.nike.original.man[Product_ID], a.nike.original.man[Rating_Group], "Not Found")</f>
        <v>0 - 2.9</v>
      </c>
      <c r="D500">
        <f>_xlfn.XLOOKUP(b.nike.views[[#This Row],[product_ID]], a.nike.original.man[Product_ID], a.nike.original.man[Rating], "Not Found")</f>
        <v>0</v>
      </c>
      <c r="E500" s="10">
        <f>ROUND(_xlfn.XLOOKUP(b.nike.views[[#This Row],[product_ID]], a.nike.original.man[Product_ID], a.nike.original.man[Sale Price], "Not Found"), 0)</f>
        <v>119</v>
      </c>
      <c r="F500" s="5" t="str" cm="1">
        <f t="array" ref="F500">_xlfn.IFS(b.nike.views[[#This Row],[Sales_Price]]&lt;=9, "under $10",b.nike.views[[#This Row],[Sales_Price]]&lt;=20, "$20 and under",b.nike.views[[#This Row],[Sales_Price]]&lt;=50, "$50 and under", b.nike.views[[#This Row],[Sales_Price]]&lt;=99, "under $100", b.nike.views[[#This Row],[Sales_Price]]&gt;=100, "$100 +")</f>
        <v>$100 +</v>
      </c>
      <c r="G500">
        <f>COUNTIF(a.nike.original.man[Product_ID], A500)</f>
        <v>1</v>
      </c>
      <c r="H500" t="str" cm="1">
        <f t="array" ref="H500">_xlfn.IFS(b.nike.views[[#This Row],[Review_Count]]&lt;=7, "Below Average",b.nike.views[[#This Row],[Review_Count]]&gt;=8, "Average +")</f>
        <v>Below Average</v>
      </c>
      <c r="I500">
        <f>SUMIF(a.nike.original.man[Product_ID],b.nike.views[[#This Row],[product_ID]], a.nike.original.man[Reviews])</f>
        <v>0</v>
      </c>
      <c r="J500" s="41">
        <f>_xlfn.XLOOKUP(b.nike.views[[#This Row],[product_ID]],a.nike.original.man[Product_ID], a.nike.original.man[Discount %], "Not Found")</f>
        <v>0.3</v>
      </c>
      <c r="K500" s="41"/>
      <c r="L500" t="s">
        <v>1470</v>
      </c>
    </row>
    <row r="501" spans="1:12" x14ac:dyDescent="0.2">
      <c r="A501" t="s">
        <v>957</v>
      </c>
      <c r="B501" t="str">
        <f>_xlfn.XLOOKUP(b.nike.views[[#This Row],[product_ID]], a.nike.original.man[Product_ID], a.nike.original.man[Product Name], "Not Found")</f>
        <v>Jordan 'Why Not?' Zer0.2 SE</v>
      </c>
      <c r="C501" s="5" t="str">
        <f>_xlfn.XLOOKUP(b.nike.views[[#This Row],[product_ID]], a.nike.original.man[Product_ID], a.nike.original.man[Rating_Group], "Not Found")</f>
        <v>0 - 2.9</v>
      </c>
      <c r="D501">
        <f>_xlfn.XLOOKUP(b.nike.views[[#This Row],[product_ID]], a.nike.original.man[Product_ID], a.nike.original.man[Rating], "Not Found")</f>
        <v>0</v>
      </c>
      <c r="E501" s="10">
        <f>ROUND(_xlfn.XLOOKUP(b.nike.views[[#This Row],[product_ID]], a.nike.original.man[Product_ID], a.nike.original.man[Sale Price], "Not Found"), 0)</f>
        <v>120</v>
      </c>
      <c r="F501" s="5" t="str" cm="1">
        <f t="array" ref="F501">_xlfn.IFS(b.nike.views[[#This Row],[Sales_Price]]&lt;=9, "under $10",b.nike.views[[#This Row],[Sales_Price]]&lt;=20, "$20 and under",b.nike.views[[#This Row],[Sales_Price]]&lt;=50, "$50 and under", b.nike.views[[#This Row],[Sales_Price]]&lt;=99, "under $100", b.nike.views[[#This Row],[Sales_Price]]&gt;=100, "$100 +")</f>
        <v>$100 +</v>
      </c>
      <c r="G501">
        <f>COUNTIF(a.nike.original.man[Product_ID], A501)</f>
        <v>1</v>
      </c>
      <c r="H501" t="str" cm="1">
        <f t="array" ref="H501">_xlfn.IFS(b.nike.views[[#This Row],[Review_Count]]&lt;=7, "Below Average",b.nike.views[[#This Row],[Review_Count]]&gt;=8, "Average +")</f>
        <v>Below Average</v>
      </c>
      <c r="I501">
        <f>SUMIF(a.nike.original.man[Product_ID],b.nike.views[[#This Row],[product_ID]], a.nike.original.man[Reviews])</f>
        <v>0</v>
      </c>
      <c r="J501" s="41">
        <f>_xlfn.XLOOKUP(b.nike.views[[#This Row],[product_ID]],a.nike.original.man[Product_ID], a.nike.original.man[Discount %], "Not Found")</f>
        <v>0</v>
      </c>
      <c r="K501" s="41"/>
      <c r="L501" t="s">
        <v>1470</v>
      </c>
    </row>
    <row r="502" spans="1:12" x14ac:dyDescent="0.2">
      <c r="A502" t="s">
        <v>987</v>
      </c>
      <c r="B502" t="str">
        <f>_xlfn.XLOOKUP(b.nike.views[[#This Row],[product_ID]], a.nike.original.man[Product_ID], a.nike.original.man[Product Name], "Not Found")</f>
        <v>Nike Epic Phantom React Flyknit Icon Clash</v>
      </c>
      <c r="C502" s="5" t="str">
        <f>_xlfn.XLOOKUP(b.nike.views[[#This Row],[product_ID]], a.nike.original.man[Product_ID], a.nike.original.man[Rating_Group], "Not Found")</f>
        <v>0 - 2.9</v>
      </c>
      <c r="D502">
        <f>_xlfn.XLOOKUP(b.nike.views[[#This Row],[product_ID]], a.nike.original.man[Product_ID], a.nike.original.man[Rating], "Not Found")</f>
        <v>0</v>
      </c>
      <c r="E502" s="10">
        <f>ROUND(_xlfn.XLOOKUP(b.nike.views[[#This Row],[product_ID]], a.nike.original.man[Product_ID], a.nike.original.man[Sale Price], "Not Found"), 0)</f>
        <v>98</v>
      </c>
      <c r="F502" s="5" t="str" cm="1">
        <f t="array" ref="F502">_xlfn.IFS(b.nike.views[[#This Row],[Sales_Price]]&lt;=9, "under $10",b.nike.views[[#This Row],[Sales_Price]]&lt;=20, "$20 and under",b.nike.views[[#This Row],[Sales_Price]]&lt;=50, "$50 and under", b.nike.views[[#This Row],[Sales_Price]]&lt;=99, "under $100", b.nike.views[[#This Row],[Sales_Price]]&gt;=100, "$100 +")</f>
        <v>under $100</v>
      </c>
      <c r="G502">
        <f>COUNTIF(a.nike.original.man[Product_ID], A502)</f>
        <v>1</v>
      </c>
      <c r="H502" t="str" cm="1">
        <f t="array" ref="H502">_xlfn.IFS(b.nike.views[[#This Row],[Review_Count]]&lt;=7, "Below Average",b.nike.views[[#This Row],[Review_Count]]&gt;=8, "Average +")</f>
        <v>Below Average</v>
      </c>
      <c r="I502">
        <f>SUMIF(a.nike.original.man[Product_ID],b.nike.views[[#This Row],[product_ID]], a.nike.original.man[Reviews])</f>
        <v>0</v>
      </c>
      <c r="J502" s="41">
        <f>_xlfn.XLOOKUP(b.nike.views[[#This Row],[product_ID]],a.nike.original.man[Product_ID], a.nike.original.man[Discount %], "Not Found")</f>
        <v>0.3</v>
      </c>
      <c r="K502" s="41"/>
      <c r="L502" t="s">
        <v>1470</v>
      </c>
    </row>
    <row r="503" spans="1:12" x14ac:dyDescent="0.2">
      <c r="A503" t="s">
        <v>1045</v>
      </c>
      <c r="B503" t="str">
        <f>_xlfn.XLOOKUP(b.nike.views[[#This Row],[product_ID]], a.nike.original.man[Product_ID], a.nike.original.man[Product Name], "Not Found")</f>
        <v>Nike Vandalised</v>
      </c>
      <c r="C503" s="5" t="str">
        <f>_xlfn.XLOOKUP(b.nike.views[[#This Row],[product_ID]], a.nike.original.man[Product_ID], a.nike.original.man[Rating_Group], "Not Found")</f>
        <v>0 - 2.9</v>
      </c>
      <c r="D503">
        <f>_xlfn.XLOOKUP(b.nike.views[[#This Row],[product_ID]], a.nike.original.man[Product_ID], a.nike.original.man[Rating], "Not Found")</f>
        <v>0</v>
      </c>
      <c r="E503" s="10">
        <f>ROUND(_xlfn.XLOOKUP(b.nike.views[[#This Row],[product_ID]], a.nike.original.man[Product_ID], a.nike.original.man[Sale Price], "Not Found"), 0)</f>
        <v>77</v>
      </c>
      <c r="F503" s="5" t="str" cm="1">
        <f t="array" ref="F503">_xlfn.IFS(b.nike.views[[#This Row],[Sales_Price]]&lt;=9, "under $10",b.nike.views[[#This Row],[Sales_Price]]&lt;=20, "$20 and under",b.nike.views[[#This Row],[Sales_Price]]&lt;=50, "$50 and under", b.nike.views[[#This Row],[Sales_Price]]&lt;=99, "under $100", b.nike.views[[#This Row],[Sales_Price]]&gt;=100, "$100 +")</f>
        <v>under $100</v>
      </c>
      <c r="G503">
        <f>COUNTIF(a.nike.original.man[Product_ID], A503)</f>
        <v>1</v>
      </c>
      <c r="H503" t="str" cm="1">
        <f t="array" ref="H503">_xlfn.IFS(b.nike.views[[#This Row],[Review_Count]]&lt;=7, "Below Average",b.nike.views[[#This Row],[Review_Count]]&gt;=8, "Average +")</f>
        <v>Below Average</v>
      </c>
      <c r="I503">
        <f>SUMIF(a.nike.original.man[Product_ID],b.nike.views[[#This Row],[product_ID]], a.nike.original.man[Reviews])</f>
        <v>0</v>
      </c>
      <c r="J503" s="41">
        <f>_xlfn.XLOOKUP(b.nike.views[[#This Row],[product_ID]],a.nike.original.man[Product_ID], a.nike.original.man[Discount %], "Not Found")</f>
        <v>0.3</v>
      </c>
      <c r="K503" s="41"/>
      <c r="L503" t="s">
        <v>1470</v>
      </c>
    </row>
    <row r="504" spans="1:12" x14ac:dyDescent="0.2">
      <c r="A504" t="s">
        <v>1057</v>
      </c>
      <c r="B504" t="str">
        <f>_xlfn.XLOOKUP(b.nike.views[[#This Row],[product_ID]], a.nike.original.man[Product_ID], a.nike.original.man[Product Name], "Not Found")</f>
        <v>Nike Canyon</v>
      </c>
      <c r="C504" s="5" t="str">
        <f>_xlfn.XLOOKUP(b.nike.views[[#This Row],[product_ID]], a.nike.original.man[Product_ID], a.nike.original.man[Rating_Group], "Not Found")</f>
        <v>0 - 2.9</v>
      </c>
      <c r="D504">
        <f>_xlfn.XLOOKUP(b.nike.views[[#This Row],[product_ID]], a.nike.original.man[Product_ID], a.nike.original.man[Rating], "Not Found")</f>
        <v>0</v>
      </c>
      <c r="E504" s="10">
        <f>ROUND(_xlfn.XLOOKUP(b.nike.views[[#This Row],[product_ID]], a.nike.original.man[Product_ID], a.nike.original.man[Sale Price], "Not Found"), 0)</f>
        <v>60</v>
      </c>
      <c r="F504" s="5" t="str" cm="1">
        <f t="array" ref="F504">_xlfn.IFS(b.nike.views[[#This Row],[Sales_Price]]&lt;=9, "under $10",b.nike.views[[#This Row],[Sales_Price]]&lt;=20, "$20 and under",b.nike.views[[#This Row],[Sales_Price]]&lt;=50, "$50 and under", b.nike.views[[#This Row],[Sales_Price]]&lt;=99, "under $100", b.nike.views[[#This Row],[Sales_Price]]&gt;=100, "$100 +")</f>
        <v>under $100</v>
      </c>
      <c r="G504">
        <f>COUNTIF(a.nike.original.man[Product_ID], A504)</f>
        <v>1</v>
      </c>
      <c r="H504" t="str" cm="1">
        <f t="array" ref="H504">_xlfn.IFS(b.nike.views[[#This Row],[Review_Count]]&lt;=7, "Below Average",b.nike.views[[#This Row],[Review_Count]]&gt;=8, "Average +")</f>
        <v>Below Average</v>
      </c>
      <c r="I504">
        <f>SUMIF(a.nike.original.man[Product_ID],b.nike.views[[#This Row],[product_ID]], a.nike.original.man[Reviews])</f>
        <v>0</v>
      </c>
      <c r="J504" s="41">
        <f>_xlfn.XLOOKUP(b.nike.views[[#This Row],[product_ID]],a.nike.original.man[Product_ID], a.nike.original.man[Discount %], "Not Found")</f>
        <v>0</v>
      </c>
      <c r="K504" s="41"/>
      <c r="L504" t="s">
        <v>1470</v>
      </c>
    </row>
    <row r="505" spans="1:12" x14ac:dyDescent="0.2">
      <c r="A505" t="s">
        <v>1085</v>
      </c>
      <c r="B505" t="str">
        <f>_xlfn.XLOOKUP(b.nike.views[[#This Row],[product_ID]], a.nike.original.man[Product_ID], a.nike.original.man[Product Name], "Not Found")</f>
        <v>Nike Joyride Optik</v>
      </c>
      <c r="C505" s="5" t="str">
        <f>_xlfn.XLOOKUP(b.nike.views[[#This Row],[product_ID]], a.nike.original.man[Product_ID], a.nike.original.man[Rating_Group], "Not Found")</f>
        <v>0 - 2.9</v>
      </c>
      <c r="D505">
        <f>_xlfn.XLOOKUP(b.nike.views[[#This Row],[product_ID]], a.nike.original.man[Product_ID], a.nike.original.man[Rating], "Not Found")</f>
        <v>0</v>
      </c>
      <c r="E505" s="10">
        <f>ROUND(_xlfn.XLOOKUP(b.nike.views[[#This Row],[product_ID]], a.nike.original.man[Product_ID], a.nike.original.man[Sale Price], "Not Found"), 0)</f>
        <v>112</v>
      </c>
      <c r="F505" s="5" t="str" cm="1">
        <f t="array" ref="F505">_xlfn.IFS(b.nike.views[[#This Row],[Sales_Price]]&lt;=9, "under $10",b.nike.views[[#This Row],[Sales_Price]]&lt;=20, "$20 and under",b.nike.views[[#This Row],[Sales_Price]]&lt;=50, "$50 and under", b.nike.views[[#This Row],[Sales_Price]]&lt;=99, "under $100", b.nike.views[[#This Row],[Sales_Price]]&gt;=100, "$100 +")</f>
        <v>$100 +</v>
      </c>
      <c r="G505">
        <f>COUNTIF(a.nike.original.man[Product_ID], A505)</f>
        <v>1</v>
      </c>
      <c r="H505" t="str" cm="1">
        <f t="array" ref="H505">_xlfn.IFS(b.nike.views[[#This Row],[Review_Count]]&lt;=7, "Below Average",b.nike.views[[#This Row],[Review_Count]]&gt;=8, "Average +")</f>
        <v>Below Average</v>
      </c>
      <c r="I505">
        <f>SUMIF(a.nike.original.man[Product_ID],b.nike.views[[#This Row],[product_ID]], a.nike.original.man[Reviews])</f>
        <v>0</v>
      </c>
      <c r="J505" s="41">
        <f>_xlfn.XLOOKUP(b.nike.views[[#This Row],[product_ID]],a.nike.original.man[Product_ID], a.nike.original.man[Discount %], "Not Found")</f>
        <v>0.3</v>
      </c>
      <c r="K505" s="41"/>
      <c r="L505" t="s">
        <v>1470</v>
      </c>
    </row>
    <row r="506" spans="1:12" x14ac:dyDescent="0.2">
      <c r="A506" t="s">
        <v>1104</v>
      </c>
      <c r="B506" t="str">
        <f>_xlfn.XLOOKUP(b.nike.views[[#This Row],[product_ID]], a.nike.original.man[Product_ID], a.nike.original.man[Product Name], "Not Found")</f>
        <v>Nike Air Max 98 NRG</v>
      </c>
      <c r="C506" s="5" t="str">
        <f>_xlfn.XLOOKUP(b.nike.views[[#This Row],[product_ID]], a.nike.original.man[Product_ID], a.nike.original.man[Rating_Group], "Not Found")</f>
        <v>0 - 2.9</v>
      </c>
      <c r="D506">
        <f>_xlfn.XLOOKUP(b.nike.views[[#This Row],[product_ID]], a.nike.original.man[Product_ID], a.nike.original.man[Rating], "Not Found")</f>
        <v>0</v>
      </c>
      <c r="E506" s="10">
        <f>ROUND(_xlfn.XLOOKUP(b.nike.views[[#This Row],[product_ID]], a.nike.original.man[Product_ID], a.nike.original.man[Sale Price], "Not Found"), 0)</f>
        <v>112</v>
      </c>
      <c r="F506" s="5" t="str" cm="1">
        <f t="array" ref="F506">_xlfn.IFS(b.nike.views[[#This Row],[Sales_Price]]&lt;=9, "under $10",b.nike.views[[#This Row],[Sales_Price]]&lt;=20, "$20 and under",b.nike.views[[#This Row],[Sales_Price]]&lt;=50, "$50 and under", b.nike.views[[#This Row],[Sales_Price]]&lt;=99, "under $100", b.nike.views[[#This Row],[Sales_Price]]&gt;=100, "$100 +")</f>
        <v>$100 +</v>
      </c>
      <c r="G506">
        <f>COUNTIF(a.nike.original.man[Product_ID], A506)</f>
        <v>1</v>
      </c>
      <c r="H506" t="str" cm="1">
        <f t="array" ref="H506">_xlfn.IFS(b.nike.views[[#This Row],[Review_Count]]&lt;=7, "Below Average",b.nike.views[[#This Row],[Review_Count]]&gt;=8, "Average +")</f>
        <v>Below Average</v>
      </c>
      <c r="I506">
        <f>SUMIF(a.nike.original.man[Product_ID],b.nike.views[[#This Row],[product_ID]], a.nike.original.man[Reviews])</f>
        <v>0</v>
      </c>
      <c r="J506" s="41">
        <f>_xlfn.XLOOKUP(b.nike.views[[#This Row],[product_ID]],a.nike.original.man[Product_ID], a.nike.original.man[Discount %], "Not Found")</f>
        <v>0.3</v>
      </c>
      <c r="K506" s="41"/>
      <c r="L506" t="s">
        <v>1470</v>
      </c>
    </row>
    <row r="507" spans="1:12" x14ac:dyDescent="0.2">
      <c r="A507" t="s">
        <v>1109</v>
      </c>
      <c r="B507" t="str">
        <f>_xlfn.XLOOKUP(b.nike.views[[#This Row],[product_ID]], a.nike.original.man[Product_ID], a.nike.original.man[Product Name], "Not Found")</f>
        <v>Kyrie 6 EP</v>
      </c>
      <c r="C507" s="5" t="str">
        <f>_xlfn.XLOOKUP(b.nike.views[[#This Row],[product_ID]], a.nike.original.man[Product_ID], a.nike.original.man[Rating_Group], "Not Found")</f>
        <v>0 - 2.9</v>
      </c>
      <c r="D507">
        <f>_xlfn.XLOOKUP(b.nike.views[[#This Row],[product_ID]], a.nike.original.man[Product_ID], a.nike.original.man[Rating], "Not Found")</f>
        <v>0</v>
      </c>
      <c r="E507" s="10">
        <f>ROUND(_xlfn.XLOOKUP(b.nike.views[[#This Row],[product_ID]], a.nike.original.man[Product_ID], a.nike.original.man[Sale Price], "Not Found"), 0)</f>
        <v>110</v>
      </c>
      <c r="F507" s="5" t="str" cm="1">
        <f t="array" ref="F507">_xlfn.IFS(b.nike.views[[#This Row],[Sales_Price]]&lt;=9, "under $10",b.nike.views[[#This Row],[Sales_Price]]&lt;=20, "$20 and under",b.nike.views[[#This Row],[Sales_Price]]&lt;=50, "$50 and under", b.nike.views[[#This Row],[Sales_Price]]&lt;=99, "under $100", b.nike.views[[#This Row],[Sales_Price]]&gt;=100, "$100 +")</f>
        <v>$100 +</v>
      </c>
      <c r="G507">
        <f>COUNTIF(a.nike.original.man[Product_ID], A507)</f>
        <v>1</v>
      </c>
      <c r="H507" t="str" cm="1">
        <f t="array" ref="H507">_xlfn.IFS(b.nike.views[[#This Row],[Review_Count]]&lt;=7, "Below Average",b.nike.views[[#This Row],[Review_Count]]&gt;=8, "Average +")</f>
        <v>Below Average</v>
      </c>
      <c r="I507">
        <f>SUMIF(a.nike.original.man[Product_ID],b.nike.views[[#This Row],[product_ID]], a.nike.original.man[Reviews])</f>
        <v>0</v>
      </c>
      <c r="J507" s="41">
        <f>_xlfn.XLOOKUP(b.nike.views[[#This Row],[product_ID]],a.nike.original.man[Product_ID], a.nike.original.man[Discount %], "Not Found")</f>
        <v>0</v>
      </c>
      <c r="K507" s="41"/>
      <c r="L507" t="s">
        <v>1470</v>
      </c>
    </row>
    <row r="508" spans="1:12" x14ac:dyDescent="0.2">
      <c r="A508" t="s">
        <v>1118</v>
      </c>
      <c r="B508" t="str">
        <f>_xlfn.XLOOKUP(b.nike.views[[#This Row],[product_ID]], a.nike.original.man[Product_ID], a.nike.original.man[Product Name], "Not Found")</f>
        <v>Nike Mercurial Vapor 13 Academy IC</v>
      </c>
      <c r="C508" s="5" t="str">
        <f>_xlfn.XLOOKUP(b.nike.views[[#This Row],[product_ID]], a.nike.original.man[Product_ID], a.nike.original.man[Rating_Group], "Not Found")</f>
        <v>0 - 2.9</v>
      </c>
      <c r="D508">
        <f>_xlfn.XLOOKUP(b.nike.views[[#This Row],[product_ID]], a.nike.original.man[Product_ID], a.nike.original.man[Rating], "Not Found")</f>
        <v>0</v>
      </c>
      <c r="E508" s="10">
        <f>ROUND(_xlfn.XLOOKUP(b.nike.views[[#This Row],[product_ID]], a.nike.original.man[Product_ID], a.nike.original.man[Sale Price], "Not Found"), 0)</f>
        <v>52</v>
      </c>
      <c r="F508" s="5" t="str" cm="1">
        <f t="array" ref="F508">_xlfn.IFS(b.nike.views[[#This Row],[Sales_Price]]&lt;=9, "under $10",b.nike.views[[#This Row],[Sales_Price]]&lt;=20, "$20 and under",b.nike.views[[#This Row],[Sales_Price]]&lt;=50, "$50 and under", b.nike.views[[#This Row],[Sales_Price]]&lt;=99, "under $100", b.nike.views[[#This Row],[Sales_Price]]&gt;=100, "$100 +")</f>
        <v>under $100</v>
      </c>
      <c r="G508">
        <f>COUNTIF(a.nike.original.man[Product_ID], A508)</f>
        <v>2</v>
      </c>
      <c r="H508" t="str" cm="1">
        <f t="array" ref="H508">_xlfn.IFS(b.nike.views[[#This Row],[Review_Count]]&lt;=7, "Below Average",b.nike.views[[#This Row],[Review_Count]]&gt;=8, "Average +")</f>
        <v>Below Average</v>
      </c>
      <c r="I508">
        <f>SUMIF(a.nike.original.man[Product_ID],b.nike.views[[#This Row],[product_ID]], a.nike.original.man[Reviews])</f>
        <v>0</v>
      </c>
      <c r="J508" s="41">
        <f>_xlfn.XLOOKUP(b.nike.views[[#This Row],[product_ID]],a.nike.original.man[Product_ID], a.nike.original.man[Discount %], "Not Found")</f>
        <v>0.3</v>
      </c>
      <c r="K508" s="41"/>
      <c r="L508" t="s">
        <v>1470</v>
      </c>
    </row>
    <row r="509" spans="1:12" x14ac:dyDescent="0.2">
      <c r="A509" t="s">
        <v>1131</v>
      </c>
      <c r="B509" t="str">
        <f>_xlfn.XLOOKUP(b.nike.views[[#This Row],[product_ID]], a.nike.original.man[Product_ID], a.nike.original.man[Product Name], "Not Found")</f>
        <v>Nike Metcon 5 AMP</v>
      </c>
      <c r="C509" s="5" t="str">
        <f>_xlfn.XLOOKUP(b.nike.views[[#This Row],[product_ID]], a.nike.original.man[Product_ID], a.nike.original.man[Rating_Group], "Not Found")</f>
        <v>0 - 2.9</v>
      </c>
      <c r="D509">
        <f>_xlfn.XLOOKUP(b.nike.views[[#This Row],[product_ID]], a.nike.original.man[Product_ID], a.nike.original.man[Rating], "Not Found")</f>
        <v>0</v>
      </c>
      <c r="E509" s="10">
        <f>ROUND(_xlfn.XLOOKUP(b.nike.views[[#This Row],[product_ID]], a.nike.original.man[Product_ID], a.nike.original.man[Sale Price], "Not Found"), 0)</f>
        <v>120</v>
      </c>
      <c r="F509" s="5" t="str" cm="1">
        <f t="array" ref="F509">_xlfn.IFS(b.nike.views[[#This Row],[Sales_Price]]&lt;=9, "under $10",b.nike.views[[#This Row],[Sales_Price]]&lt;=20, "$20 and under",b.nike.views[[#This Row],[Sales_Price]]&lt;=50, "$50 and under", b.nike.views[[#This Row],[Sales_Price]]&lt;=99, "under $100", b.nike.views[[#This Row],[Sales_Price]]&gt;=100, "$100 +")</f>
        <v>$100 +</v>
      </c>
      <c r="G509">
        <f>COUNTIF(a.nike.original.man[Product_ID], A509)</f>
        <v>1</v>
      </c>
      <c r="H509" t="str" cm="1">
        <f t="array" ref="H509">_xlfn.IFS(b.nike.views[[#This Row],[Review_Count]]&lt;=7, "Below Average",b.nike.views[[#This Row],[Review_Count]]&gt;=8, "Average +")</f>
        <v>Below Average</v>
      </c>
      <c r="I509">
        <f>SUMIF(a.nike.original.man[Product_ID],b.nike.views[[#This Row],[product_ID]], a.nike.original.man[Reviews])</f>
        <v>0</v>
      </c>
      <c r="J509" s="41">
        <f>_xlfn.XLOOKUP(b.nike.views[[#This Row],[product_ID]],a.nike.original.man[Product_ID], a.nike.original.man[Discount %], "Not Found")</f>
        <v>0</v>
      </c>
      <c r="K509" s="41"/>
      <c r="L509" t="s">
        <v>1470</v>
      </c>
    </row>
    <row r="510" spans="1:12" x14ac:dyDescent="0.2">
      <c r="A510" t="s">
        <v>1132</v>
      </c>
      <c r="B510" t="str">
        <f>_xlfn.XLOOKUP(b.nike.views[[#This Row],[product_ID]], a.nike.original.man[Product_ID], a.nike.original.man[Product Name], "Not Found")</f>
        <v>Nike Air Max 270 React</v>
      </c>
      <c r="C510" s="5" t="str">
        <f>_xlfn.XLOOKUP(b.nike.views[[#This Row],[product_ID]], a.nike.original.man[Product_ID], a.nike.original.man[Rating_Group], "Not Found")</f>
        <v>0 - 2.9</v>
      </c>
      <c r="D510">
        <f>_xlfn.XLOOKUP(b.nike.views[[#This Row],[product_ID]], a.nike.original.man[Product_ID], a.nike.original.man[Rating], "Not Found")</f>
        <v>0</v>
      </c>
      <c r="E510" s="10">
        <f>ROUND(_xlfn.XLOOKUP(b.nike.views[[#This Row],[product_ID]], a.nike.original.man[Product_ID], a.nike.original.man[Sale Price], "Not Found"), 0)</f>
        <v>140</v>
      </c>
      <c r="F510" s="5" t="str" cm="1">
        <f t="array" ref="F510">_xlfn.IFS(b.nike.views[[#This Row],[Sales_Price]]&lt;=9, "under $10",b.nike.views[[#This Row],[Sales_Price]]&lt;=20, "$20 and under",b.nike.views[[#This Row],[Sales_Price]]&lt;=50, "$50 and under", b.nike.views[[#This Row],[Sales_Price]]&lt;=99, "under $100", b.nike.views[[#This Row],[Sales_Price]]&gt;=100, "$100 +")</f>
        <v>$100 +</v>
      </c>
      <c r="G510">
        <f>COUNTIF(a.nike.original.man[Product_ID], A510)</f>
        <v>1</v>
      </c>
      <c r="H510" t="str" cm="1">
        <f t="array" ref="H510">_xlfn.IFS(b.nike.views[[#This Row],[Review_Count]]&lt;=7, "Below Average",b.nike.views[[#This Row],[Review_Count]]&gt;=8, "Average +")</f>
        <v>Below Average</v>
      </c>
      <c r="I510">
        <f>SUMIF(a.nike.original.man[Product_ID],b.nike.views[[#This Row],[product_ID]], a.nike.original.man[Reviews])</f>
        <v>0</v>
      </c>
      <c r="J510" s="41">
        <f>_xlfn.XLOOKUP(b.nike.views[[#This Row],[product_ID]],a.nike.original.man[Product_ID], a.nike.original.man[Discount %], "Not Found")</f>
        <v>0</v>
      </c>
      <c r="K510" s="41"/>
      <c r="L510" t="s">
        <v>1470</v>
      </c>
    </row>
    <row r="511" spans="1:12" x14ac:dyDescent="0.2">
      <c r="A511" t="s">
        <v>1148</v>
      </c>
      <c r="B511" t="str">
        <f>_xlfn.XLOOKUP(b.nike.views[[#This Row],[product_ID]], a.nike.original.man[Product_ID], a.nike.original.man[Product Name], "Not Found")</f>
        <v>Nike Flex Contact 3</v>
      </c>
      <c r="C511" s="5" t="str">
        <f>_xlfn.XLOOKUP(b.nike.views[[#This Row],[product_ID]], a.nike.original.man[Product_ID], a.nike.original.man[Rating_Group], "Not Found")</f>
        <v>0 - 2.9</v>
      </c>
      <c r="D511">
        <f>_xlfn.XLOOKUP(b.nike.views[[#This Row],[product_ID]], a.nike.original.man[Product_ID], a.nike.original.man[Rating], "Not Found")</f>
        <v>0</v>
      </c>
      <c r="E511" s="10">
        <f>ROUND(_xlfn.XLOOKUP(b.nike.views[[#This Row],[product_ID]], a.nike.original.man[Product_ID], a.nike.original.man[Sale Price], "Not Found"), 0)</f>
        <v>42</v>
      </c>
      <c r="F511" s="5" t="str" cm="1">
        <f t="array" ref="F511">_xlfn.IFS(b.nike.views[[#This Row],[Sales_Price]]&lt;=9, "under $10",b.nike.views[[#This Row],[Sales_Price]]&lt;=20, "$20 and under",b.nike.views[[#This Row],[Sales_Price]]&lt;=50, "$50 and under", b.nike.views[[#This Row],[Sales_Price]]&lt;=99, "under $100", b.nike.views[[#This Row],[Sales_Price]]&gt;=100, "$100 +")</f>
        <v>$50 and under</v>
      </c>
      <c r="G511">
        <f>COUNTIF(a.nike.original.man[Product_ID], A511)</f>
        <v>1</v>
      </c>
      <c r="H511" t="str" cm="1">
        <f t="array" ref="H511">_xlfn.IFS(b.nike.views[[#This Row],[Review_Count]]&lt;=7, "Below Average",b.nike.views[[#This Row],[Review_Count]]&gt;=8, "Average +")</f>
        <v>Below Average</v>
      </c>
      <c r="I511">
        <f>SUMIF(a.nike.original.man[Product_ID],b.nike.views[[#This Row],[product_ID]], a.nike.original.man[Reviews])</f>
        <v>0</v>
      </c>
      <c r="J511" s="41">
        <f>_xlfn.XLOOKUP(b.nike.views[[#This Row],[product_ID]],a.nike.original.man[Product_ID], a.nike.original.man[Discount %], "Not Found")</f>
        <v>0.3</v>
      </c>
      <c r="K511" s="41"/>
      <c r="L511" t="s">
        <v>1470</v>
      </c>
    </row>
    <row r="512" spans="1:12" x14ac:dyDescent="0.2">
      <c r="A512" t="s">
        <v>1170</v>
      </c>
      <c r="B512" t="str">
        <f>_xlfn.XLOOKUP(b.nike.views[[#This Row],[product_ID]], a.nike.original.man[Product_ID], a.nike.original.man[Product Name], "Not Found")</f>
        <v>Nike React City</v>
      </c>
      <c r="C512" s="5" t="str">
        <f>_xlfn.XLOOKUP(b.nike.views[[#This Row],[product_ID]], a.nike.original.man[Product_ID], a.nike.original.man[Rating_Group], "Not Found")</f>
        <v>0 - 2.9</v>
      </c>
      <c r="D512">
        <f>_xlfn.XLOOKUP(b.nike.views[[#This Row],[product_ID]], a.nike.original.man[Product_ID], a.nike.original.man[Rating], "Not Found")</f>
        <v>0</v>
      </c>
      <c r="E512" s="10">
        <f>ROUND(_xlfn.XLOOKUP(b.nike.views[[#This Row],[product_ID]], a.nike.original.man[Product_ID], a.nike.original.man[Sale Price], "Not Found"), 0)</f>
        <v>98</v>
      </c>
      <c r="F512" s="5" t="str" cm="1">
        <f t="array" ref="F512">_xlfn.IFS(b.nike.views[[#This Row],[Sales_Price]]&lt;=9, "under $10",b.nike.views[[#This Row],[Sales_Price]]&lt;=20, "$20 and under",b.nike.views[[#This Row],[Sales_Price]]&lt;=50, "$50 and under", b.nike.views[[#This Row],[Sales_Price]]&lt;=99, "under $100", b.nike.views[[#This Row],[Sales_Price]]&gt;=100, "$100 +")</f>
        <v>under $100</v>
      </c>
      <c r="G512">
        <f>COUNTIF(a.nike.original.man[Product_ID], A512)</f>
        <v>1</v>
      </c>
      <c r="H512" t="str" cm="1">
        <f t="array" ref="H512">_xlfn.IFS(b.nike.views[[#This Row],[Review_Count]]&lt;=7, "Below Average",b.nike.views[[#This Row],[Review_Count]]&gt;=8, "Average +")</f>
        <v>Below Average</v>
      </c>
      <c r="I512">
        <f>SUMIF(a.nike.original.man[Product_ID],b.nike.views[[#This Row],[product_ID]], a.nike.original.man[Reviews])</f>
        <v>0</v>
      </c>
      <c r="J512" s="41">
        <f>_xlfn.XLOOKUP(b.nike.views[[#This Row],[product_ID]],a.nike.original.man[Product_ID], a.nike.original.man[Discount %], "Not Found")</f>
        <v>0.3</v>
      </c>
      <c r="K512" s="41"/>
      <c r="L512" t="s">
        <v>1470</v>
      </c>
    </row>
    <row r="513" spans="1:12" x14ac:dyDescent="0.2">
      <c r="A513" t="s">
        <v>1175</v>
      </c>
      <c r="B513" t="str">
        <f>_xlfn.XLOOKUP(b.nike.views[[#This Row],[product_ID]], a.nike.original.man[Product_ID], a.nike.original.man[Product Name], "Not Found")</f>
        <v>Air Jordan 11 Low</v>
      </c>
      <c r="C513" s="5" t="str">
        <f>_xlfn.XLOOKUP(b.nike.views[[#This Row],[product_ID]], a.nike.original.man[Product_ID], a.nike.original.man[Rating_Group], "Not Found")</f>
        <v>0 - 2.9</v>
      </c>
      <c r="D513">
        <f>_xlfn.XLOOKUP(b.nike.views[[#This Row],[product_ID]], a.nike.original.man[Product_ID], a.nike.original.man[Rating], "Not Found")</f>
        <v>0</v>
      </c>
      <c r="E513" s="10">
        <f>ROUND(_xlfn.XLOOKUP(b.nike.views[[#This Row],[product_ID]], a.nike.original.man[Product_ID], a.nike.original.man[Sale Price], "Not Found"), 0)</f>
        <v>136</v>
      </c>
      <c r="F513" s="5" t="str" cm="1">
        <f t="array" ref="F513">_xlfn.IFS(b.nike.views[[#This Row],[Sales_Price]]&lt;=9, "under $10",b.nike.views[[#This Row],[Sales_Price]]&lt;=20, "$20 and under",b.nike.views[[#This Row],[Sales_Price]]&lt;=50, "$50 and under", b.nike.views[[#This Row],[Sales_Price]]&lt;=99, "under $100", b.nike.views[[#This Row],[Sales_Price]]&gt;=100, "$100 +")</f>
        <v>$100 +</v>
      </c>
      <c r="G513">
        <f>COUNTIF(a.nike.original.man[Product_ID], A513)</f>
        <v>1</v>
      </c>
      <c r="H513" t="str" cm="1">
        <f t="array" ref="H513">_xlfn.IFS(b.nike.views[[#This Row],[Review_Count]]&lt;=7, "Below Average",b.nike.views[[#This Row],[Review_Count]]&gt;=8, "Average +")</f>
        <v>Below Average</v>
      </c>
      <c r="I513">
        <f>SUMIF(a.nike.original.man[Product_ID],b.nike.views[[#This Row],[product_ID]], a.nike.original.man[Reviews])</f>
        <v>0</v>
      </c>
      <c r="J513" s="41">
        <f>_xlfn.XLOOKUP(b.nike.views[[#This Row],[product_ID]],a.nike.original.man[Product_ID], a.nike.original.man[Discount %], "Not Found")</f>
        <v>0.2</v>
      </c>
      <c r="K513" s="41"/>
      <c r="L513" t="s">
        <v>1470</v>
      </c>
    </row>
    <row r="514" spans="1:12" x14ac:dyDescent="0.2">
      <c r="A514" t="s">
        <v>1177</v>
      </c>
      <c r="B514" t="str">
        <f>_xlfn.XLOOKUP(b.nike.views[[#This Row],[product_ID]], a.nike.original.man[Product_ID], a.nike.original.man[Product Name], "Not Found")</f>
        <v>Nike Daybreak</v>
      </c>
      <c r="C514" s="5" t="str">
        <f>_xlfn.XLOOKUP(b.nike.views[[#This Row],[product_ID]], a.nike.original.man[Product_ID], a.nike.original.man[Rating_Group], "Not Found")</f>
        <v>0 - 2.9</v>
      </c>
      <c r="D514">
        <f>_xlfn.XLOOKUP(b.nike.views[[#This Row],[product_ID]], a.nike.original.man[Product_ID], a.nike.original.man[Rating], "Not Found")</f>
        <v>0</v>
      </c>
      <c r="E514" s="10">
        <f>ROUND(_xlfn.XLOOKUP(b.nike.views[[#This Row],[product_ID]], a.nike.original.man[Product_ID], a.nike.original.man[Sale Price], "Not Found"), 0)</f>
        <v>100</v>
      </c>
      <c r="F514" s="5" t="str" cm="1">
        <f t="array" ref="F514">_xlfn.IFS(b.nike.views[[#This Row],[Sales_Price]]&lt;=9, "under $10",b.nike.views[[#This Row],[Sales_Price]]&lt;=20, "$20 and under",b.nike.views[[#This Row],[Sales_Price]]&lt;=50, "$50 and under", b.nike.views[[#This Row],[Sales_Price]]&lt;=99, "under $100", b.nike.views[[#This Row],[Sales_Price]]&gt;=100, "$100 +")</f>
        <v>$100 +</v>
      </c>
      <c r="G514">
        <f>COUNTIF(a.nike.original.man[Product_ID], A514)</f>
        <v>1</v>
      </c>
      <c r="H514" t="str" cm="1">
        <f t="array" ref="H514">_xlfn.IFS(b.nike.views[[#This Row],[Review_Count]]&lt;=7, "Below Average",b.nike.views[[#This Row],[Review_Count]]&gt;=8, "Average +")</f>
        <v>Below Average</v>
      </c>
      <c r="I514">
        <f>SUMIF(a.nike.original.man[Product_ID],b.nike.views[[#This Row],[product_ID]], a.nike.original.man[Reviews])</f>
        <v>0</v>
      </c>
      <c r="J514" s="41">
        <f>_xlfn.XLOOKUP(b.nike.views[[#This Row],[product_ID]],a.nike.original.man[Product_ID], a.nike.original.man[Discount %], "Not Found")</f>
        <v>0</v>
      </c>
      <c r="K514" s="41"/>
      <c r="L514" t="s">
        <v>1470</v>
      </c>
    </row>
    <row r="515" spans="1:12" x14ac:dyDescent="0.2">
      <c r="A515" t="s">
        <v>1197</v>
      </c>
      <c r="B515" t="str">
        <f>_xlfn.XLOOKUP(b.nike.views[[#This Row],[product_ID]], a.nike.original.man[Product_ID], a.nike.original.man[Product Name], "Not Found")</f>
        <v>Nike Zoom Rival Fly 2</v>
      </c>
      <c r="C515" s="5" t="str">
        <f>_xlfn.XLOOKUP(b.nike.views[[#This Row],[product_ID]], a.nike.original.man[Product_ID], a.nike.original.man[Rating_Group], "Not Found")</f>
        <v>0 - 2.9</v>
      </c>
      <c r="D515">
        <f>_xlfn.XLOOKUP(b.nike.views[[#This Row],[product_ID]], a.nike.original.man[Product_ID], a.nike.original.man[Rating], "Not Found")</f>
        <v>0</v>
      </c>
      <c r="E515" s="10">
        <f>ROUND(_xlfn.XLOOKUP(b.nike.views[[#This Row],[product_ID]], a.nike.original.man[Product_ID], a.nike.original.man[Sale Price], "Not Found"), 0)</f>
        <v>80</v>
      </c>
      <c r="F515" s="5" t="str" cm="1">
        <f t="array" ref="F515">_xlfn.IFS(b.nike.views[[#This Row],[Sales_Price]]&lt;=9, "under $10",b.nike.views[[#This Row],[Sales_Price]]&lt;=20, "$20 and under",b.nike.views[[#This Row],[Sales_Price]]&lt;=50, "$50 and under", b.nike.views[[#This Row],[Sales_Price]]&lt;=99, "under $100", b.nike.views[[#This Row],[Sales_Price]]&gt;=100, "$100 +")</f>
        <v>under $100</v>
      </c>
      <c r="G515">
        <f>COUNTIF(a.nike.original.man[Product_ID], A515)</f>
        <v>1</v>
      </c>
      <c r="H515" t="str" cm="1">
        <f t="array" ref="H515">_xlfn.IFS(b.nike.views[[#This Row],[Review_Count]]&lt;=7, "Below Average",b.nike.views[[#This Row],[Review_Count]]&gt;=8, "Average +")</f>
        <v>Below Average</v>
      </c>
      <c r="I515">
        <f>SUMIF(a.nike.original.man[Product_ID],b.nike.views[[#This Row],[product_ID]], a.nike.original.man[Reviews])</f>
        <v>0</v>
      </c>
      <c r="J515" s="41">
        <f>_xlfn.XLOOKUP(b.nike.views[[#This Row],[product_ID]],a.nike.original.man[Product_ID], a.nike.original.man[Discount %], "Not Found")</f>
        <v>0</v>
      </c>
      <c r="K515" s="41"/>
      <c r="L515" t="s">
        <v>1470</v>
      </c>
    </row>
    <row r="516" spans="1:12" x14ac:dyDescent="0.2">
      <c r="A516" t="s">
        <v>1200</v>
      </c>
      <c r="B516" t="str">
        <f>_xlfn.XLOOKUP(b.nike.views[[#This Row],[product_ID]], a.nike.original.man[Product_ID], a.nike.original.man[Product Name], "Not Found")</f>
        <v>Nike x Olivia Kim Air Mowabb</v>
      </c>
      <c r="C516" s="5" t="str">
        <f>_xlfn.XLOOKUP(b.nike.views[[#This Row],[product_ID]], a.nike.original.man[Product_ID], a.nike.original.man[Rating_Group], "Not Found")</f>
        <v>0 - 2.9</v>
      </c>
      <c r="D516">
        <f>_xlfn.XLOOKUP(b.nike.views[[#This Row],[product_ID]], a.nike.original.man[Product_ID], a.nike.original.man[Rating], "Not Found")</f>
        <v>0</v>
      </c>
      <c r="E516" s="10">
        <f>ROUND(_xlfn.XLOOKUP(b.nike.views[[#This Row],[product_ID]], a.nike.original.man[Product_ID], a.nike.original.man[Sale Price], "Not Found"), 0)</f>
        <v>112</v>
      </c>
      <c r="F516" s="5" t="str" cm="1">
        <f t="array" ref="F516">_xlfn.IFS(b.nike.views[[#This Row],[Sales_Price]]&lt;=9, "under $10",b.nike.views[[#This Row],[Sales_Price]]&lt;=20, "$20 and under",b.nike.views[[#This Row],[Sales_Price]]&lt;=50, "$50 and under", b.nike.views[[#This Row],[Sales_Price]]&lt;=99, "under $100", b.nike.views[[#This Row],[Sales_Price]]&gt;=100, "$100 +")</f>
        <v>$100 +</v>
      </c>
      <c r="G516">
        <f>COUNTIF(a.nike.original.man[Product_ID], A516)</f>
        <v>1</v>
      </c>
      <c r="H516" t="str" cm="1">
        <f t="array" ref="H516">_xlfn.IFS(b.nike.views[[#This Row],[Review_Count]]&lt;=7, "Below Average",b.nike.views[[#This Row],[Review_Count]]&gt;=8, "Average +")</f>
        <v>Below Average</v>
      </c>
      <c r="I516">
        <f>SUMIF(a.nike.original.man[Product_ID],b.nike.views[[#This Row],[product_ID]], a.nike.original.man[Reviews])</f>
        <v>0</v>
      </c>
      <c r="J516" s="41">
        <f>_xlfn.XLOOKUP(b.nike.views[[#This Row],[product_ID]],a.nike.original.man[Product_ID], a.nike.original.man[Discount %], "Not Found")</f>
        <v>0.3</v>
      </c>
      <c r="K516" s="41"/>
      <c r="L516" t="s">
        <v>1470</v>
      </c>
    </row>
    <row r="517" spans="1:12" x14ac:dyDescent="0.2">
      <c r="A517" t="s">
        <v>1203</v>
      </c>
      <c r="B517" t="str">
        <f>_xlfn.XLOOKUP(b.nike.views[[#This Row],[product_ID]], a.nike.original.man[Product_ID], a.nike.original.man[Product Name], "Not Found")</f>
        <v>Nike Offcourt SE</v>
      </c>
      <c r="C517" s="5" t="str">
        <f>_xlfn.XLOOKUP(b.nike.views[[#This Row],[product_ID]], a.nike.original.man[Product_ID], a.nike.original.man[Rating_Group], "Not Found")</f>
        <v>0 - 2.9</v>
      </c>
      <c r="D517">
        <f>_xlfn.XLOOKUP(b.nike.views[[#This Row],[product_ID]], a.nike.original.man[Product_ID], a.nike.original.man[Rating], "Not Found")</f>
        <v>0</v>
      </c>
      <c r="E517" s="10">
        <f>ROUND(_xlfn.XLOOKUP(b.nike.views[[#This Row],[product_ID]], a.nike.original.man[Product_ID], a.nike.original.man[Sale Price], "Not Found"), 0)</f>
        <v>30</v>
      </c>
      <c r="F517" s="5" t="str" cm="1">
        <f t="array" ref="F517">_xlfn.IFS(b.nike.views[[#This Row],[Sales_Price]]&lt;=9, "under $10",b.nike.views[[#This Row],[Sales_Price]]&lt;=20, "$20 and under",b.nike.views[[#This Row],[Sales_Price]]&lt;=50, "$50 and under", b.nike.views[[#This Row],[Sales_Price]]&lt;=99, "under $100", b.nike.views[[#This Row],[Sales_Price]]&gt;=100, "$100 +")</f>
        <v>$50 and under</v>
      </c>
      <c r="G517">
        <f>COUNTIF(a.nike.original.man[Product_ID], A517)</f>
        <v>1</v>
      </c>
      <c r="H517" t="str" cm="1">
        <f t="array" ref="H517">_xlfn.IFS(b.nike.views[[#This Row],[Review_Count]]&lt;=7, "Below Average",b.nike.views[[#This Row],[Review_Count]]&gt;=8, "Average +")</f>
        <v>Below Average</v>
      </c>
      <c r="I517">
        <f>SUMIF(a.nike.original.man[Product_ID],b.nike.views[[#This Row],[product_ID]], a.nike.original.man[Reviews])</f>
        <v>0</v>
      </c>
      <c r="J517" s="41">
        <f>_xlfn.XLOOKUP(b.nike.views[[#This Row],[product_ID]],a.nike.original.man[Product_ID], a.nike.original.man[Discount %], "Not Found")</f>
        <v>0</v>
      </c>
      <c r="K517" s="41"/>
      <c r="L517" t="s">
        <v>1470</v>
      </c>
    </row>
    <row r="518" spans="1:12" x14ac:dyDescent="0.2">
      <c r="A518" t="s">
        <v>1206</v>
      </c>
      <c r="B518" t="str">
        <f>_xlfn.XLOOKUP(b.nike.views[[#This Row],[product_ID]], a.nike.original.man[Product_ID], a.nike.original.man[Product Name], "Not Found")</f>
        <v>Nike Air Max 97</v>
      </c>
      <c r="C518" s="5" t="str">
        <f>_xlfn.XLOOKUP(b.nike.views[[#This Row],[product_ID]], a.nike.original.man[Product_ID], a.nike.original.man[Rating_Group], "Not Found")</f>
        <v>0 - 2.9</v>
      </c>
      <c r="D518">
        <f>_xlfn.XLOOKUP(b.nike.views[[#This Row],[product_ID]], a.nike.original.man[Product_ID], a.nike.original.man[Rating], "Not Found")</f>
        <v>0</v>
      </c>
      <c r="E518" s="10">
        <f>ROUND(_xlfn.XLOOKUP(b.nike.views[[#This Row],[product_ID]], a.nike.original.man[Product_ID], a.nike.original.man[Sale Price], "Not Found"), 0)</f>
        <v>96</v>
      </c>
      <c r="F518" s="5" t="str" cm="1">
        <f t="array" ref="F518">_xlfn.IFS(b.nike.views[[#This Row],[Sales_Price]]&lt;=9, "under $10",b.nike.views[[#This Row],[Sales_Price]]&lt;=20, "$20 and under",b.nike.views[[#This Row],[Sales_Price]]&lt;=50, "$50 and under", b.nike.views[[#This Row],[Sales_Price]]&lt;=99, "under $100", b.nike.views[[#This Row],[Sales_Price]]&gt;=100, "$100 +")</f>
        <v>under $100</v>
      </c>
      <c r="G518">
        <f>COUNTIF(a.nike.original.man[Product_ID], A518)</f>
        <v>1</v>
      </c>
      <c r="H518" t="str" cm="1">
        <f t="array" ref="H518">_xlfn.IFS(b.nike.views[[#This Row],[Review_Count]]&lt;=7, "Below Average",b.nike.views[[#This Row],[Review_Count]]&gt;=8, "Average +")</f>
        <v>Below Average</v>
      </c>
      <c r="I518">
        <f>SUMIF(a.nike.original.man[Product_ID],b.nike.views[[#This Row],[product_ID]], a.nike.original.man[Reviews])</f>
        <v>0</v>
      </c>
      <c r="J518" s="41">
        <f>_xlfn.XLOOKUP(b.nike.views[[#This Row],[product_ID]],a.nike.original.man[Product_ID], a.nike.original.man[Discount %], "Not Found")</f>
        <v>0.4</v>
      </c>
      <c r="K518" s="41"/>
      <c r="L518" t="s">
        <v>1470</v>
      </c>
    </row>
    <row r="519" spans="1:12" x14ac:dyDescent="0.2">
      <c r="A519" t="s">
        <v>1220</v>
      </c>
      <c r="B519" t="str">
        <f>_xlfn.XLOOKUP(b.nike.views[[#This Row],[product_ID]], a.nike.original.man[Product_ID], a.nike.original.man[Product Name], "Not Found")</f>
        <v>Nike Mercurial Vapor 13 Academy TF</v>
      </c>
      <c r="C519" s="5" t="str">
        <f>_xlfn.XLOOKUP(b.nike.views[[#This Row],[product_ID]], a.nike.original.man[Product_ID], a.nike.original.man[Rating_Group], "Not Found")</f>
        <v>0 - 2.9</v>
      </c>
      <c r="D519">
        <f>_xlfn.XLOOKUP(b.nike.views[[#This Row],[product_ID]], a.nike.original.man[Product_ID], a.nike.original.man[Rating], "Not Found")</f>
        <v>0</v>
      </c>
      <c r="E519" s="10">
        <f>ROUND(_xlfn.XLOOKUP(b.nike.views[[#This Row],[product_ID]], a.nike.original.man[Product_ID], a.nike.original.man[Sale Price], "Not Found"), 0)</f>
        <v>52</v>
      </c>
      <c r="F519" s="5" t="str" cm="1">
        <f t="array" ref="F519">_xlfn.IFS(b.nike.views[[#This Row],[Sales_Price]]&lt;=9, "under $10",b.nike.views[[#This Row],[Sales_Price]]&lt;=20, "$20 and under",b.nike.views[[#This Row],[Sales_Price]]&lt;=50, "$50 and under", b.nike.views[[#This Row],[Sales_Price]]&lt;=99, "under $100", b.nike.views[[#This Row],[Sales_Price]]&gt;=100, "$100 +")</f>
        <v>under $100</v>
      </c>
      <c r="G519">
        <f>COUNTIF(a.nike.original.man[Product_ID], A519)</f>
        <v>1</v>
      </c>
      <c r="H519" t="str" cm="1">
        <f t="array" ref="H519">_xlfn.IFS(b.nike.views[[#This Row],[Review_Count]]&lt;=7, "Below Average",b.nike.views[[#This Row],[Review_Count]]&gt;=8, "Average +")</f>
        <v>Below Average</v>
      </c>
      <c r="I519">
        <f>SUMIF(a.nike.original.man[Product_ID],b.nike.views[[#This Row],[product_ID]], a.nike.original.man[Reviews])</f>
        <v>0</v>
      </c>
      <c r="J519" s="41">
        <f>_xlfn.XLOOKUP(b.nike.views[[#This Row],[product_ID]],a.nike.original.man[Product_ID], a.nike.original.man[Discount %], "Not Found")</f>
        <v>0.3</v>
      </c>
      <c r="K519" s="41"/>
      <c r="L519" t="s">
        <v>1470</v>
      </c>
    </row>
    <row r="520" spans="1:12" x14ac:dyDescent="0.2">
      <c r="A520" t="s">
        <v>1227</v>
      </c>
      <c r="B520" t="str">
        <f>_xlfn.XLOOKUP(b.nike.views[[#This Row],[product_ID]], a.nike.original.man[Product_ID], a.nike.original.man[Product Name], "Not Found")</f>
        <v>Nike SB Alleyoop</v>
      </c>
      <c r="C520" s="5" t="str">
        <f>_xlfn.XLOOKUP(b.nike.views[[#This Row],[product_ID]], a.nike.original.man[Product_ID], a.nike.original.man[Rating_Group], "Not Found")</f>
        <v>0 - 2.9</v>
      </c>
      <c r="D520">
        <f>_xlfn.XLOOKUP(b.nike.views[[#This Row],[product_ID]], a.nike.original.man[Product_ID], a.nike.original.man[Rating], "Not Found")</f>
        <v>0</v>
      </c>
      <c r="E520" s="10">
        <f>ROUND(_xlfn.XLOOKUP(b.nike.views[[#This Row],[product_ID]], a.nike.original.man[Product_ID], a.nike.original.man[Sale Price], "Not Found"), 0)</f>
        <v>65</v>
      </c>
      <c r="F520" s="5" t="str" cm="1">
        <f t="array" ref="F520">_xlfn.IFS(b.nike.views[[#This Row],[Sales_Price]]&lt;=9, "under $10",b.nike.views[[#This Row],[Sales_Price]]&lt;=20, "$20 and under",b.nike.views[[#This Row],[Sales_Price]]&lt;=50, "$50 and under", b.nike.views[[#This Row],[Sales_Price]]&lt;=99, "under $100", b.nike.views[[#This Row],[Sales_Price]]&gt;=100, "$100 +")</f>
        <v>under $100</v>
      </c>
      <c r="G520">
        <f>COUNTIF(a.nike.original.man[Product_ID], A520)</f>
        <v>2</v>
      </c>
      <c r="H520" t="str" cm="1">
        <f t="array" ref="H520">_xlfn.IFS(b.nike.views[[#This Row],[Review_Count]]&lt;=7, "Below Average",b.nike.views[[#This Row],[Review_Count]]&gt;=8, "Average +")</f>
        <v>Below Average</v>
      </c>
      <c r="I520">
        <f>SUMIF(a.nike.original.man[Product_ID],b.nike.views[[#This Row],[product_ID]], a.nike.original.man[Reviews])</f>
        <v>0</v>
      </c>
      <c r="J520" s="41">
        <f>_xlfn.XLOOKUP(b.nike.views[[#This Row],[product_ID]],a.nike.original.man[Product_ID], a.nike.original.man[Discount %], "Not Found")</f>
        <v>0</v>
      </c>
      <c r="K520" s="41"/>
      <c r="L520" t="s">
        <v>1470</v>
      </c>
    </row>
    <row r="521" spans="1:12" x14ac:dyDescent="0.2">
      <c r="A521" t="s">
        <v>1233</v>
      </c>
      <c r="B521" t="str">
        <f>_xlfn.XLOOKUP(b.nike.views[[#This Row],[product_ID]], a.nike.original.man[Product_ID], a.nike.original.man[Product Name], "Not Found")</f>
        <v>Nike Phantom Vision Academy Dynamic Fit IC</v>
      </c>
      <c r="C521" s="5" t="str">
        <f>_xlfn.XLOOKUP(b.nike.views[[#This Row],[product_ID]], a.nike.original.man[Product_ID], a.nike.original.man[Rating_Group], "Not Found")</f>
        <v>0 - 2.9</v>
      </c>
      <c r="D521">
        <f>_xlfn.XLOOKUP(b.nike.views[[#This Row],[product_ID]], a.nike.original.man[Product_ID], a.nike.original.man[Rating], "Not Found")</f>
        <v>0</v>
      </c>
      <c r="E521" s="10">
        <f>ROUND(_xlfn.XLOOKUP(b.nike.views[[#This Row],[product_ID]], a.nike.original.man[Product_ID], a.nike.original.man[Sale Price], "Not Found"), 0)</f>
        <v>68</v>
      </c>
      <c r="F521" s="5" t="str" cm="1">
        <f t="array" ref="F521">_xlfn.IFS(b.nike.views[[#This Row],[Sales_Price]]&lt;=9, "under $10",b.nike.views[[#This Row],[Sales_Price]]&lt;=20, "$20 and under",b.nike.views[[#This Row],[Sales_Price]]&lt;=50, "$50 and under", b.nike.views[[#This Row],[Sales_Price]]&lt;=99, "under $100", b.nike.views[[#This Row],[Sales_Price]]&gt;=100, "$100 +")</f>
        <v>under $100</v>
      </c>
      <c r="G521">
        <f>COUNTIF(a.nike.original.man[Product_ID], A521)</f>
        <v>2</v>
      </c>
      <c r="H521" t="str" cm="1">
        <f t="array" ref="H521">_xlfn.IFS(b.nike.views[[#This Row],[Review_Count]]&lt;=7, "Below Average",b.nike.views[[#This Row],[Review_Count]]&gt;=8, "Average +")</f>
        <v>Below Average</v>
      </c>
      <c r="I521">
        <f>SUMIF(a.nike.original.man[Product_ID],b.nike.views[[#This Row],[product_ID]], a.nike.original.man[Reviews])</f>
        <v>0</v>
      </c>
      <c r="J521" s="41">
        <f>_xlfn.XLOOKUP(b.nike.views[[#This Row],[product_ID]],a.nike.original.man[Product_ID], a.nike.original.man[Discount %], "Not Found")</f>
        <v>0.2</v>
      </c>
      <c r="K521" s="41"/>
      <c r="L521" t="s">
        <v>1470</v>
      </c>
    </row>
    <row r="522" spans="1:12" x14ac:dyDescent="0.2">
      <c r="A522" t="s">
        <v>1247</v>
      </c>
      <c r="B522" t="str">
        <f>_xlfn.XLOOKUP(b.nike.views[[#This Row],[product_ID]], a.nike.original.man[Product_ID], a.nike.original.man[Product Name], "Not Found")</f>
        <v>Nike Air Zoom Pegasus 36</v>
      </c>
      <c r="C522" s="5" t="str">
        <f>_xlfn.XLOOKUP(b.nike.views[[#This Row],[product_ID]], a.nike.original.man[Product_ID], a.nike.original.man[Rating_Group], "Not Found")</f>
        <v>0 - 2.9</v>
      </c>
      <c r="D522">
        <f>_xlfn.XLOOKUP(b.nike.views[[#This Row],[product_ID]], a.nike.original.man[Product_ID], a.nike.original.man[Rating], "Not Found")</f>
        <v>0</v>
      </c>
      <c r="E522" s="10">
        <f>ROUND(_xlfn.XLOOKUP(b.nike.views[[#This Row],[product_ID]], a.nike.original.man[Product_ID], a.nike.original.man[Sale Price], "Not Found"), 0)</f>
        <v>66</v>
      </c>
      <c r="F522" s="5" t="str" cm="1">
        <f t="array" ref="F522">_xlfn.IFS(b.nike.views[[#This Row],[Sales_Price]]&lt;=9, "under $10",b.nike.views[[#This Row],[Sales_Price]]&lt;=20, "$20 and under",b.nike.views[[#This Row],[Sales_Price]]&lt;=50, "$50 and under", b.nike.views[[#This Row],[Sales_Price]]&lt;=99, "under $100", b.nike.views[[#This Row],[Sales_Price]]&gt;=100, "$100 +")</f>
        <v>under $100</v>
      </c>
      <c r="G522">
        <f>COUNTIF(a.nike.original.man[Product_ID], A522)</f>
        <v>1</v>
      </c>
      <c r="H522" t="str" cm="1">
        <f t="array" ref="H522">_xlfn.IFS(b.nike.views[[#This Row],[Review_Count]]&lt;=7, "Below Average",b.nike.views[[#This Row],[Review_Count]]&gt;=8, "Average +")</f>
        <v>Below Average</v>
      </c>
      <c r="I522">
        <f>SUMIF(a.nike.original.man[Product_ID],b.nike.views[[#This Row],[product_ID]], a.nike.original.man[Reviews])</f>
        <v>0</v>
      </c>
      <c r="J522" s="41">
        <f>_xlfn.XLOOKUP(b.nike.views[[#This Row],[product_ID]],a.nike.original.man[Product_ID], a.nike.original.man[Discount %], "Not Found")</f>
        <v>0.4</v>
      </c>
      <c r="K522" s="41"/>
      <c r="L522" t="s">
        <v>1470</v>
      </c>
    </row>
    <row r="523" spans="1:12" x14ac:dyDescent="0.2">
      <c r="A523" t="s">
        <v>1249</v>
      </c>
      <c r="B523" t="str">
        <f>_xlfn.XLOOKUP(b.nike.views[[#This Row],[product_ID]], a.nike.original.man[Product_ID], a.nike.original.man[Product Name], "Not Found")</f>
        <v>Nike Air Max Tailwind IV SE</v>
      </c>
      <c r="C523" s="5" t="str">
        <f>_xlfn.XLOOKUP(b.nike.views[[#This Row],[product_ID]], a.nike.original.man[Product_ID], a.nike.original.man[Rating_Group], "Not Found")</f>
        <v>0 - 2.9</v>
      </c>
      <c r="D523">
        <f>_xlfn.XLOOKUP(b.nike.views[[#This Row],[product_ID]], a.nike.original.man[Product_ID], a.nike.original.man[Rating], "Not Found")</f>
        <v>0</v>
      </c>
      <c r="E523" s="10">
        <f>ROUND(_xlfn.XLOOKUP(b.nike.views[[#This Row],[product_ID]], a.nike.original.man[Product_ID], a.nike.original.man[Sale Price], "Not Found"), 0)</f>
        <v>105</v>
      </c>
      <c r="F523" s="5" t="str" cm="1">
        <f t="array" ref="F523">_xlfn.IFS(b.nike.views[[#This Row],[Sales_Price]]&lt;=9, "under $10",b.nike.views[[#This Row],[Sales_Price]]&lt;=20, "$20 and under",b.nike.views[[#This Row],[Sales_Price]]&lt;=50, "$50 and under", b.nike.views[[#This Row],[Sales_Price]]&lt;=99, "under $100", b.nike.views[[#This Row],[Sales_Price]]&gt;=100, "$100 +")</f>
        <v>$100 +</v>
      </c>
      <c r="G523">
        <f>COUNTIF(a.nike.original.man[Product_ID], A523)</f>
        <v>1</v>
      </c>
      <c r="H523" t="str" cm="1">
        <f t="array" ref="H523">_xlfn.IFS(b.nike.views[[#This Row],[Review_Count]]&lt;=7, "Below Average",b.nike.views[[#This Row],[Review_Count]]&gt;=8, "Average +")</f>
        <v>Below Average</v>
      </c>
      <c r="I523">
        <f>SUMIF(a.nike.original.man[Product_ID],b.nike.views[[#This Row],[product_ID]], a.nike.original.man[Reviews])</f>
        <v>0</v>
      </c>
      <c r="J523" s="41">
        <f>_xlfn.XLOOKUP(b.nike.views[[#This Row],[product_ID]],a.nike.original.man[Product_ID], a.nike.original.man[Discount %], "Not Found")</f>
        <v>0.3</v>
      </c>
      <c r="K523" s="41"/>
      <c r="L523" t="s">
        <v>1470</v>
      </c>
    </row>
    <row r="524" spans="1:12" x14ac:dyDescent="0.2">
      <c r="A524" t="s">
        <v>1260</v>
      </c>
      <c r="B524" t="str">
        <f>_xlfn.XLOOKUP(b.nike.views[[#This Row],[product_ID]], a.nike.original.man[Product_ID], a.nike.original.man[Product Name], "Not Found")</f>
        <v>Nike Air Max Tailwind IV</v>
      </c>
      <c r="C524" s="5" t="str">
        <f>_xlfn.XLOOKUP(b.nike.views[[#This Row],[product_ID]], a.nike.original.man[Product_ID], a.nike.original.man[Rating_Group], "Not Found")</f>
        <v>0 - 2.9</v>
      </c>
      <c r="D524">
        <f>_xlfn.XLOOKUP(b.nike.views[[#This Row],[product_ID]], a.nike.original.man[Product_ID], a.nike.original.man[Rating], "Not Found")</f>
        <v>0</v>
      </c>
      <c r="E524" s="10">
        <f>ROUND(_xlfn.XLOOKUP(b.nike.views[[#This Row],[product_ID]], a.nike.original.man[Product_ID], a.nike.original.man[Sale Price], "Not Found"), 0)</f>
        <v>112</v>
      </c>
      <c r="F524" s="5" t="str" cm="1">
        <f t="array" ref="F524">_xlfn.IFS(b.nike.views[[#This Row],[Sales_Price]]&lt;=9, "under $10",b.nike.views[[#This Row],[Sales_Price]]&lt;=20, "$20 and under",b.nike.views[[#This Row],[Sales_Price]]&lt;=50, "$50 and under", b.nike.views[[#This Row],[Sales_Price]]&lt;=99, "under $100", b.nike.views[[#This Row],[Sales_Price]]&gt;=100, "$100 +")</f>
        <v>$100 +</v>
      </c>
      <c r="G524">
        <f>COUNTIF(a.nike.original.man[Product_ID], A524)</f>
        <v>1</v>
      </c>
      <c r="H524" t="str" cm="1">
        <f t="array" ref="H524">_xlfn.IFS(b.nike.views[[#This Row],[Review_Count]]&lt;=7, "Below Average",b.nike.views[[#This Row],[Review_Count]]&gt;=8, "Average +")</f>
        <v>Below Average</v>
      </c>
      <c r="I524">
        <f>SUMIF(a.nike.original.man[Product_ID],b.nike.views[[#This Row],[product_ID]], a.nike.original.man[Reviews])</f>
        <v>0</v>
      </c>
      <c r="J524" s="41">
        <f>_xlfn.XLOOKUP(b.nike.views[[#This Row],[product_ID]],a.nike.original.man[Product_ID], a.nike.original.man[Discount %], "Not Found")</f>
        <v>0.3</v>
      </c>
      <c r="K524" s="41"/>
      <c r="L524" t="s">
        <v>1470</v>
      </c>
    </row>
    <row r="525" spans="1:12" x14ac:dyDescent="0.2">
      <c r="A525" t="s">
        <v>1265</v>
      </c>
      <c r="B525" t="str">
        <f>_xlfn.XLOOKUP(b.nike.views[[#This Row],[product_ID]], a.nike.original.man[Product_ID], a.nike.original.man[Product Name], "Not Found")</f>
        <v>Nike Mercurial Vapor 13 Academy MDS MG</v>
      </c>
      <c r="C525" s="5" t="str">
        <f>_xlfn.XLOOKUP(b.nike.views[[#This Row],[product_ID]], a.nike.original.man[Product_ID], a.nike.original.man[Rating_Group], "Not Found")</f>
        <v>0 - 2.9</v>
      </c>
      <c r="D525">
        <f>_xlfn.XLOOKUP(b.nike.views[[#This Row],[product_ID]], a.nike.original.man[Product_ID], a.nike.original.man[Rating], "Not Found")</f>
        <v>0</v>
      </c>
      <c r="E525" s="10">
        <f>ROUND(_xlfn.XLOOKUP(b.nike.views[[#This Row],[product_ID]], a.nike.original.man[Product_ID], a.nike.original.man[Sale Price], "Not Found"), 0)</f>
        <v>75</v>
      </c>
      <c r="F525" s="5" t="str" cm="1">
        <f t="array" ref="F525">_xlfn.IFS(b.nike.views[[#This Row],[Sales_Price]]&lt;=9, "under $10",b.nike.views[[#This Row],[Sales_Price]]&lt;=20, "$20 and under",b.nike.views[[#This Row],[Sales_Price]]&lt;=50, "$50 and under", b.nike.views[[#This Row],[Sales_Price]]&lt;=99, "under $100", b.nike.views[[#This Row],[Sales_Price]]&gt;=100, "$100 +")</f>
        <v>under $100</v>
      </c>
      <c r="G525">
        <f>COUNTIF(a.nike.original.man[Product_ID], A525)</f>
        <v>1</v>
      </c>
      <c r="H525" t="str" cm="1">
        <f t="array" ref="H525">_xlfn.IFS(b.nike.views[[#This Row],[Review_Count]]&lt;=7, "Below Average",b.nike.views[[#This Row],[Review_Count]]&gt;=8, "Average +")</f>
        <v>Below Average</v>
      </c>
      <c r="I525">
        <f>SUMIF(a.nike.original.man[Product_ID],b.nike.views[[#This Row],[product_ID]], a.nike.original.man[Reviews])</f>
        <v>0</v>
      </c>
      <c r="J525" s="41">
        <f>_xlfn.XLOOKUP(b.nike.views[[#This Row],[product_ID]],a.nike.original.man[Product_ID], a.nike.original.man[Discount %], "Not Found")</f>
        <v>0</v>
      </c>
      <c r="K525" s="41"/>
      <c r="L525" t="s">
        <v>1470</v>
      </c>
    </row>
    <row r="526" spans="1:12" x14ac:dyDescent="0.2">
      <c r="A526" t="s">
        <v>1279</v>
      </c>
      <c r="B526" t="str">
        <f>_xlfn.XLOOKUP(b.nike.views[[#This Row],[product_ID]], a.nike.original.man[Product_ID], a.nike.original.man[Product Name], "Not Found")</f>
        <v>Nike Air Max 90</v>
      </c>
      <c r="C526" s="5" t="str">
        <f>_xlfn.XLOOKUP(b.nike.views[[#This Row],[product_ID]], a.nike.original.man[Product_ID], a.nike.original.man[Rating_Group], "Not Found")</f>
        <v>0 - 2.9</v>
      </c>
      <c r="D526">
        <f>_xlfn.XLOOKUP(b.nike.views[[#This Row],[product_ID]], a.nike.original.man[Product_ID], a.nike.original.man[Rating], "Not Found")</f>
        <v>0</v>
      </c>
      <c r="E526" s="10">
        <f>ROUND(_xlfn.XLOOKUP(b.nike.views[[#This Row],[product_ID]], a.nike.original.man[Product_ID], a.nike.original.man[Sale Price], "Not Found"), 0)</f>
        <v>110</v>
      </c>
      <c r="F526" s="5" t="str" cm="1">
        <f t="array" ref="F526">_xlfn.IFS(b.nike.views[[#This Row],[Sales_Price]]&lt;=9, "under $10",b.nike.views[[#This Row],[Sales_Price]]&lt;=20, "$20 and under",b.nike.views[[#This Row],[Sales_Price]]&lt;=50, "$50 and under", b.nike.views[[#This Row],[Sales_Price]]&lt;=99, "under $100", b.nike.views[[#This Row],[Sales_Price]]&gt;=100, "$100 +")</f>
        <v>$100 +</v>
      </c>
      <c r="G526">
        <f>COUNTIF(a.nike.original.man[Product_ID], A526)</f>
        <v>1</v>
      </c>
      <c r="H526" t="str" cm="1">
        <f t="array" ref="H526">_xlfn.IFS(b.nike.views[[#This Row],[Review_Count]]&lt;=7, "Below Average",b.nike.views[[#This Row],[Review_Count]]&gt;=8, "Average +")</f>
        <v>Below Average</v>
      </c>
      <c r="I526">
        <f>SUMIF(a.nike.original.man[Product_ID],b.nike.views[[#This Row],[product_ID]], a.nike.original.man[Reviews])</f>
        <v>0</v>
      </c>
      <c r="J526" s="41">
        <f>_xlfn.XLOOKUP(b.nike.views[[#This Row],[product_ID]],a.nike.original.man[Product_ID], a.nike.original.man[Discount %], "Not Found")</f>
        <v>0</v>
      </c>
      <c r="K526" s="41"/>
      <c r="L526" t="s">
        <v>1470</v>
      </c>
    </row>
    <row r="527" spans="1:12" x14ac:dyDescent="0.2">
      <c r="A527" t="s">
        <v>1282</v>
      </c>
      <c r="B527" t="str">
        <f>_xlfn.XLOOKUP(b.nike.views[[#This Row],[product_ID]], a.nike.original.man[Product_ID], a.nike.original.man[Product Name], "Not Found")</f>
        <v>Nike Air VaporMax Flyknit 2 LXX</v>
      </c>
      <c r="C527" s="5" t="str">
        <f>_xlfn.XLOOKUP(b.nike.views[[#This Row],[product_ID]], a.nike.original.man[Product_ID], a.nike.original.man[Rating_Group], "Not Found")</f>
        <v>0 - 2.9</v>
      </c>
      <c r="D527">
        <f>_xlfn.XLOOKUP(b.nike.views[[#This Row],[product_ID]], a.nike.original.man[Product_ID], a.nike.original.man[Rating], "Not Found")</f>
        <v>0</v>
      </c>
      <c r="E527" s="10">
        <f>ROUND(_xlfn.XLOOKUP(b.nike.views[[#This Row],[product_ID]], a.nike.original.man[Product_ID], a.nike.original.man[Sale Price], "Not Found"), 0)</f>
        <v>365</v>
      </c>
      <c r="F527" s="5" t="str" cm="1">
        <f t="array" ref="F527">_xlfn.IFS(b.nike.views[[#This Row],[Sales_Price]]&lt;=9, "under $10",b.nike.views[[#This Row],[Sales_Price]]&lt;=20, "$20 and under",b.nike.views[[#This Row],[Sales_Price]]&lt;=50, "$50 and under", b.nike.views[[#This Row],[Sales_Price]]&lt;=99, "under $100", b.nike.views[[#This Row],[Sales_Price]]&gt;=100, "$100 +")</f>
        <v>$100 +</v>
      </c>
      <c r="G527">
        <f>COUNTIF(a.nike.original.man[Product_ID], A527)</f>
        <v>1</v>
      </c>
      <c r="H527" t="str" cm="1">
        <f t="array" ref="H527">_xlfn.IFS(b.nike.views[[#This Row],[Review_Count]]&lt;=7, "Below Average",b.nike.views[[#This Row],[Review_Count]]&gt;=8, "Average +")</f>
        <v>Below Average</v>
      </c>
      <c r="I527">
        <f>SUMIF(a.nike.original.man[Product_ID],b.nike.views[[#This Row],[product_ID]], a.nike.original.man[Reviews])</f>
        <v>0</v>
      </c>
      <c r="J527" s="41">
        <f>_xlfn.XLOOKUP(b.nike.views[[#This Row],[product_ID]],a.nike.original.man[Product_ID], a.nike.original.man[Discount %], "Not Found")</f>
        <v>0</v>
      </c>
      <c r="K527" s="41"/>
      <c r="L527" t="s">
        <v>1470</v>
      </c>
    </row>
    <row r="528" spans="1:12" x14ac:dyDescent="0.2">
      <c r="A528" t="s">
        <v>1291</v>
      </c>
      <c r="B528" t="str">
        <f>_xlfn.XLOOKUP(b.nike.views[[#This Row],[product_ID]], a.nike.original.man[Product_ID], a.nike.original.man[Product Name], "Not Found")</f>
        <v>Nike Metcon 5 Premium</v>
      </c>
      <c r="C528" s="5" t="str">
        <f>_xlfn.XLOOKUP(b.nike.views[[#This Row],[product_ID]], a.nike.original.man[Product_ID], a.nike.original.man[Rating_Group], "Not Found")</f>
        <v>0 - 2.9</v>
      </c>
      <c r="D528">
        <f>_xlfn.XLOOKUP(b.nike.views[[#This Row],[product_ID]], a.nike.original.man[Product_ID], a.nike.original.man[Rating], "Not Found")</f>
        <v>0</v>
      </c>
      <c r="E528" s="10">
        <f>ROUND(_xlfn.XLOOKUP(b.nike.views[[#This Row],[product_ID]], a.nike.original.man[Product_ID], a.nike.original.man[Sale Price], "Not Found"), 0)</f>
        <v>120</v>
      </c>
      <c r="F528" s="5" t="str" cm="1">
        <f t="array" ref="F528">_xlfn.IFS(b.nike.views[[#This Row],[Sales_Price]]&lt;=9, "under $10",b.nike.views[[#This Row],[Sales_Price]]&lt;=20, "$20 and under",b.nike.views[[#This Row],[Sales_Price]]&lt;=50, "$50 and under", b.nike.views[[#This Row],[Sales_Price]]&lt;=99, "under $100", b.nike.views[[#This Row],[Sales_Price]]&gt;=100, "$100 +")</f>
        <v>$100 +</v>
      </c>
      <c r="G528">
        <f>COUNTIF(a.nike.original.man[Product_ID], A528)</f>
        <v>1</v>
      </c>
      <c r="H528" t="str" cm="1">
        <f t="array" ref="H528">_xlfn.IFS(b.nike.views[[#This Row],[Review_Count]]&lt;=7, "Below Average",b.nike.views[[#This Row],[Review_Count]]&gt;=8, "Average +")</f>
        <v>Below Average</v>
      </c>
      <c r="I528">
        <f>SUMIF(a.nike.original.man[Product_ID],b.nike.views[[#This Row],[product_ID]], a.nike.original.man[Reviews])</f>
        <v>0</v>
      </c>
      <c r="J528" s="41">
        <f>_xlfn.XLOOKUP(b.nike.views[[#This Row],[product_ID]],a.nike.original.man[Product_ID], a.nike.original.man[Discount %], "Not Found")</f>
        <v>0</v>
      </c>
      <c r="K528" s="41"/>
      <c r="L528" t="s">
        <v>1470</v>
      </c>
    </row>
    <row r="529" spans="1:12" x14ac:dyDescent="0.2">
      <c r="A529" t="s">
        <v>1293</v>
      </c>
      <c r="B529" t="str">
        <f>_xlfn.XLOOKUP(b.nike.views[[#This Row],[product_ID]], a.nike.original.man[Product_ID], a.nike.original.man[Product Name], "Not Found")</f>
        <v>Nike Free RN 5.0</v>
      </c>
      <c r="C529" s="5" t="str">
        <f>_xlfn.XLOOKUP(b.nike.views[[#This Row],[product_ID]], a.nike.original.man[Product_ID], a.nike.original.man[Rating_Group], "Not Found")</f>
        <v>0 - 2.9</v>
      </c>
      <c r="D529">
        <f>_xlfn.XLOOKUP(b.nike.views[[#This Row],[product_ID]], a.nike.original.man[Product_ID], a.nike.original.man[Rating], "Not Found")</f>
        <v>0</v>
      </c>
      <c r="E529" s="10">
        <f>ROUND(_xlfn.XLOOKUP(b.nike.views[[#This Row],[product_ID]], a.nike.original.man[Product_ID], a.nike.original.man[Sale Price], "Not Found"), 0)</f>
        <v>54</v>
      </c>
      <c r="F529" s="5" t="str" cm="1">
        <f t="array" ref="F529">_xlfn.IFS(b.nike.views[[#This Row],[Sales_Price]]&lt;=9, "under $10",b.nike.views[[#This Row],[Sales_Price]]&lt;=20, "$20 and under",b.nike.views[[#This Row],[Sales_Price]]&lt;=50, "$50 and under", b.nike.views[[#This Row],[Sales_Price]]&lt;=99, "under $100", b.nike.views[[#This Row],[Sales_Price]]&gt;=100, "$100 +")</f>
        <v>under $100</v>
      </c>
      <c r="G529">
        <f>COUNTIF(a.nike.original.man[Product_ID], A529)</f>
        <v>1</v>
      </c>
      <c r="H529" t="str" cm="1">
        <f t="array" ref="H529">_xlfn.IFS(b.nike.views[[#This Row],[Review_Count]]&lt;=7, "Below Average",b.nike.views[[#This Row],[Review_Count]]&gt;=8, "Average +")</f>
        <v>Below Average</v>
      </c>
      <c r="I529">
        <f>SUMIF(a.nike.original.man[Product_ID],b.nike.views[[#This Row],[product_ID]], a.nike.original.man[Reviews])</f>
        <v>0</v>
      </c>
      <c r="J529" s="41">
        <f>_xlfn.XLOOKUP(b.nike.views[[#This Row],[product_ID]],a.nike.original.man[Product_ID], a.nike.original.man[Discount %], "Not Found")</f>
        <v>0.4</v>
      </c>
      <c r="K529" s="41"/>
      <c r="L529" t="s">
        <v>1470</v>
      </c>
    </row>
    <row r="530" spans="1:12" x14ac:dyDescent="0.2">
      <c r="A530" t="s">
        <v>1295</v>
      </c>
      <c r="B530" t="str">
        <f>_xlfn.XLOOKUP(b.nike.views[[#This Row],[product_ID]], a.nike.original.man[Product_ID], a.nike.original.man[Product Name], "Not Found")</f>
        <v>Nike Zoom Rival Fly</v>
      </c>
      <c r="C530" s="5" t="str">
        <f>_xlfn.XLOOKUP(b.nike.views[[#This Row],[product_ID]], a.nike.original.man[Product_ID], a.nike.original.man[Rating_Group], "Not Found")</f>
        <v>0 - 2.9</v>
      </c>
      <c r="D530">
        <f>_xlfn.XLOOKUP(b.nike.views[[#This Row],[product_ID]], a.nike.original.man[Product_ID], a.nike.original.man[Rating], "Not Found")</f>
        <v>0</v>
      </c>
      <c r="E530" s="10">
        <f>ROUND(_xlfn.XLOOKUP(b.nike.views[[#This Row],[product_ID]], a.nike.original.man[Product_ID], a.nike.original.man[Sale Price], "Not Found"), 0)</f>
        <v>48</v>
      </c>
      <c r="F530" s="5" t="str" cm="1">
        <f t="array" ref="F530">_xlfn.IFS(b.nike.views[[#This Row],[Sales_Price]]&lt;=9, "under $10",b.nike.views[[#This Row],[Sales_Price]]&lt;=20, "$20 and under",b.nike.views[[#This Row],[Sales_Price]]&lt;=50, "$50 and under", b.nike.views[[#This Row],[Sales_Price]]&lt;=99, "under $100", b.nike.views[[#This Row],[Sales_Price]]&gt;=100, "$100 +")</f>
        <v>$50 and under</v>
      </c>
      <c r="G530">
        <f>COUNTIF(a.nike.original.man[Product_ID], A530)</f>
        <v>1</v>
      </c>
      <c r="H530" t="str" cm="1">
        <f t="array" ref="H530">_xlfn.IFS(b.nike.views[[#This Row],[Review_Count]]&lt;=7, "Below Average",b.nike.views[[#This Row],[Review_Count]]&gt;=8, "Average +")</f>
        <v>Below Average</v>
      </c>
      <c r="I530">
        <f>SUMIF(a.nike.original.man[Product_ID],b.nike.views[[#This Row],[product_ID]], a.nike.original.man[Reviews])</f>
        <v>0</v>
      </c>
      <c r="J530" s="41">
        <f>_xlfn.XLOOKUP(b.nike.views[[#This Row],[product_ID]],a.nike.original.man[Product_ID], a.nike.original.man[Discount %], "Not Found")</f>
        <v>0.4</v>
      </c>
      <c r="K530" s="41"/>
      <c r="L530" t="s">
        <v>1470</v>
      </c>
    </row>
    <row r="531" spans="1:12" x14ac:dyDescent="0.2">
      <c r="A531" t="s">
        <v>1302</v>
      </c>
      <c r="B531" t="str">
        <f>_xlfn.XLOOKUP(b.nike.views[[#This Row],[product_ID]], a.nike.original.man[Product_ID], a.nike.original.man[Product Name], "Not Found")</f>
        <v>Nike MX-720-818</v>
      </c>
      <c r="C531" s="5" t="str">
        <f>_xlfn.XLOOKUP(b.nike.views[[#This Row],[product_ID]], a.nike.original.man[Product_ID], a.nike.original.man[Rating_Group], "Not Found")</f>
        <v>0 - 2.9</v>
      </c>
      <c r="D531">
        <f>_xlfn.XLOOKUP(b.nike.views[[#This Row],[product_ID]], a.nike.original.man[Product_ID], a.nike.original.man[Rating], "Not Found")</f>
        <v>0</v>
      </c>
      <c r="E531" s="10">
        <f>ROUND(_xlfn.XLOOKUP(b.nike.views[[#This Row],[product_ID]], a.nike.original.man[Product_ID], a.nike.original.man[Sale Price], "Not Found"), 0)</f>
        <v>112</v>
      </c>
      <c r="F531" s="5" t="str" cm="1">
        <f t="array" ref="F531">_xlfn.IFS(b.nike.views[[#This Row],[Sales_Price]]&lt;=9, "under $10",b.nike.views[[#This Row],[Sales_Price]]&lt;=20, "$20 and under",b.nike.views[[#This Row],[Sales_Price]]&lt;=50, "$50 and under", b.nike.views[[#This Row],[Sales_Price]]&lt;=99, "under $100", b.nike.views[[#This Row],[Sales_Price]]&gt;=100, "$100 +")</f>
        <v>$100 +</v>
      </c>
      <c r="G531">
        <f>COUNTIF(a.nike.original.man[Product_ID], A531)</f>
        <v>1</v>
      </c>
      <c r="H531" t="str" cm="1">
        <f t="array" ref="H531">_xlfn.IFS(b.nike.views[[#This Row],[Review_Count]]&lt;=7, "Below Average",b.nike.views[[#This Row],[Review_Count]]&gt;=8, "Average +")</f>
        <v>Below Average</v>
      </c>
      <c r="I531">
        <f>SUMIF(a.nike.original.man[Product_ID],b.nike.views[[#This Row],[product_ID]], a.nike.original.man[Reviews])</f>
        <v>0</v>
      </c>
      <c r="J531" s="41">
        <f>_xlfn.XLOOKUP(b.nike.views[[#This Row],[product_ID]],a.nike.original.man[Product_ID], a.nike.original.man[Discount %], "Not Found")</f>
        <v>0.3</v>
      </c>
      <c r="K531" s="41"/>
      <c r="L531" t="s">
        <v>1470</v>
      </c>
    </row>
    <row r="532" spans="1:12" x14ac:dyDescent="0.2">
      <c r="A532" t="s">
        <v>1307</v>
      </c>
      <c r="B532" t="str">
        <f>_xlfn.XLOOKUP(b.nike.views[[#This Row],[product_ID]], a.nike.original.man[Product_ID], a.nike.original.man[Product Name], "Not Found")</f>
        <v>Nike Air Max 720 SE</v>
      </c>
      <c r="C532" s="5" t="str">
        <f>_xlfn.XLOOKUP(b.nike.views[[#This Row],[product_ID]], a.nike.original.man[Product_ID], a.nike.original.man[Rating_Group], "Not Found")</f>
        <v>0 - 2.9</v>
      </c>
      <c r="D532">
        <f>_xlfn.XLOOKUP(b.nike.views[[#This Row],[product_ID]], a.nike.original.man[Product_ID], a.nike.original.man[Rating], "Not Found")</f>
        <v>0</v>
      </c>
      <c r="E532" s="10">
        <f>ROUND(_xlfn.XLOOKUP(b.nike.views[[#This Row],[product_ID]], a.nike.original.man[Product_ID], a.nike.original.man[Sale Price], "Not Found"), 0)</f>
        <v>112</v>
      </c>
      <c r="F532" s="5" t="str" cm="1">
        <f t="array" ref="F532">_xlfn.IFS(b.nike.views[[#This Row],[Sales_Price]]&lt;=9, "under $10",b.nike.views[[#This Row],[Sales_Price]]&lt;=20, "$20 and under",b.nike.views[[#This Row],[Sales_Price]]&lt;=50, "$50 and under", b.nike.views[[#This Row],[Sales_Price]]&lt;=99, "under $100", b.nike.views[[#This Row],[Sales_Price]]&gt;=100, "$100 +")</f>
        <v>$100 +</v>
      </c>
      <c r="G532">
        <f>COUNTIF(a.nike.original.man[Product_ID], A532)</f>
        <v>1</v>
      </c>
      <c r="H532" t="str" cm="1">
        <f t="array" ref="H532">_xlfn.IFS(b.nike.views[[#This Row],[Review_Count]]&lt;=7, "Below Average",b.nike.views[[#This Row],[Review_Count]]&gt;=8, "Average +")</f>
        <v>Below Average</v>
      </c>
      <c r="I532">
        <f>SUMIF(a.nike.original.man[Product_ID],b.nike.views[[#This Row],[product_ID]], a.nike.original.man[Reviews])</f>
        <v>0</v>
      </c>
      <c r="J532" s="41">
        <f>_xlfn.XLOOKUP(b.nike.views[[#This Row],[product_ID]],a.nike.original.man[Product_ID], a.nike.original.man[Discount %], "Not Found")</f>
        <v>0.3</v>
      </c>
      <c r="K532" s="41"/>
      <c r="L532" t="s">
        <v>1470</v>
      </c>
    </row>
    <row r="533" spans="1:12" x14ac:dyDescent="0.2">
      <c r="A533" t="s">
        <v>1314</v>
      </c>
      <c r="B533" t="str">
        <f>_xlfn.XLOOKUP(b.nike.views[[#This Row],[product_ID]], a.nike.original.man[Product_ID], a.nike.original.man[Product Name], "Not Found")</f>
        <v>Nike Air Max 270 React SE</v>
      </c>
      <c r="C533" s="5" t="str">
        <f>_xlfn.XLOOKUP(b.nike.views[[#This Row],[product_ID]], a.nike.original.man[Product_ID], a.nike.original.man[Rating_Group], "Not Found")</f>
        <v>0 - 2.9</v>
      </c>
      <c r="D533">
        <f>_xlfn.XLOOKUP(b.nike.views[[#This Row],[product_ID]], a.nike.original.man[Product_ID], a.nike.original.man[Rating], "Not Found")</f>
        <v>0</v>
      </c>
      <c r="E533" s="10">
        <f>ROUND(_xlfn.XLOOKUP(b.nike.views[[#This Row],[product_ID]], a.nike.original.man[Product_ID], a.nike.original.man[Sale Price], "Not Found"), 0)</f>
        <v>140</v>
      </c>
      <c r="F533" s="5" t="str" cm="1">
        <f t="array" ref="F533">_xlfn.IFS(b.nike.views[[#This Row],[Sales_Price]]&lt;=9, "under $10",b.nike.views[[#This Row],[Sales_Price]]&lt;=20, "$20 and under",b.nike.views[[#This Row],[Sales_Price]]&lt;=50, "$50 and under", b.nike.views[[#This Row],[Sales_Price]]&lt;=99, "under $100", b.nike.views[[#This Row],[Sales_Price]]&gt;=100, "$100 +")</f>
        <v>$100 +</v>
      </c>
      <c r="G533">
        <f>COUNTIF(a.nike.original.man[Product_ID], A533)</f>
        <v>1</v>
      </c>
      <c r="H533" t="str" cm="1">
        <f t="array" ref="H533">_xlfn.IFS(b.nike.views[[#This Row],[Review_Count]]&lt;=7, "Below Average",b.nike.views[[#This Row],[Review_Count]]&gt;=8, "Average +")</f>
        <v>Below Average</v>
      </c>
      <c r="I533">
        <f>SUMIF(a.nike.original.man[Product_ID],b.nike.views[[#This Row],[product_ID]], a.nike.original.man[Reviews])</f>
        <v>0</v>
      </c>
      <c r="J533" s="41">
        <f>_xlfn.XLOOKUP(b.nike.views[[#This Row],[product_ID]],a.nike.original.man[Product_ID], a.nike.original.man[Discount %], "Not Found")</f>
        <v>0</v>
      </c>
      <c r="K533" s="41"/>
      <c r="L533" t="s">
        <v>1470</v>
      </c>
    </row>
    <row r="534" spans="1:12" x14ac:dyDescent="0.2">
      <c r="A534" t="s">
        <v>1339</v>
      </c>
      <c r="B534" t="str">
        <f>_xlfn.XLOOKUP(b.nike.views[[#This Row],[product_ID]], a.nike.original.man[Product_ID], a.nike.original.man[Product Name], "Not Found")</f>
        <v>Nike Zoom Pegasus Turbo 2</v>
      </c>
      <c r="C534" s="5" t="str">
        <f>_xlfn.XLOOKUP(b.nike.views[[#This Row],[product_ID]], a.nike.original.man[Product_ID], a.nike.original.man[Rating_Group], "Not Found")</f>
        <v>0 - 2.9</v>
      </c>
      <c r="D534">
        <f>_xlfn.XLOOKUP(b.nike.views[[#This Row],[product_ID]], a.nike.original.man[Product_ID], a.nike.original.man[Rating], "Not Found")</f>
        <v>0</v>
      </c>
      <c r="E534" s="10">
        <f>ROUND(_xlfn.XLOOKUP(b.nike.views[[#This Row],[product_ID]], a.nike.original.man[Product_ID], a.nike.original.man[Sale Price], "Not Found"), 0)</f>
        <v>160</v>
      </c>
      <c r="F534" s="5" t="str" cm="1">
        <f t="array" ref="F534">_xlfn.IFS(b.nike.views[[#This Row],[Sales_Price]]&lt;=9, "under $10",b.nike.views[[#This Row],[Sales_Price]]&lt;=20, "$20 and under",b.nike.views[[#This Row],[Sales_Price]]&lt;=50, "$50 and under", b.nike.views[[#This Row],[Sales_Price]]&lt;=99, "under $100", b.nike.views[[#This Row],[Sales_Price]]&gt;=100, "$100 +")</f>
        <v>$100 +</v>
      </c>
      <c r="G534">
        <f>COUNTIF(a.nike.original.man[Product_ID], A534)</f>
        <v>1</v>
      </c>
      <c r="H534" t="str" cm="1">
        <f t="array" ref="H534">_xlfn.IFS(b.nike.views[[#This Row],[Review_Count]]&lt;=7, "Below Average",b.nike.views[[#This Row],[Review_Count]]&gt;=8, "Average +")</f>
        <v>Below Average</v>
      </c>
      <c r="I534">
        <f>SUMIF(a.nike.original.man[Product_ID],b.nike.views[[#This Row],[product_ID]], a.nike.original.man[Reviews])</f>
        <v>0</v>
      </c>
      <c r="J534" s="41">
        <f>_xlfn.XLOOKUP(b.nike.views[[#This Row],[product_ID]],a.nike.original.man[Product_ID], a.nike.original.man[Discount %], "Not Found")</f>
        <v>0</v>
      </c>
      <c r="K534" s="41"/>
      <c r="L534" t="s">
        <v>1470</v>
      </c>
    </row>
    <row r="535" spans="1:12" x14ac:dyDescent="0.2">
      <c r="A535" t="s">
        <v>1343</v>
      </c>
      <c r="B535" t="str">
        <f>_xlfn.XLOOKUP(b.nike.views[[#This Row],[product_ID]], a.nike.original.man[Product_ID], a.nike.original.man[Product Name], "Not Found")</f>
        <v>Nike Free RN Flyknit 3.0</v>
      </c>
      <c r="C535" s="5" t="str">
        <f>_xlfn.XLOOKUP(b.nike.views[[#This Row],[product_ID]], a.nike.original.man[Product_ID], a.nike.original.man[Rating_Group], "Not Found")</f>
        <v>0 - 2.9</v>
      </c>
      <c r="D535">
        <f>_xlfn.XLOOKUP(b.nike.views[[#This Row],[product_ID]], a.nike.original.man[Product_ID], a.nike.original.man[Rating], "Not Found")</f>
        <v>0</v>
      </c>
      <c r="E535" s="10">
        <f>ROUND(_xlfn.XLOOKUP(b.nike.views[[#This Row],[product_ID]], a.nike.original.man[Product_ID], a.nike.original.man[Sale Price], "Not Found"), 0)</f>
        <v>72</v>
      </c>
      <c r="F535" s="5" t="str" cm="1">
        <f t="array" ref="F535">_xlfn.IFS(b.nike.views[[#This Row],[Sales_Price]]&lt;=9, "under $10",b.nike.views[[#This Row],[Sales_Price]]&lt;=20, "$20 and under",b.nike.views[[#This Row],[Sales_Price]]&lt;=50, "$50 and under", b.nike.views[[#This Row],[Sales_Price]]&lt;=99, "under $100", b.nike.views[[#This Row],[Sales_Price]]&gt;=100, "$100 +")</f>
        <v>under $100</v>
      </c>
      <c r="G535">
        <f>COUNTIF(a.nike.original.man[Product_ID], A535)</f>
        <v>1</v>
      </c>
      <c r="H535" t="str" cm="1">
        <f t="array" ref="H535">_xlfn.IFS(b.nike.views[[#This Row],[Review_Count]]&lt;=7, "Below Average",b.nike.views[[#This Row],[Review_Count]]&gt;=8, "Average +")</f>
        <v>Below Average</v>
      </c>
      <c r="I535">
        <f>SUMIF(a.nike.original.man[Product_ID],b.nike.views[[#This Row],[product_ID]], a.nike.original.man[Reviews])</f>
        <v>0</v>
      </c>
      <c r="J535" s="41">
        <f>_xlfn.XLOOKUP(b.nike.views[[#This Row],[product_ID]],a.nike.original.man[Product_ID], a.nike.original.man[Discount %], "Not Found")</f>
        <v>0.4</v>
      </c>
      <c r="K535" s="41"/>
      <c r="L535" t="s">
        <v>1470</v>
      </c>
    </row>
    <row r="536" spans="1:12" x14ac:dyDescent="0.2">
      <c r="A536" t="s">
        <v>1346</v>
      </c>
      <c r="B536" t="str">
        <f>_xlfn.XLOOKUP(b.nike.views[[#This Row],[product_ID]], a.nike.original.man[Product_ID], a.nike.original.man[Product Name], "Not Found")</f>
        <v>Nike Air Zoom Pegasus 36</v>
      </c>
      <c r="C536" s="5" t="str">
        <f>_xlfn.XLOOKUP(b.nike.views[[#This Row],[product_ID]], a.nike.original.man[Product_ID], a.nike.original.man[Rating_Group], "Not Found")</f>
        <v>0 - 2.9</v>
      </c>
      <c r="D536">
        <f>_xlfn.XLOOKUP(b.nike.views[[#This Row],[product_ID]], a.nike.original.man[Product_ID], a.nike.original.man[Rating], "Not Found")</f>
        <v>0</v>
      </c>
      <c r="E536" s="10">
        <f>ROUND(_xlfn.XLOOKUP(b.nike.views[[#This Row],[product_ID]], a.nike.original.man[Product_ID], a.nike.original.man[Sale Price], "Not Found"), 0)</f>
        <v>110</v>
      </c>
      <c r="F536" s="5" t="str" cm="1">
        <f t="array" ref="F536">_xlfn.IFS(b.nike.views[[#This Row],[Sales_Price]]&lt;=9, "under $10",b.nike.views[[#This Row],[Sales_Price]]&lt;=20, "$20 and under",b.nike.views[[#This Row],[Sales_Price]]&lt;=50, "$50 and under", b.nike.views[[#This Row],[Sales_Price]]&lt;=99, "under $100", b.nike.views[[#This Row],[Sales_Price]]&gt;=100, "$100 +")</f>
        <v>$100 +</v>
      </c>
      <c r="G536">
        <f>COUNTIF(a.nike.original.man[Product_ID], A536)</f>
        <v>1</v>
      </c>
      <c r="H536" t="str" cm="1">
        <f t="array" ref="H536">_xlfn.IFS(b.nike.views[[#This Row],[Review_Count]]&lt;=7, "Below Average",b.nike.views[[#This Row],[Review_Count]]&gt;=8, "Average +")</f>
        <v>Below Average</v>
      </c>
      <c r="I536">
        <f>SUMIF(a.nike.original.man[Product_ID],b.nike.views[[#This Row],[product_ID]], a.nike.original.man[Reviews])</f>
        <v>0</v>
      </c>
      <c r="J536" s="41">
        <f>_xlfn.XLOOKUP(b.nike.views[[#This Row],[product_ID]],a.nike.original.man[Product_ID], a.nike.original.man[Discount %], "Not Found")</f>
        <v>0</v>
      </c>
      <c r="K536" s="41"/>
      <c r="L536" t="s">
        <v>1470</v>
      </c>
    </row>
    <row r="537" spans="1:12" x14ac:dyDescent="0.2">
      <c r="A537" t="s">
        <v>1349</v>
      </c>
      <c r="B537" t="str">
        <f>_xlfn.XLOOKUP(b.nike.views[[#This Row],[product_ID]], a.nike.original.man[Product_ID], a.nike.original.man[Product Name], "Not Found")</f>
        <v>Nike Metcon 4 XD Patch</v>
      </c>
      <c r="C537" s="5" t="str">
        <f>_xlfn.XLOOKUP(b.nike.views[[#This Row],[product_ID]], a.nike.original.man[Product_ID], a.nike.original.man[Rating_Group], "Not Found")</f>
        <v>0 - 2.9</v>
      </c>
      <c r="D537">
        <f>_xlfn.XLOOKUP(b.nike.views[[#This Row],[product_ID]], a.nike.original.man[Product_ID], a.nike.original.man[Rating], "Not Found")</f>
        <v>0</v>
      </c>
      <c r="E537" s="10">
        <f>ROUND(_xlfn.XLOOKUP(b.nike.views[[#This Row],[product_ID]], a.nike.original.man[Product_ID], a.nike.original.man[Sale Price], "Not Found"), 0)</f>
        <v>120</v>
      </c>
      <c r="F537" s="5" t="str" cm="1">
        <f t="array" ref="F537">_xlfn.IFS(b.nike.views[[#This Row],[Sales_Price]]&lt;=9, "under $10",b.nike.views[[#This Row],[Sales_Price]]&lt;=20, "$20 and under",b.nike.views[[#This Row],[Sales_Price]]&lt;=50, "$50 and under", b.nike.views[[#This Row],[Sales_Price]]&lt;=99, "under $100", b.nike.views[[#This Row],[Sales_Price]]&gt;=100, "$100 +")</f>
        <v>$100 +</v>
      </c>
      <c r="G537">
        <f>COUNTIF(a.nike.original.man[Product_ID], A537)</f>
        <v>1</v>
      </c>
      <c r="H537" t="str" cm="1">
        <f t="array" ref="H537">_xlfn.IFS(b.nike.views[[#This Row],[Review_Count]]&lt;=7, "Below Average",b.nike.views[[#This Row],[Review_Count]]&gt;=8, "Average +")</f>
        <v>Below Average</v>
      </c>
      <c r="I537">
        <f>SUMIF(a.nike.original.man[Product_ID],b.nike.views[[#This Row],[product_ID]], a.nike.original.man[Reviews])</f>
        <v>0</v>
      </c>
      <c r="J537" s="41">
        <f>_xlfn.XLOOKUP(b.nike.views[[#This Row],[product_ID]],a.nike.original.man[Product_ID], a.nike.original.man[Discount %], "Not Found")</f>
        <v>0</v>
      </c>
      <c r="K537" s="41"/>
      <c r="L537" t="s">
        <v>1470</v>
      </c>
    </row>
    <row r="538" spans="1:12" x14ac:dyDescent="0.2">
      <c r="A538" t="s">
        <v>1352</v>
      </c>
      <c r="B538" t="str">
        <f>_xlfn.XLOOKUP(b.nike.views[[#This Row],[product_ID]], a.nike.original.man[Product_ID], a.nike.original.man[Product Name], "Not Found")</f>
        <v>NikeCourt Royale SL</v>
      </c>
      <c r="C538" s="5" t="str">
        <f>_xlfn.XLOOKUP(b.nike.views[[#This Row],[product_ID]], a.nike.original.man[Product_ID], a.nike.original.man[Rating_Group], "Not Found")</f>
        <v>0 - 2.9</v>
      </c>
      <c r="D538">
        <f>_xlfn.XLOOKUP(b.nike.views[[#This Row],[product_ID]], a.nike.original.man[Product_ID], a.nike.original.man[Rating], "Not Found")</f>
        <v>0</v>
      </c>
      <c r="E538" s="10">
        <f>ROUND(_xlfn.XLOOKUP(b.nike.views[[#This Row],[product_ID]], a.nike.original.man[Product_ID], a.nike.original.man[Sale Price], "Not Found"), 0)</f>
        <v>32</v>
      </c>
      <c r="F538" s="5" t="str" cm="1">
        <f t="array" ref="F538">_xlfn.IFS(b.nike.views[[#This Row],[Sales_Price]]&lt;=9, "under $10",b.nike.views[[#This Row],[Sales_Price]]&lt;=20, "$20 and under",b.nike.views[[#This Row],[Sales_Price]]&lt;=50, "$50 and under", b.nike.views[[#This Row],[Sales_Price]]&lt;=99, "under $100", b.nike.views[[#This Row],[Sales_Price]]&gt;=100, "$100 +")</f>
        <v>$50 and under</v>
      </c>
      <c r="G538">
        <f>COUNTIF(a.nike.original.man[Product_ID], A538)</f>
        <v>1</v>
      </c>
      <c r="H538" t="str" cm="1">
        <f t="array" ref="H538">_xlfn.IFS(b.nike.views[[#This Row],[Review_Count]]&lt;=7, "Below Average",b.nike.views[[#This Row],[Review_Count]]&gt;=8, "Average +")</f>
        <v>Below Average</v>
      </c>
      <c r="I538">
        <f>SUMIF(a.nike.original.man[Product_ID],b.nike.views[[#This Row],[product_ID]], a.nike.original.man[Reviews])</f>
        <v>0</v>
      </c>
      <c r="J538" s="41">
        <f>_xlfn.XLOOKUP(b.nike.views[[#This Row],[product_ID]],a.nike.original.man[Product_ID], a.nike.original.man[Discount %], "Not Found")</f>
        <v>0.2</v>
      </c>
      <c r="K538" s="41"/>
      <c r="L538" t="s">
        <v>1470</v>
      </c>
    </row>
    <row r="539" spans="1:12" x14ac:dyDescent="0.2">
      <c r="A539" t="s">
        <v>1358</v>
      </c>
      <c r="B539" t="str">
        <f>_xlfn.XLOOKUP(b.nike.views[[#This Row],[product_ID]], a.nike.original.man[Product_ID], a.nike.original.man[Product Name], "Not Found")</f>
        <v>Nike Air Max 90</v>
      </c>
      <c r="C539" s="5" t="str">
        <f>_xlfn.XLOOKUP(b.nike.views[[#This Row],[product_ID]], a.nike.original.man[Product_ID], a.nike.original.man[Rating_Group], "Not Found")</f>
        <v>0 - 2.9</v>
      </c>
      <c r="D539">
        <f>_xlfn.XLOOKUP(b.nike.views[[#This Row],[product_ID]], a.nike.original.man[Product_ID], a.nike.original.man[Rating], "Not Found")</f>
        <v>0</v>
      </c>
      <c r="E539" s="10">
        <f>ROUND(_xlfn.XLOOKUP(b.nike.views[[#This Row],[product_ID]], a.nike.original.man[Product_ID], a.nike.original.man[Sale Price], "Not Found"), 0)</f>
        <v>100</v>
      </c>
      <c r="F539" s="5" t="str" cm="1">
        <f t="array" ref="F539">_xlfn.IFS(b.nike.views[[#This Row],[Sales_Price]]&lt;=9, "under $10",b.nike.views[[#This Row],[Sales_Price]]&lt;=20, "$20 and under",b.nike.views[[#This Row],[Sales_Price]]&lt;=50, "$50 and under", b.nike.views[[#This Row],[Sales_Price]]&lt;=99, "under $100", b.nike.views[[#This Row],[Sales_Price]]&gt;=100, "$100 +")</f>
        <v>$100 +</v>
      </c>
      <c r="G539">
        <f>COUNTIF(a.nike.original.man[Product_ID], A539)</f>
        <v>1</v>
      </c>
      <c r="H539" t="str" cm="1">
        <f t="array" ref="H539">_xlfn.IFS(b.nike.views[[#This Row],[Review_Count]]&lt;=7, "Below Average",b.nike.views[[#This Row],[Review_Count]]&gt;=8, "Average +")</f>
        <v>Below Average</v>
      </c>
      <c r="I539">
        <f>SUMIF(a.nike.original.man[Product_ID],b.nike.views[[#This Row],[product_ID]], a.nike.original.man[Reviews])</f>
        <v>0</v>
      </c>
      <c r="J539" s="41">
        <f>_xlfn.XLOOKUP(b.nike.views[[#This Row],[product_ID]],a.nike.original.man[Product_ID], a.nike.original.man[Discount %], "Not Found")</f>
        <v>0</v>
      </c>
      <c r="K539" s="41"/>
      <c r="L539" t="s">
        <v>1470</v>
      </c>
    </row>
    <row r="540" spans="1:12" x14ac:dyDescent="0.2">
      <c r="A540" t="s">
        <v>1363</v>
      </c>
      <c r="B540" t="str">
        <f>_xlfn.XLOOKUP(b.nike.views[[#This Row],[product_ID]], a.nike.original.man[Product_ID], a.nike.original.man[Product Name], "Not Found")</f>
        <v>Nike Zoom Fly SP Fast</v>
      </c>
      <c r="C540" s="5" t="str">
        <f>_xlfn.XLOOKUP(b.nike.views[[#This Row],[product_ID]], a.nike.original.man[Product_ID], a.nike.original.man[Rating_Group], "Not Found")</f>
        <v>0 - 2.9</v>
      </c>
      <c r="D540">
        <f>_xlfn.XLOOKUP(b.nike.views[[#This Row],[product_ID]], a.nike.original.man[Product_ID], a.nike.original.man[Rating], "Not Found")</f>
        <v>0</v>
      </c>
      <c r="E540" s="10">
        <f>ROUND(_xlfn.XLOOKUP(b.nike.views[[#This Row],[product_ID]], a.nike.original.man[Product_ID], a.nike.original.man[Sale Price], "Not Found"), 0)</f>
        <v>102</v>
      </c>
      <c r="F540" s="5" t="str" cm="1">
        <f t="array" ref="F540">_xlfn.IFS(b.nike.views[[#This Row],[Sales_Price]]&lt;=9, "under $10",b.nike.views[[#This Row],[Sales_Price]]&lt;=20, "$20 and under",b.nike.views[[#This Row],[Sales_Price]]&lt;=50, "$50 and under", b.nike.views[[#This Row],[Sales_Price]]&lt;=99, "under $100", b.nike.views[[#This Row],[Sales_Price]]&gt;=100, "$100 +")</f>
        <v>$100 +</v>
      </c>
      <c r="G540">
        <f>COUNTIF(a.nike.original.man[Product_ID], A540)</f>
        <v>1</v>
      </c>
      <c r="H540" t="str" cm="1">
        <f t="array" ref="H540">_xlfn.IFS(b.nike.views[[#This Row],[Review_Count]]&lt;=7, "Below Average",b.nike.views[[#This Row],[Review_Count]]&gt;=8, "Average +")</f>
        <v>Below Average</v>
      </c>
      <c r="I540">
        <f>SUMIF(a.nike.original.man[Product_ID],b.nike.views[[#This Row],[product_ID]], a.nike.original.man[Reviews])</f>
        <v>0</v>
      </c>
      <c r="J540" s="41">
        <f>_xlfn.XLOOKUP(b.nike.views[[#This Row],[product_ID]],a.nike.original.man[Product_ID], a.nike.original.man[Discount %], "Not Found")</f>
        <v>0.4</v>
      </c>
      <c r="K540" s="41"/>
      <c r="L540" t="s">
        <v>1470</v>
      </c>
    </row>
    <row r="541" spans="1:12" x14ac:dyDescent="0.2">
      <c r="A541" t="s">
        <v>1368</v>
      </c>
      <c r="B541" t="str">
        <f>_xlfn.XLOOKUP(b.nike.views[[#This Row],[product_ID]], a.nike.original.man[Product_ID], a.nike.original.man[Product Name], "Not Found")</f>
        <v>Nike Air Max 98 SE</v>
      </c>
      <c r="C541" s="5" t="str">
        <f>_xlfn.XLOOKUP(b.nike.views[[#This Row],[product_ID]], a.nike.original.man[Product_ID], a.nike.original.man[Rating_Group], "Not Found")</f>
        <v>0 - 2.9</v>
      </c>
      <c r="D541">
        <f>_xlfn.XLOOKUP(b.nike.views[[#This Row],[product_ID]], a.nike.original.man[Product_ID], a.nike.original.man[Rating], "Not Found")</f>
        <v>0</v>
      </c>
      <c r="E541" s="10">
        <f>ROUND(_xlfn.XLOOKUP(b.nike.views[[#This Row],[product_ID]], a.nike.original.man[Product_ID], a.nike.original.man[Sale Price], "Not Found"), 0)</f>
        <v>160</v>
      </c>
      <c r="F541" s="5" t="str" cm="1">
        <f t="array" ref="F541">_xlfn.IFS(b.nike.views[[#This Row],[Sales_Price]]&lt;=9, "under $10",b.nike.views[[#This Row],[Sales_Price]]&lt;=20, "$20 and under",b.nike.views[[#This Row],[Sales_Price]]&lt;=50, "$50 and under", b.nike.views[[#This Row],[Sales_Price]]&lt;=99, "under $100", b.nike.views[[#This Row],[Sales_Price]]&gt;=100, "$100 +")</f>
        <v>$100 +</v>
      </c>
      <c r="G541">
        <f>COUNTIF(a.nike.original.man[Product_ID], A541)</f>
        <v>1</v>
      </c>
      <c r="H541" t="str" cm="1">
        <f t="array" ref="H541">_xlfn.IFS(b.nike.views[[#This Row],[Review_Count]]&lt;=7, "Below Average",b.nike.views[[#This Row],[Review_Count]]&gt;=8, "Average +")</f>
        <v>Below Average</v>
      </c>
      <c r="I541">
        <f>SUMIF(a.nike.original.man[Product_ID],b.nike.views[[#This Row],[product_ID]], a.nike.original.man[Reviews])</f>
        <v>0</v>
      </c>
      <c r="J541" s="41">
        <f>_xlfn.XLOOKUP(b.nike.views[[#This Row],[product_ID]],a.nike.original.man[Product_ID], a.nike.original.man[Discount %], "Not Found")</f>
        <v>0</v>
      </c>
      <c r="K541" s="41"/>
      <c r="L541" t="s">
        <v>1470</v>
      </c>
    </row>
    <row r="542" spans="1:12" x14ac:dyDescent="0.2">
      <c r="A542" t="s">
        <v>1370</v>
      </c>
      <c r="B542" t="str">
        <f>_xlfn.XLOOKUP(b.nike.views[[#This Row],[product_ID]], a.nike.original.man[Product_ID], a.nike.original.man[Product Name], "Not Found")</f>
        <v>Nike Zoom Rival Fly 2</v>
      </c>
      <c r="C542" s="5" t="str">
        <f>_xlfn.XLOOKUP(b.nike.views[[#This Row],[product_ID]], a.nike.original.man[Product_ID], a.nike.original.man[Rating_Group], "Not Found")</f>
        <v>0 - 2.9</v>
      </c>
      <c r="D542">
        <f>_xlfn.XLOOKUP(b.nike.views[[#This Row],[product_ID]], a.nike.original.man[Product_ID], a.nike.original.man[Rating], "Not Found")</f>
        <v>0</v>
      </c>
      <c r="E542" s="10">
        <f>ROUND(_xlfn.XLOOKUP(b.nike.views[[#This Row],[product_ID]], a.nike.original.man[Product_ID], a.nike.original.man[Sale Price], "Not Found"), 0)</f>
        <v>80</v>
      </c>
      <c r="F542" s="5" t="str" cm="1">
        <f t="array" ref="F542">_xlfn.IFS(b.nike.views[[#This Row],[Sales_Price]]&lt;=9, "under $10",b.nike.views[[#This Row],[Sales_Price]]&lt;=20, "$20 and under",b.nike.views[[#This Row],[Sales_Price]]&lt;=50, "$50 and under", b.nike.views[[#This Row],[Sales_Price]]&lt;=99, "under $100", b.nike.views[[#This Row],[Sales_Price]]&gt;=100, "$100 +")</f>
        <v>under $100</v>
      </c>
      <c r="G542">
        <f>COUNTIF(a.nike.original.man[Product_ID], A542)</f>
        <v>1</v>
      </c>
      <c r="H542" t="str" cm="1">
        <f t="array" ref="H542">_xlfn.IFS(b.nike.views[[#This Row],[Review_Count]]&lt;=7, "Below Average",b.nike.views[[#This Row],[Review_Count]]&gt;=8, "Average +")</f>
        <v>Below Average</v>
      </c>
      <c r="I542">
        <f>SUMIF(a.nike.original.man[Product_ID],b.nike.views[[#This Row],[product_ID]], a.nike.original.man[Reviews])</f>
        <v>0</v>
      </c>
      <c r="J542" s="41">
        <f>_xlfn.XLOOKUP(b.nike.views[[#This Row],[product_ID]],a.nike.original.man[Product_ID], a.nike.original.man[Discount %], "Not Found")</f>
        <v>0</v>
      </c>
      <c r="K542" s="41"/>
      <c r="L542" t="s">
        <v>1470</v>
      </c>
    </row>
    <row r="543" spans="1:12" x14ac:dyDescent="0.2">
      <c r="A543" t="s">
        <v>1372</v>
      </c>
      <c r="B543" t="str">
        <f>_xlfn.XLOOKUP(b.nike.views[[#This Row],[product_ID]], a.nike.original.man[Product_ID], a.nike.original.man[Product Name], "Not Found")</f>
        <v>Nike MX-720-818</v>
      </c>
      <c r="C543" s="5" t="str">
        <f>_xlfn.XLOOKUP(b.nike.views[[#This Row],[product_ID]], a.nike.original.man[Product_ID], a.nike.original.man[Rating_Group], "Not Found")</f>
        <v>0 - 2.9</v>
      </c>
      <c r="D543">
        <f>_xlfn.XLOOKUP(b.nike.views[[#This Row],[product_ID]], a.nike.original.man[Product_ID], a.nike.original.man[Rating], "Not Found")</f>
        <v>0</v>
      </c>
      <c r="E543" s="10">
        <f>ROUND(_xlfn.XLOOKUP(b.nike.views[[#This Row],[product_ID]], a.nike.original.man[Product_ID], a.nike.original.man[Sale Price], "Not Found"), 0)</f>
        <v>160</v>
      </c>
      <c r="F543" s="5" t="str" cm="1">
        <f t="array" ref="F543">_xlfn.IFS(b.nike.views[[#This Row],[Sales_Price]]&lt;=9, "under $10",b.nike.views[[#This Row],[Sales_Price]]&lt;=20, "$20 and under",b.nike.views[[#This Row],[Sales_Price]]&lt;=50, "$50 and under", b.nike.views[[#This Row],[Sales_Price]]&lt;=99, "under $100", b.nike.views[[#This Row],[Sales_Price]]&gt;=100, "$100 +")</f>
        <v>$100 +</v>
      </c>
      <c r="G543">
        <f>COUNTIF(a.nike.original.man[Product_ID], A543)</f>
        <v>1</v>
      </c>
      <c r="H543" t="str" cm="1">
        <f t="array" ref="H543">_xlfn.IFS(b.nike.views[[#This Row],[Review_Count]]&lt;=7, "Below Average",b.nike.views[[#This Row],[Review_Count]]&gt;=8, "Average +")</f>
        <v>Below Average</v>
      </c>
      <c r="I543">
        <f>SUMIF(a.nike.original.man[Product_ID],b.nike.views[[#This Row],[product_ID]], a.nike.original.man[Reviews])</f>
        <v>0</v>
      </c>
      <c r="J543" s="41">
        <f>_xlfn.XLOOKUP(b.nike.views[[#This Row],[product_ID]],a.nike.original.man[Product_ID], a.nike.original.man[Discount %], "Not Found")</f>
        <v>0</v>
      </c>
      <c r="K543" s="41"/>
      <c r="L543" t="s">
        <v>1470</v>
      </c>
    </row>
    <row r="544" spans="1:12" x14ac:dyDescent="0.2">
      <c r="A544" t="s">
        <v>1380</v>
      </c>
      <c r="B544" t="str">
        <f>_xlfn.XLOOKUP(b.nike.views[[#This Row],[product_ID]], a.nike.original.man[Product_ID], a.nike.original.man[Product Name], "Not Found")</f>
        <v>Nike Air Max 98</v>
      </c>
      <c r="C544" s="5" t="str">
        <f>_xlfn.XLOOKUP(b.nike.views[[#This Row],[product_ID]], a.nike.original.man[Product_ID], a.nike.original.man[Rating_Group], "Not Found")</f>
        <v>0 - 2.9</v>
      </c>
      <c r="D544">
        <f>_xlfn.XLOOKUP(b.nike.views[[#This Row],[product_ID]], a.nike.original.man[Product_ID], a.nike.original.man[Rating], "Not Found")</f>
        <v>0</v>
      </c>
      <c r="E544" s="10">
        <f>ROUND(_xlfn.XLOOKUP(b.nike.views[[#This Row],[product_ID]], a.nike.original.man[Product_ID], a.nike.original.man[Sale Price], "Not Found"), 0)</f>
        <v>160</v>
      </c>
      <c r="F544" s="5" t="str" cm="1">
        <f t="array" ref="F544">_xlfn.IFS(b.nike.views[[#This Row],[Sales_Price]]&lt;=9, "under $10",b.nike.views[[#This Row],[Sales_Price]]&lt;=20, "$20 and under",b.nike.views[[#This Row],[Sales_Price]]&lt;=50, "$50 and under", b.nike.views[[#This Row],[Sales_Price]]&lt;=99, "under $100", b.nike.views[[#This Row],[Sales_Price]]&gt;=100, "$100 +")</f>
        <v>$100 +</v>
      </c>
      <c r="G544">
        <f>COUNTIF(a.nike.original.man[Product_ID], A544)</f>
        <v>1</v>
      </c>
      <c r="H544" t="str" cm="1">
        <f t="array" ref="H544">_xlfn.IFS(b.nike.views[[#This Row],[Review_Count]]&lt;=7, "Below Average",b.nike.views[[#This Row],[Review_Count]]&gt;=8, "Average +")</f>
        <v>Below Average</v>
      </c>
      <c r="I544">
        <f>SUMIF(a.nike.original.man[Product_ID],b.nike.views[[#This Row],[product_ID]], a.nike.original.man[Reviews])</f>
        <v>0</v>
      </c>
      <c r="J544" s="41">
        <f>_xlfn.XLOOKUP(b.nike.views[[#This Row],[product_ID]],a.nike.original.man[Product_ID], a.nike.original.man[Discount %], "Not Found")</f>
        <v>0</v>
      </c>
      <c r="K544" s="41"/>
      <c r="L544" t="s">
        <v>1470</v>
      </c>
    </row>
    <row r="545" spans="1:12" x14ac:dyDescent="0.2">
      <c r="A545" t="s">
        <v>1384</v>
      </c>
      <c r="B545" t="str">
        <f>_xlfn.XLOOKUP(b.nike.views[[#This Row],[product_ID]], a.nike.original.man[Product_ID], a.nike.original.man[Product Name], "Not Found")</f>
        <v>Nike Mercurial Superfly 7 Academy MDS TF</v>
      </c>
      <c r="C545" s="5" t="str">
        <f>_xlfn.XLOOKUP(b.nike.views[[#This Row],[product_ID]], a.nike.original.man[Product_ID], a.nike.original.man[Rating_Group], "Not Found")</f>
        <v>0 - 2.9</v>
      </c>
      <c r="D545">
        <f>_xlfn.XLOOKUP(b.nike.views[[#This Row],[product_ID]], a.nike.original.man[Product_ID], a.nike.original.man[Rating], "Not Found")</f>
        <v>0</v>
      </c>
      <c r="E545" s="10">
        <f>ROUND(_xlfn.XLOOKUP(b.nike.views[[#This Row],[product_ID]], a.nike.original.man[Product_ID], a.nike.original.man[Sale Price], "Not Found"), 0)</f>
        <v>90</v>
      </c>
      <c r="F545" s="5" t="str" cm="1">
        <f t="array" ref="F545">_xlfn.IFS(b.nike.views[[#This Row],[Sales_Price]]&lt;=9, "under $10",b.nike.views[[#This Row],[Sales_Price]]&lt;=20, "$20 and under",b.nike.views[[#This Row],[Sales_Price]]&lt;=50, "$50 and under", b.nike.views[[#This Row],[Sales_Price]]&lt;=99, "under $100", b.nike.views[[#This Row],[Sales_Price]]&gt;=100, "$100 +")</f>
        <v>under $100</v>
      </c>
      <c r="G545">
        <f>COUNTIF(a.nike.original.man[Product_ID], A545)</f>
        <v>1</v>
      </c>
      <c r="H545" t="str" cm="1">
        <f t="array" ref="H545">_xlfn.IFS(b.nike.views[[#This Row],[Review_Count]]&lt;=7, "Below Average",b.nike.views[[#This Row],[Review_Count]]&gt;=8, "Average +")</f>
        <v>Below Average</v>
      </c>
      <c r="I545">
        <f>SUMIF(a.nike.original.man[Product_ID],b.nike.views[[#This Row],[product_ID]], a.nike.original.man[Reviews])</f>
        <v>0</v>
      </c>
      <c r="J545" s="41">
        <f>_xlfn.XLOOKUP(b.nike.views[[#This Row],[product_ID]],a.nike.original.man[Product_ID], a.nike.original.man[Discount %], "Not Found")</f>
        <v>0</v>
      </c>
      <c r="K545" s="41"/>
      <c r="L545" t="s">
        <v>1470</v>
      </c>
    </row>
    <row r="546" spans="1:12" x14ac:dyDescent="0.2">
      <c r="A546" t="s">
        <v>1407</v>
      </c>
      <c r="B546" t="str">
        <f>_xlfn.XLOOKUP(b.nike.views[[#This Row],[product_ID]], a.nike.original.man[Product_ID], a.nike.original.man[Product Name], "Not Found")</f>
        <v>Nike x Olivia Kim Air Footscape</v>
      </c>
      <c r="C546" s="5" t="str">
        <f>_xlfn.XLOOKUP(b.nike.views[[#This Row],[product_ID]], a.nike.original.man[Product_ID], a.nike.original.man[Rating_Group], "Not Found")</f>
        <v>0 - 2.9</v>
      </c>
      <c r="D546">
        <f>_xlfn.XLOOKUP(b.nike.views[[#This Row],[product_ID]], a.nike.original.man[Product_ID], a.nike.original.man[Rating], "Not Found")</f>
        <v>0</v>
      </c>
      <c r="E546" s="10">
        <f>ROUND(_xlfn.XLOOKUP(b.nike.views[[#This Row],[product_ID]], a.nike.original.man[Product_ID], a.nike.original.man[Sale Price], "Not Found"), 0)</f>
        <v>91</v>
      </c>
      <c r="F546" s="5" t="str" cm="1">
        <f t="array" ref="F546">_xlfn.IFS(b.nike.views[[#This Row],[Sales_Price]]&lt;=9, "under $10",b.nike.views[[#This Row],[Sales_Price]]&lt;=20, "$20 and under",b.nike.views[[#This Row],[Sales_Price]]&lt;=50, "$50 and under", b.nike.views[[#This Row],[Sales_Price]]&lt;=99, "under $100", b.nike.views[[#This Row],[Sales_Price]]&gt;=100, "$100 +")</f>
        <v>under $100</v>
      </c>
      <c r="G546">
        <f>COUNTIF(a.nike.original.man[Product_ID], A546)</f>
        <v>1</v>
      </c>
      <c r="H546" t="str" cm="1">
        <f t="array" ref="H546">_xlfn.IFS(b.nike.views[[#This Row],[Review_Count]]&lt;=7, "Below Average",b.nike.views[[#This Row],[Review_Count]]&gt;=8, "Average +")</f>
        <v>Below Average</v>
      </c>
      <c r="I546">
        <f>SUMIF(a.nike.original.man[Product_ID],b.nike.views[[#This Row],[product_ID]], a.nike.original.man[Reviews])</f>
        <v>0</v>
      </c>
      <c r="J546" s="41">
        <f>_xlfn.XLOOKUP(b.nike.views[[#This Row],[product_ID]],a.nike.original.man[Product_ID], a.nike.original.man[Discount %], "Not Found")</f>
        <v>0.3</v>
      </c>
      <c r="K546" s="41"/>
      <c r="L546" t="s">
        <v>1470</v>
      </c>
    </row>
    <row r="547" spans="1:12" x14ac:dyDescent="0.2">
      <c r="A547" t="s">
        <v>1419</v>
      </c>
      <c r="B547" t="str">
        <f>_xlfn.XLOOKUP(b.nike.views[[#This Row],[product_ID]], a.nike.original.man[Product_ID], a.nike.original.man[Product Name], "Not Found")</f>
        <v>Nike Daybreak</v>
      </c>
      <c r="C547" s="5" t="str">
        <f>_xlfn.XLOOKUP(b.nike.views[[#This Row],[product_ID]], a.nike.original.man[Product_ID], a.nike.original.man[Rating_Group], "Not Found")</f>
        <v>0 - 2.9</v>
      </c>
      <c r="D547">
        <f>_xlfn.XLOOKUP(b.nike.views[[#This Row],[product_ID]], a.nike.original.man[Product_ID], a.nike.original.man[Rating], "Not Found")</f>
        <v>0</v>
      </c>
      <c r="E547" s="10">
        <f>ROUND(_xlfn.XLOOKUP(b.nike.views[[#This Row],[product_ID]], a.nike.original.man[Product_ID], a.nike.original.man[Sale Price], "Not Found"), 0)</f>
        <v>100</v>
      </c>
      <c r="F547" s="5" t="str" cm="1">
        <f t="array" ref="F547">_xlfn.IFS(b.nike.views[[#This Row],[Sales_Price]]&lt;=9, "under $10",b.nike.views[[#This Row],[Sales_Price]]&lt;=20, "$20 and under",b.nike.views[[#This Row],[Sales_Price]]&lt;=50, "$50 and under", b.nike.views[[#This Row],[Sales_Price]]&lt;=99, "under $100", b.nike.views[[#This Row],[Sales_Price]]&gt;=100, "$100 +")</f>
        <v>$100 +</v>
      </c>
      <c r="G547">
        <f>COUNTIF(a.nike.original.man[Product_ID], A547)</f>
        <v>1</v>
      </c>
      <c r="H547" t="str" cm="1">
        <f t="array" ref="H547">_xlfn.IFS(b.nike.views[[#This Row],[Review_Count]]&lt;=7, "Below Average",b.nike.views[[#This Row],[Review_Count]]&gt;=8, "Average +")</f>
        <v>Below Average</v>
      </c>
      <c r="I547">
        <f>SUMIF(a.nike.original.man[Product_ID],b.nike.views[[#This Row],[product_ID]], a.nike.original.man[Reviews])</f>
        <v>0</v>
      </c>
      <c r="J547" s="41">
        <f>_xlfn.XLOOKUP(b.nike.views[[#This Row],[product_ID]],a.nike.original.man[Product_ID], a.nike.original.man[Discount %], "Not Found")</f>
        <v>0</v>
      </c>
      <c r="K547" s="41"/>
      <c r="L547" t="s">
        <v>1470</v>
      </c>
    </row>
    <row r="548" spans="1:12" x14ac:dyDescent="0.2">
      <c r="A548" t="s">
        <v>1424</v>
      </c>
      <c r="B548" t="str">
        <f>_xlfn.XLOOKUP(b.nike.views[[#This Row],[product_ID]], a.nike.original.man[Product_ID], a.nike.original.man[Product Name], "Not Found")</f>
        <v>Nike Air Max Bella TR 3</v>
      </c>
      <c r="C548" s="5" t="str">
        <f>_xlfn.XLOOKUP(b.nike.views[[#This Row],[product_ID]], a.nike.original.man[Product_ID], a.nike.original.man[Rating_Group], "Not Found")</f>
        <v>0 - 2.9</v>
      </c>
      <c r="D548">
        <f>_xlfn.XLOOKUP(b.nike.views[[#This Row],[product_ID]], a.nike.original.man[Product_ID], a.nike.original.man[Rating], "Not Found")</f>
        <v>0</v>
      </c>
      <c r="E548" s="10">
        <f>ROUND(_xlfn.XLOOKUP(b.nike.views[[#This Row],[product_ID]], a.nike.original.man[Product_ID], a.nike.original.man[Sale Price], "Not Found"), 0)</f>
        <v>65</v>
      </c>
      <c r="F548" s="5" t="str" cm="1">
        <f t="array" ref="F548">_xlfn.IFS(b.nike.views[[#This Row],[Sales_Price]]&lt;=9, "under $10",b.nike.views[[#This Row],[Sales_Price]]&lt;=20, "$20 and under",b.nike.views[[#This Row],[Sales_Price]]&lt;=50, "$50 and under", b.nike.views[[#This Row],[Sales_Price]]&lt;=99, "under $100", b.nike.views[[#This Row],[Sales_Price]]&gt;=100, "$100 +")</f>
        <v>under $100</v>
      </c>
      <c r="G548">
        <f>COUNTIF(a.nike.original.man[Product_ID], A548)</f>
        <v>1</v>
      </c>
      <c r="H548" t="str" cm="1">
        <f t="array" ref="H548">_xlfn.IFS(b.nike.views[[#This Row],[Review_Count]]&lt;=7, "Below Average",b.nike.views[[#This Row],[Review_Count]]&gt;=8, "Average +")</f>
        <v>Below Average</v>
      </c>
      <c r="I548">
        <f>SUMIF(a.nike.original.man[Product_ID],b.nike.views[[#This Row],[product_ID]], a.nike.original.man[Reviews])</f>
        <v>0</v>
      </c>
      <c r="J548" s="41">
        <f>_xlfn.XLOOKUP(b.nike.views[[#This Row],[product_ID]],a.nike.original.man[Product_ID], a.nike.original.man[Discount %], "Not Found")</f>
        <v>0</v>
      </c>
      <c r="K548" s="41"/>
      <c r="L548" t="s">
        <v>1470</v>
      </c>
    </row>
    <row r="549" spans="1:12" x14ac:dyDescent="0.2">
      <c r="A549" t="s">
        <v>1427</v>
      </c>
      <c r="B549" t="str">
        <f>_xlfn.XLOOKUP(b.nike.views[[#This Row],[product_ID]], a.nike.original.man[Product_ID], a.nike.original.man[Product Name], "Not Found")</f>
        <v>Nike Blazer Low Suede</v>
      </c>
      <c r="C549" s="5" t="str">
        <f>_xlfn.XLOOKUP(b.nike.views[[#This Row],[product_ID]], a.nike.original.man[Product_ID], a.nike.original.man[Rating_Group], "Not Found")</f>
        <v>0 - 2.9</v>
      </c>
      <c r="D549">
        <f>_xlfn.XLOOKUP(b.nike.views[[#This Row],[product_ID]], a.nike.original.man[Product_ID], a.nike.original.man[Rating], "Not Found")</f>
        <v>0</v>
      </c>
      <c r="E549" s="10">
        <f>ROUND(_xlfn.XLOOKUP(b.nike.views[[#This Row],[product_ID]], a.nike.original.man[Product_ID], a.nike.original.man[Sale Price], "Not Found"), 0)</f>
        <v>56</v>
      </c>
      <c r="F549" s="5" t="str" cm="1">
        <f t="array" ref="F549">_xlfn.IFS(b.nike.views[[#This Row],[Sales_Price]]&lt;=9, "under $10",b.nike.views[[#This Row],[Sales_Price]]&lt;=20, "$20 and under",b.nike.views[[#This Row],[Sales_Price]]&lt;=50, "$50 and under", b.nike.views[[#This Row],[Sales_Price]]&lt;=99, "under $100", b.nike.views[[#This Row],[Sales_Price]]&gt;=100, "$100 +")</f>
        <v>under $100</v>
      </c>
      <c r="G549">
        <f>COUNTIF(a.nike.original.man[Product_ID], A549)</f>
        <v>1</v>
      </c>
      <c r="H549" t="str" cm="1">
        <f t="array" ref="H549">_xlfn.IFS(b.nike.views[[#This Row],[Review_Count]]&lt;=7, "Below Average",b.nike.views[[#This Row],[Review_Count]]&gt;=8, "Average +")</f>
        <v>Below Average</v>
      </c>
      <c r="I549">
        <f>SUMIF(a.nike.original.man[Product_ID],b.nike.views[[#This Row],[product_ID]], a.nike.original.man[Reviews])</f>
        <v>0</v>
      </c>
      <c r="J549" s="41">
        <f>_xlfn.XLOOKUP(b.nike.views[[#This Row],[product_ID]],a.nike.original.man[Product_ID], a.nike.original.man[Discount %], "Not Found")</f>
        <v>0.2</v>
      </c>
      <c r="K549" s="41"/>
      <c r="L549" t="s">
        <v>1470</v>
      </c>
    </row>
    <row r="550" spans="1:12" x14ac:dyDescent="0.2">
      <c r="A550" t="s">
        <v>1439</v>
      </c>
      <c r="B550" t="str">
        <f>_xlfn.XLOOKUP(b.nike.views[[#This Row],[product_ID]], a.nike.original.man[Product_ID], a.nike.original.man[Product Name], "Not Found")</f>
        <v>Nike Air Max 200</v>
      </c>
      <c r="C550" s="5" t="str">
        <f>_xlfn.XLOOKUP(b.nike.views[[#This Row],[product_ID]], a.nike.original.man[Product_ID], a.nike.original.man[Rating_Group], "Not Found")</f>
        <v>0 - 2.9</v>
      </c>
      <c r="D550">
        <f>_xlfn.XLOOKUP(b.nike.views[[#This Row],[product_ID]], a.nike.original.man[Product_ID], a.nike.original.man[Rating], "Not Found")</f>
        <v>0</v>
      </c>
      <c r="E550" s="10">
        <f>ROUND(_xlfn.XLOOKUP(b.nike.views[[#This Row],[product_ID]], a.nike.original.man[Product_ID], a.nike.original.man[Sale Price], "Not Found"), 0)</f>
        <v>100</v>
      </c>
      <c r="F550" s="5" t="str" cm="1">
        <f t="array" ref="F550">_xlfn.IFS(b.nike.views[[#This Row],[Sales_Price]]&lt;=9, "under $10",b.nike.views[[#This Row],[Sales_Price]]&lt;=20, "$20 and under",b.nike.views[[#This Row],[Sales_Price]]&lt;=50, "$50 and under", b.nike.views[[#This Row],[Sales_Price]]&lt;=99, "under $100", b.nike.views[[#This Row],[Sales_Price]]&gt;=100, "$100 +")</f>
        <v>$100 +</v>
      </c>
      <c r="G550">
        <f>COUNTIF(a.nike.original.man[Product_ID], A550)</f>
        <v>1</v>
      </c>
      <c r="H550" t="str" cm="1">
        <f t="array" ref="H550">_xlfn.IFS(b.nike.views[[#This Row],[Review_Count]]&lt;=7, "Below Average",b.nike.views[[#This Row],[Review_Count]]&gt;=8, "Average +")</f>
        <v>Below Average</v>
      </c>
      <c r="I550">
        <f>SUMIF(a.nike.original.man[Product_ID],b.nike.views[[#This Row],[product_ID]], a.nike.original.man[Reviews])</f>
        <v>0</v>
      </c>
      <c r="J550" s="41">
        <f>_xlfn.XLOOKUP(b.nike.views[[#This Row],[product_ID]],a.nike.original.man[Product_ID], a.nike.original.man[Discount %], "Not Found")</f>
        <v>0</v>
      </c>
      <c r="K550" s="41"/>
      <c r="L550" t="s">
        <v>1470</v>
      </c>
    </row>
    <row r="551" spans="1:12" x14ac:dyDescent="0.2">
      <c r="A551" t="s">
        <v>1442</v>
      </c>
      <c r="B551" t="str">
        <f>_xlfn.XLOOKUP(b.nike.views[[#This Row],[product_ID]], a.nike.original.man[Product_ID], a.nike.original.man[Product Name], "Not Found")</f>
        <v>Air Jordan 1 Jester XX Low Laced SE</v>
      </c>
      <c r="C551" s="5" t="str">
        <f>_xlfn.XLOOKUP(b.nike.views[[#This Row],[product_ID]], a.nike.original.man[Product_ID], a.nike.original.man[Rating_Group], "Not Found")</f>
        <v>0 - 2.9</v>
      </c>
      <c r="D551">
        <f>_xlfn.XLOOKUP(b.nike.views[[#This Row],[product_ID]], a.nike.original.man[Product_ID], a.nike.original.man[Rating], "Not Found")</f>
        <v>0</v>
      </c>
      <c r="E551" s="10">
        <f>ROUND(_xlfn.XLOOKUP(b.nike.views[[#This Row],[product_ID]], a.nike.original.man[Product_ID], a.nike.original.man[Sale Price], "Not Found"), 0)</f>
        <v>72</v>
      </c>
      <c r="F551" s="5" t="str" cm="1">
        <f t="array" ref="F551">_xlfn.IFS(b.nike.views[[#This Row],[Sales_Price]]&lt;=9, "under $10",b.nike.views[[#This Row],[Sales_Price]]&lt;=20, "$20 and under",b.nike.views[[#This Row],[Sales_Price]]&lt;=50, "$50 and under", b.nike.views[[#This Row],[Sales_Price]]&lt;=99, "under $100", b.nike.views[[#This Row],[Sales_Price]]&gt;=100, "$100 +")</f>
        <v>under $100</v>
      </c>
      <c r="G551">
        <f>COUNTIF(a.nike.original.man[Product_ID], A551)</f>
        <v>1</v>
      </c>
      <c r="H551" t="str" cm="1">
        <f t="array" ref="H551">_xlfn.IFS(b.nike.views[[#This Row],[Review_Count]]&lt;=7, "Below Average",b.nike.views[[#This Row],[Review_Count]]&gt;=8, "Average +")</f>
        <v>Below Average</v>
      </c>
      <c r="I551">
        <f>SUMIF(a.nike.original.man[Product_ID],b.nike.views[[#This Row],[product_ID]], a.nike.original.man[Reviews])</f>
        <v>0</v>
      </c>
      <c r="J551" s="41">
        <f>_xlfn.XLOOKUP(b.nike.views[[#This Row],[product_ID]],a.nike.original.man[Product_ID], a.nike.original.man[Discount %], "Not Found")</f>
        <v>0.2</v>
      </c>
      <c r="K551" s="41"/>
      <c r="L551" t="s">
        <v>1470</v>
      </c>
    </row>
    <row r="552" spans="1:12" x14ac:dyDescent="0.2">
      <c r="A552" t="s">
        <v>1445</v>
      </c>
      <c r="B552" t="str">
        <f>_xlfn.XLOOKUP(b.nike.views[[#This Row],[product_ID]], a.nike.original.man[Product_ID], a.nike.original.man[Product Name], "Not Found")</f>
        <v>Nike Mercurial Vapor 13 Club MG</v>
      </c>
      <c r="C552" s="5" t="str">
        <f>_xlfn.XLOOKUP(b.nike.views[[#This Row],[product_ID]], a.nike.original.man[Product_ID], a.nike.original.man[Rating_Group], "Not Found")</f>
        <v>0 - 2.9</v>
      </c>
      <c r="D552">
        <f>_xlfn.XLOOKUP(b.nike.views[[#This Row],[product_ID]], a.nike.original.man[Product_ID], a.nike.original.man[Rating], "Not Found")</f>
        <v>0</v>
      </c>
      <c r="E552" s="10">
        <f>ROUND(_xlfn.XLOOKUP(b.nike.views[[#This Row],[product_ID]], a.nike.original.man[Product_ID], a.nike.original.man[Sale Price], "Not Found"), 0)</f>
        <v>50</v>
      </c>
      <c r="F552" s="5" t="str" cm="1">
        <f t="array" ref="F552">_xlfn.IFS(b.nike.views[[#This Row],[Sales_Price]]&lt;=9, "under $10",b.nike.views[[#This Row],[Sales_Price]]&lt;=20, "$20 and under",b.nike.views[[#This Row],[Sales_Price]]&lt;=50, "$50 and under", b.nike.views[[#This Row],[Sales_Price]]&lt;=99, "under $100", b.nike.views[[#This Row],[Sales_Price]]&gt;=100, "$100 +")</f>
        <v>$50 and under</v>
      </c>
      <c r="G552">
        <f>COUNTIF(a.nike.original.man[Product_ID], A552)</f>
        <v>1</v>
      </c>
      <c r="H552" t="str" cm="1">
        <f t="array" ref="H552">_xlfn.IFS(b.nike.views[[#This Row],[Review_Count]]&lt;=7, "Below Average",b.nike.views[[#This Row],[Review_Count]]&gt;=8, "Average +")</f>
        <v>Below Average</v>
      </c>
      <c r="I552">
        <f>SUMIF(a.nike.original.man[Product_ID],b.nike.views[[#This Row],[product_ID]], a.nike.original.man[Reviews])</f>
        <v>0</v>
      </c>
      <c r="J552" s="41">
        <f>_xlfn.XLOOKUP(b.nike.views[[#This Row],[product_ID]],a.nike.original.man[Product_ID], a.nike.original.man[Discount %], "Not Found")</f>
        <v>0</v>
      </c>
      <c r="K552" s="41"/>
      <c r="L552" t="s">
        <v>1470</v>
      </c>
    </row>
    <row r="553" spans="1:12" x14ac:dyDescent="0.2">
      <c r="A553" t="s">
        <v>1453</v>
      </c>
      <c r="B553" t="str">
        <f>_xlfn.XLOOKUP(b.nike.views[[#This Row],[product_ID]], a.nike.original.man[Product_ID], a.nike.original.man[Product Name], "Not Found")</f>
        <v>Nike Tiempo Legend 8 Academy TF</v>
      </c>
      <c r="C553" s="5" t="str">
        <f>_xlfn.XLOOKUP(b.nike.views[[#This Row],[product_ID]], a.nike.original.man[Product_ID], a.nike.original.man[Rating_Group], "Not Found")</f>
        <v>0 - 2.9</v>
      </c>
      <c r="D553">
        <f>_xlfn.XLOOKUP(b.nike.views[[#This Row],[product_ID]], a.nike.original.man[Product_ID], a.nike.original.man[Rating], "Not Found")</f>
        <v>0</v>
      </c>
      <c r="E553" s="10">
        <f>ROUND(_xlfn.XLOOKUP(b.nike.views[[#This Row],[product_ID]], a.nike.original.man[Product_ID], a.nike.original.man[Sale Price], "Not Found"), 0)</f>
        <v>65</v>
      </c>
      <c r="F553" s="5" t="str" cm="1">
        <f t="array" ref="F553">_xlfn.IFS(b.nike.views[[#This Row],[Sales_Price]]&lt;=9, "under $10",b.nike.views[[#This Row],[Sales_Price]]&lt;=20, "$20 and under",b.nike.views[[#This Row],[Sales_Price]]&lt;=50, "$50 and under", b.nike.views[[#This Row],[Sales_Price]]&lt;=99, "under $100", b.nike.views[[#This Row],[Sales_Price]]&gt;=100, "$100 +")</f>
        <v>under $100</v>
      </c>
      <c r="G553">
        <f>COUNTIF(a.nike.original.man[Product_ID], A553)</f>
        <v>1</v>
      </c>
      <c r="H553" t="str" cm="1">
        <f t="array" ref="H553">_xlfn.IFS(b.nike.views[[#This Row],[Review_Count]]&lt;=7, "Below Average",b.nike.views[[#This Row],[Review_Count]]&gt;=8, "Average +")</f>
        <v>Below Average</v>
      </c>
      <c r="I553">
        <f>SUMIF(a.nike.original.man[Product_ID],b.nike.views[[#This Row],[product_ID]], a.nike.original.man[Reviews])</f>
        <v>0</v>
      </c>
      <c r="J553" s="41">
        <f>_xlfn.XLOOKUP(b.nike.views[[#This Row],[product_ID]],a.nike.original.man[Product_ID], a.nike.original.man[Discount %], "Not Found")</f>
        <v>0</v>
      </c>
      <c r="K553" s="41"/>
      <c r="L553" t="s">
        <v>1470</v>
      </c>
    </row>
    <row r="554" spans="1:12" x14ac:dyDescent="0.2">
      <c r="A554" t="s">
        <v>1463</v>
      </c>
      <c r="B554" t="str">
        <f>_xlfn.XLOOKUP(b.nike.views[[#This Row],[product_ID]], a.nike.original.man[Product_ID], a.nike.original.man[Product Name], "Not Found")</f>
        <v>Nike P-6000 SE</v>
      </c>
      <c r="C554" s="5" t="str">
        <f>_xlfn.XLOOKUP(b.nike.views[[#This Row],[product_ID]], a.nike.original.man[Product_ID], a.nike.original.man[Rating_Group], "Not Found")</f>
        <v>0 - 2.9</v>
      </c>
      <c r="D554">
        <f>_xlfn.XLOOKUP(b.nike.views[[#This Row],[product_ID]], a.nike.original.man[Product_ID], a.nike.original.man[Rating], "Not Found")</f>
        <v>0</v>
      </c>
      <c r="E554" s="10">
        <f>ROUND(_xlfn.XLOOKUP(b.nike.views[[#This Row],[product_ID]], a.nike.original.man[Product_ID], a.nike.original.man[Sale Price], "Not Found"), 0)</f>
        <v>63</v>
      </c>
      <c r="F554" s="5" t="str" cm="1">
        <f t="array" ref="F554">_xlfn.IFS(b.nike.views[[#This Row],[Sales_Price]]&lt;=9, "under $10",b.nike.views[[#This Row],[Sales_Price]]&lt;=20, "$20 and under",b.nike.views[[#This Row],[Sales_Price]]&lt;=50, "$50 and under", b.nike.views[[#This Row],[Sales_Price]]&lt;=99, "under $100", b.nike.views[[#This Row],[Sales_Price]]&gt;=100, "$100 +")</f>
        <v>under $100</v>
      </c>
      <c r="G554">
        <f>COUNTIF(a.nike.original.man[Product_ID], A554)</f>
        <v>1</v>
      </c>
      <c r="H554" t="str" cm="1">
        <f t="array" ref="H554">_xlfn.IFS(b.nike.views[[#This Row],[Review_Count]]&lt;=7, "Below Average",b.nike.views[[#This Row],[Review_Count]]&gt;=8, "Average +")</f>
        <v>Below Average</v>
      </c>
      <c r="I554">
        <f>SUMIF(a.nike.original.man[Product_ID],b.nike.views[[#This Row],[product_ID]], a.nike.original.man[Reviews])</f>
        <v>0</v>
      </c>
      <c r="J554" s="41">
        <f>_xlfn.XLOOKUP(b.nike.views[[#This Row],[product_ID]],a.nike.original.man[Product_ID], a.nike.original.man[Discount %], "Not Found")</f>
        <v>0.3</v>
      </c>
      <c r="K554" s="41"/>
      <c r="L554" t="s">
        <v>1470</v>
      </c>
    </row>
  </sheetData>
  <phoneticPr fontId="23" type="noConversion"/>
  <conditionalFormatting sqref="A398:A554 A2:A396">
    <cfRule type="duplicateValues" dxfId="3"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1B07-3AF0-3F4B-A1D0-9DB8BDDBB1DD}">
  <dimension ref="A1:O143"/>
  <sheetViews>
    <sheetView topLeftCell="B1" zoomScale="114" workbookViewId="0">
      <selection activeCell="L6" sqref="L6"/>
    </sheetView>
  </sheetViews>
  <sheetFormatPr baseColWidth="10" defaultRowHeight="16" x14ac:dyDescent="0.2"/>
  <cols>
    <col min="1" max="1" width="15.33203125" customWidth="1"/>
    <col min="2" max="2" width="22" customWidth="1"/>
    <col min="3" max="3" width="13.6640625" customWidth="1"/>
    <col min="4" max="4" width="11.6640625" customWidth="1"/>
    <col min="5" max="5" width="13.1640625" style="327" customWidth="1"/>
    <col min="6" max="6" width="19" customWidth="1"/>
    <col min="7" max="7" width="13.33203125" customWidth="1"/>
    <col min="8" max="9" width="15.1640625" customWidth="1"/>
    <col min="11" max="11" width="15.1640625" customWidth="1"/>
  </cols>
  <sheetData>
    <row r="1" spans="1:15" x14ac:dyDescent="0.2">
      <c r="A1" t="s">
        <v>1483</v>
      </c>
      <c r="B1" t="s">
        <v>1484</v>
      </c>
      <c r="C1" t="s">
        <v>1486</v>
      </c>
      <c r="D1" t="s">
        <v>5</v>
      </c>
      <c r="E1" s="327" t="s">
        <v>1487</v>
      </c>
      <c r="F1" t="s">
        <v>1907</v>
      </c>
      <c r="G1" t="s">
        <v>1485</v>
      </c>
      <c r="H1" t="s">
        <v>1468</v>
      </c>
      <c r="I1" t="s">
        <v>1488</v>
      </c>
      <c r="J1" t="s">
        <v>1469</v>
      </c>
    </row>
    <row r="2" spans="1:15" x14ac:dyDescent="0.2">
      <c r="A2" t="s">
        <v>204</v>
      </c>
      <c r="B2" t="s">
        <v>37</v>
      </c>
      <c r="C2" t="s">
        <v>1494</v>
      </c>
      <c r="D2">
        <v>5</v>
      </c>
      <c r="E2" s="328">
        <v>100</v>
      </c>
      <c r="F2" t="s">
        <v>1495</v>
      </c>
      <c r="G2">
        <v>1</v>
      </c>
      <c r="H2" t="s">
        <v>1755</v>
      </c>
      <c r="I2">
        <v>9</v>
      </c>
      <c r="J2" t="s">
        <v>1470</v>
      </c>
    </row>
    <row r="3" spans="1:15" x14ac:dyDescent="0.2">
      <c r="A3" t="s">
        <v>38</v>
      </c>
      <c r="B3" t="s">
        <v>37</v>
      </c>
      <c r="C3" t="s">
        <v>1494</v>
      </c>
      <c r="D3">
        <v>5</v>
      </c>
      <c r="E3" s="328">
        <v>100</v>
      </c>
      <c r="F3" t="s">
        <v>1495</v>
      </c>
      <c r="G3">
        <v>1</v>
      </c>
      <c r="H3" t="s">
        <v>1755</v>
      </c>
      <c r="I3">
        <v>9</v>
      </c>
      <c r="J3" t="s">
        <v>1470</v>
      </c>
    </row>
    <row r="4" spans="1:15" x14ac:dyDescent="0.2">
      <c r="A4" t="s">
        <v>118</v>
      </c>
      <c r="B4" t="s">
        <v>117</v>
      </c>
      <c r="C4" t="s">
        <v>1494</v>
      </c>
      <c r="D4">
        <v>4.8</v>
      </c>
      <c r="E4" s="328">
        <v>100</v>
      </c>
      <c r="F4" t="s">
        <v>1495</v>
      </c>
      <c r="G4">
        <v>1</v>
      </c>
      <c r="H4" t="s">
        <v>1755</v>
      </c>
      <c r="I4">
        <v>13</v>
      </c>
      <c r="J4" t="s">
        <v>1470</v>
      </c>
    </row>
    <row r="5" spans="1:15" x14ac:dyDescent="0.2">
      <c r="A5" t="s">
        <v>1106</v>
      </c>
      <c r="B5" t="s">
        <v>505</v>
      </c>
      <c r="C5" t="s">
        <v>1494</v>
      </c>
      <c r="D5">
        <v>4.8</v>
      </c>
      <c r="E5" s="328">
        <v>140</v>
      </c>
      <c r="F5" t="s">
        <v>1495</v>
      </c>
      <c r="G5">
        <v>1</v>
      </c>
      <c r="H5" t="s">
        <v>1755</v>
      </c>
      <c r="I5">
        <v>12</v>
      </c>
      <c r="J5" t="s">
        <v>1470</v>
      </c>
      <c r="O5">
        <f>COUNTA(_xlfn.UNIQUE(#REF!))</f>
        <v>1</v>
      </c>
    </row>
    <row r="6" spans="1:15" x14ac:dyDescent="0.2">
      <c r="A6" t="s">
        <v>556</v>
      </c>
      <c r="B6" t="s">
        <v>555</v>
      </c>
      <c r="C6" t="s">
        <v>1494</v>
      </c>
      <c r="D6">
        <v>4.8</v>
      </c>
      <c r="E6" s="328">
        <v>190</v>
      </c>
      <c r="F6" t="s">
        <v>1495</v>
      </c>
      <c r="G6">
        <v>1</v>
      </c>
      <c r="H6" t="s">
        <v>1755</v>
      </c>
      <c r="I6">
        <v>11</v>
      </c>
      <c r="J6" t="s">
        <v>1470</v>
      </c>
    </row>
    <row r="7" spans="1:15" x14ac:dyDescent="0.2">
      <c r="A7" t="s">
        <v>1304</v>
      </c>
      <c r="B7" t="s">
        <v>1303</v>
      </c>
      <c r="C7" t="s">
        <v>1494</v>
      </c>
      <c r="D7">
        <v>4.8</v>
      </c>
      <c r="E7" s="328">
        <v>112</v>
      </c>
      <c r="F7" t="s">
        <v>1495</v>
      </c>
      <c r="G7">
        <v>2</v>
      </c>
      <c r="H7" t="s">
        <v>1755</v>
      </c>
      <c r="I7">
        <v>8</v>
      </c>
      <c r="J7" t="s">
        <v>1470</v>
      </c>
    </row>
    <row r="8" spans="1:15" x14ac:dyDescent="0.2">
      <c r="A8" t="s">
        <v>359</v>
      </c>
      <c r="B8" t="s">
        <v>358</v>
      </c>
      <c r="C8" t="s">
        <v>1494</v>
      </c>
      <c r="D8">
        <v>4.7</v>
      </c>
      <c r="E8" s="328">
        <v>160</v>
      </c>
      <c r="F8" t="s">
        <v>1495</v>
      </c>
      <c r="G8">
        <v>1</v>
      </c>
      <c r="H8" t="s">
        <v>1755</v>
      </c>
      <c r="I8">
        <v>223</v>
      </c>
      <c r="J8" t="s">
        <v>1470</v>
      </c>
    </row>
    <row r="9" spans="1:15" x14ac:dyDescent="0.2">
      <c r="A9" t="s">
        <v>791</v>
      </c>
      <c r="B9" t="s">
        <v>790</v>
      </c>
      <c r="C9" t="s">
        <v>1494</v>
      </c>
      <c r="D9">
        <v>4.7</v>
      </c>
      <c r="E9" s="328">
        <v>200</v>
      </c>
      <c r="F9" t="s">
        <v>1495</v>
      </c>
      <c r="G9">
        <v>2</v>
      </c>
      <c r="H9" t="s">
        <v>1755</v>
      </c>
      <c r="I9">
        <v>90</v>
      </c>
      <c r="J9" t="s">
        <v>1470</v>
      </c>
    </row>
    <row r="10" spans="1:15" x14ac:dyDescent="0.2">
      <c r="A10" t="s">
        <v>554</v>
      </c>
      <c r="B10" t="s">
        <v>37</v>
      </c>
      <c r="C10" t="s">
        <v>1494</v>
      </c>
      <c r="D10">
        <v>4.7</v>
      </c>
      <c r="E10" s="328">
        <v>100</v>
      </c>
      <c r="F10" t="s">
        <v>1495</v>
      </c>
      <c r="G10">
        <v>1</v>
      </c>
      <c r="H10" t="s">
        <v>1755</v>
      </c>
      <c r="I10">
        <v>9</v>
      </c>
      <c r="J10" t="s">
        <v>1470</v>
      </c>
    </row>
    <row r="11" spans="1:15" x14ac:dyDescent="0.2">
      <c r="A11" t="s">
        <v>436</v>
      </c>
      <c r="B11" t="s">
        <v>435</v>
      </c>
      <c r="C11" t="s">
        <v>1494</v>
      </c>
      <c r="D11">
        <v>4.5999999999999996</v>
      </c>
      <c r="E11" s="328">
        <v>140</v>
      </c>
      <c r="F11" t="s">
        <v>1495</v>
      </c>
      <c r="G11">
        <v>1</v>
      </c>
      <c r="H11" t="s">
        <v>1755</v>
      </c>
      <c r="I11">
        <v>68</v>
      </c>
      <c r="J11" t="s">
        <v>1470</v>
      </c>
    </row>
    <row r="12" spans="1:15" x14ac:dyDescent="0.2">
      <c r="A12" t="s">
        <v>549</v>
      </c>
      <c r="B12" t="s">
        <v>548</v>
      </c>
      <c r="C12" t="s">
        <v>1494</v>
      </c>
      <c r="D12">
        <v>4.5999999999999996</v>
      </c>
      <c r="E12" s="328">
        <v>130</v>
      </c>
      <c r="F12" t="s">
        <v>1495</v>
      </c>
      <c r="G12">
        <v>2</v>
      </c>
      <c r="H12" t="s">
        <v>1755</v>
      </c>
      <c r="I12">
        <v>36</v>
      </c>
      <c r="J12" t="s">
        <v>1470</v>
      </c>
    </row>
    <row r="13" spans="1:15" x14ac:dyDescent="0.2">
      <c r="A13" t="s">
        <v>932</v>
      </c>
      <c r="B13" t="s">
        <v>931</v>
      </c>
      <c r="C13" t="s">
        <v>1494</v>
      </c>
      <c r="D13">
        <v>4.5999999999999996</v>
      </c>
      <c r="E13" s="328">
        <v>190</v>
      </c>
      <c r="F13" t="s">
        <v>1495</v>
      </c>
      <c r="G13">
        <v>2</v>
      </c>
      <c r="H13" t="s">
        <v>1755</v>
      </c>
      <c r="I13">
        <v>16</v>
      </c>
      <c r="J13" t="s">
        <v>1470</v>
      </c>
    </row>
    <row r="14" spans="1:15" x14ac:dyDescent="0.2">
      <c r="A14" t="s">
        <v>492</v>
      </c>
      <c r="B14" t="s">
        <v>491</v>
      </c>
      <c r="C14" t="s">
        <v>1494</v>
      </c>
      <c r="D14">
        <v>4.5999999999999996</v>
      </c>
      <c r="E14" s="328">
        <v>150</v>
      </c>
      <c r="F14" t="s">
        <v>1495</v>
      </c>
      <c r="G14">
        <v>1</v>
      </c>
      <c r="H14" t="s">
        <v>1755</v>
      </c>
      <c r="I14">
        <v>15</v>
      </c>
      <c r="J14" t="s">
        <v>1470</v>
      </c>
    </row>
    <row r="15" spans="1:15" x14ac:dyDescent="0.2">
      <c r="A15" t="s">
        <v>804</v>
      </c>
      <c r="B15" t="s">
        <v>803</v>
      </c>
      <c r="C15" t="s">
        <v>1494</v>
      </c>
      <c r="D15">
        <v>4.5999999999999996</v>
      </c>
      <c r="E15" s="328">
        <v>140</v>
      </c>
      <c r="F15" t="s">
        <v>1495</v>
      </c>
      <c r="G15">
        <v>1</v>
      </c>
      <c r="H15" t="s">
        <v>1755</v>
      </c>
      <c r="I15">
        <v>14</v>
      </c>
      <c r="J15" t="s">
        <v>1470</v>
      </c>
    </row>
    <row r="16" spans="1:15" x14ac:dyDescent="0.2">
      <c r="A16" t="s">
        <v>512</v>
      </c>
      <c r="B16" t="s">
        <v>511</v>
      </c>
      <c r="C16" t="s">
        <v>1494</v>
      </c>
      <c r="D16">
        <v>4.5999999999999996</v>
      </c>
      <c r="E16" s="328">
        <v>110</v>
      </c>
      <c r="F16" t="s">
        <v>1495</v>
      </c>
      <c r="G16">
        <v>1</v>
      </c>
      <c r="H16" t="s">
        <v>1755</v>
      </c>
      <c r="I16">
        <v>12</v>
      </c>
      <c r="J16" t="s">
        <v>1470</v>
      </c>
    </row>
    <row r="17" spans="1:10" x14ac:dyDescent="0.2">
      <c r="A17" t="s">
        <v>641</v>
      </c>
      <c r="B17" t="s">
        <v>640</v>
      </c>
      <c r="C17" t="s">
        <v>1494</v>
      </c>
      <c r="D17">
        <v>4.5999999999999996</v>
      </c>
      <c r="E17" s="328">
        <v>112</v>
      </c>
      <c r="F17" t="s">
        <v>1495</v>
      </c>
      <c r="G17">
        <v>2</v>
      </c>
      <c r="H17" t="s">
        <v>1755</v>
      </c>
      <c r="I17">
        <v>10</v>
      </c>
      <c r="J17" t="s">
        <v>1470</v>
      </c>
    </row>
    <row r="18" spans="1:10" x14ac:dyDescent="0.2">
      <c r="A18" t="s">
        <v>189</v>
      </c>
      <c r="B18" t="s">
        <v>188</v>
      </c>
      <c r="C18" t="s">
        <v>1494</v>
      </c>
      <c r="D18">
        <v>4.5</v>
      </c>
      <c r="E18" s="328">
        <v>170</v>
      </c>
      <c r="F18" t="s">
        <v>1495</v>
      </c>
      <c r="G18">
        <v>2</v>
      </c>
      <c r="H18" t="s">
        <v>1755</v>
      </c>
      <c r="I18">
        <v>94</v>
      </c>
      <c r="J18" t="s">
        <v>1470</v>
      </c>
    </row>
    <row r="19" spans="1:10" x14ac:dyDescent="0.2">
      <c r="A19" t="s">
        <v>130</v>
      </c>
      <c r="B19" t="s">
        <v>129</v>
      </c>
      <c r="C19" t="s">
        <v>1494</v>
      </c>
      <c r="D19">
        <v>4.5</v>
      </c>
      <c r="E19" s="328">
        <v>100</v>
      </c>
      <c r="F19" t="s">
        <v>1495</v>
      </c>
      <c r="G19">
        <v>1</v>
      </c>
      <c r="H19" t="s">
        <v>1755</v>
      </c>
      <c r="I19">
        <v>61</v>
      </c>
      <c r="J19" t="s">
        <v>1470</v>
      </c>
    </row>
    <row r="20" spans="1:10" x14ac:dyDescent="0.2">
      <c r="A20" t="s">
        <v>362</v>
      </c>
      <c r="B20" t="s">
        <v>361</v>
      </c>
      <c r="C20" t="s">
        <v>1494</v>
      </c>
      <c r="D20">
        <v>4.5</v>
      </c>
      <c r="E20" s="328">
        <v>160</v>
      </c>
      <c r="F20" t="s">
        <v>1495</v>
      </c>
      <c r="G20">
        <v>2</v>
      </c>
      <c r="H20" t="s">
        <v>1755</v>
      </c>
      <c r="I20">
        <v>48</v>
      </c>
      <c r="J20" t="s">
        <v>1470</v>
      </c>
    </row>
    <row r="21" spans="1:10" x14ac:dyDescent="0.2">
      <c r="A21" t="s">
        <v>161</v>
      </c>
      <c r="B21" t="s">
        <v>51</v>
      </c>
      <c r="C21" t="s">
        <v>1494</v>
      </c>
      <c r="D21">
        <v>4.5</v>
      </c>
      <c r="E21" s="328">
        <v>100</v>
      </c>
      <c r="F21" t="s">
        <v>1495</v>
      </c>
      <c r="G21">
        <v>1</v>
      </c>
      <c r="H21" t="s">
        <v>1755</v>
      </c>
      <c r="I21">
        <v>31</v>
      </c>
      <c r="J21" t="s">
        <v>1470</v>
      </c>
    </row>
    <row r="22" spans="1:10" x14ac:dyDescent="0.2">
      <c r="A22" t="s">
        <v>49</v>
      </c>
      <c r="B22" t="s">
        <v>48</v>
      </c>
      <c r="C22" t="s">
        <v>1494</v>
      </c>
      <c r="D22">
        <v>4.4000000000000004</v>
      </c>
      <c r="E22" s="328">
        <v>170</v>
      </c>
      <c r="F22" t="s">
        <v>1495</v>
      </c>
      <c r="G22">
        <v>1</v>
      </c>
      <c r="H22" t="s">
        <v>1755</v>
      </c>
      <c r="I22">
        <v>48</v>
      </c>
      <c r="J22" t="s">
        <v>1470</v>
      </c>
    </row>
    <row r="23" spans="1:10" x14ac:dyDescent="0.2">
      <c r="A23" t="s">
        <v>302</v>
      </c>
      <c r="B23" t="s">
        <v>301</v>
      </c>
      <c r="C23" t="s">
        <v>1494</v>
      </c>
      <c r="D23">
        <v>4.4000000000000004</v>
      </c>
      <c r="E23" s="328">
        <v>128</v>
      </c>
      <c r="F23" t="s">
        <v>1495</v>
      </c>
      <c r="G23">
        <v>2</v>
      </c>
      <c r="H23" t="s">
        <v>1755</v>
      </c>
      <c r="I23">
        <v>36</v>
      </c>
      <c r="J23" t="s">
        <v>1470</v>
      </c>
    </row>
    <row r="24" spans="1:10" x14ac:dyDescent="0.2">
      <c r="A24" t="s">
        <v>52</v>
      </c>
      <c r="B24" t="s">
        <v>51</v>
      </c>
      <c r="C24" t="s">
        <v>1494</v>
      </c>
      <c r="D24">
        <v>4.4000000000000004</v>
      </c>
      <c r="E24" s="328">
        <v>100</v>
      </c>
      <c r="F24" t="s">
        <v>1495</v>
      </c>
      <c r="G24">
        <v>1</v>
      </c>
      <c r="H24" t="s">
        <v>1755</v>
      </c>
      <c r="I24">
        <v>34</v>
      </c>
      <c r="J24" t="s">
        <v>1470</v>
      </c>
    </row>
    <row r="25" spans="1:10" x14ac:dyDescent="0.2">
      <c r="A25" t="s">
        <v>1081</v>
      </c>
      <c r="B25" t="s">
        <v>78</v>
      </c>
      <c r="C25" t="s">
        <v>1494</v>
      </c>
      <c r="D25">
        <v>4.4000000000000004</v>
      </c>
      <c r="E25" s="328">
        <v>120</v>
      </c>
      <c r="F25" t="s">
        <v>1495</v>
      </c>
      <c r="G25">
        <v>1</v>
      </c>
      <c r="H25" t="s">
        <v>1755</v>
      </c>
      <c r="I25">
        <v>26</v>
      </c>
      <c r="J25" t="s">
        <v>1470</v>
      </c>
    </row>
    <row r="26" spans="1:10" x14ac:dyDescent="0.2">
      <c r="A26" t="s">
        <v>846</v>
      </c>
      <c r="B26" t="s">
        <v>845</v>
      </c>
      <c r="C26" t="s">
        <v>1494</v>
      </c>
      <c r="D26">
        <v>4.4000000000000004</v>
      </c>
      <c r="E26" s="328">
        <v>119</v>
      </c>
      <c r="F26" t="s">
        <v>1495</v>
      </c>
      <c r="G26">
        <v>1</v>
      </c>
      <c r="H26" t="s">
        <v>1755</v>
      </c>
      <c r="I26">
        <v>25</v>
      </c>
      <c r="J26" t="s">
        <v>1470</v>
      </c>
    </row>
    <row r="27" spans="1:10" x14ac:dyDescent="0.2">
      <c r="A27" t="s">
        <v>73</v>
      </c>
      <c r="B27" t="s">
        <v>72</v>
      </c>
      <c r="C27" t="s">
        <v>1494</v>
      </c>
      <c r="D27">
        <v>4.4000000000000004</v>
      </c>
      <c r="E27" s="328">
        <v>110</v>
      </c>
      <c r="F27" t="s">
        <v>1495</v>
      </c>
      <c r="G27">
        <v>1</v>
      </c>
      <c r="H27" t="s">
        <v>1755</v>
      </c>
      <c r="I27">
        <v>22</v>
      </c>
      <c r="J27" t="s">
        <v>1470</v>
      </c>
    </row>
    <row r="28" spans="1:10" x14ac:dyDescent="0.2">
      <c r="A28" t="s">
        <v>917</v>
      </c>
      <c r="B28" t="s">
        <v>400</v>
      </c>
      <c r="C28" t="s">
        <v>1494</v>
      </c>
      <c r="D28">
        <v>4.4000000000000004</v>
      </c>
      <c r="E28" s="328">
        <v>100</v>
      </c>
      <c r="F28" t="s">
        <v>1495</v>
      </c>
      <c r="G28">
        <v>1</v>
      </c>
      <c r="H28" t="s">
        <v>1755</v>
      </c>
      <c r="I28">
        <v>19</v>
      </c>
      <c r="J28" t="s">
        <v>1470</v>
      </c>
    </row>
    <row r="29" spans="1:10" x14ac:dyDescent="0.2">
      <c r="A29" t="s">
        <v>1001</v>
      </c>
      <c r="B29" t="s">
        <v>1000</v>
      </c>
      <c r="C29" t="s">
        <v>1494</v>
      </c>
      <c r="D29">
        <v>4.4000000000000004</v>
      </c>
      <c r="E29" s="328">
        <v>160</v>
      </c>
      <c r="F29" t="s">
        <v>1495</v>
      </c>
      <c r="G29">
        <v>1</v>
      </c>
      <c r="H29" t="s">
        <v>1755</v>
      </c>
      <c r="I29">
        <v>10</v>
      </c>
      <c r="J29" t="s">
        <v>1470</v>
      </c>
    </row>
    <row r="30" spans="1:10" x14ac:dyDescent="0.2">
      <c r="A30" t="s">
        <v>503</v>
      </c>
      <c r="B30" t="s">
        <v>502</v>
      </c>
      <c r="C30" t="s">
        <v>1494</v>
      </c>
      <c r="D30">
        <v>4.3</v>
      </c>
      <c r="E30" s="328">
        <v>145</v>
      </c>
      <c r="F30" t="s">
        <v>1495</v>
      </c>
      <c r="G30">
        <v>1</v>
      </c>
      <c r="H30" t="s">
        <v>1755</v>
      </c>
      <c r="I30">
        <v>105</v>
      </c>
      <c r="J30" t="s">
        <v>1470</v>
      </c>
    </row>
    <row r="31" spans="1:10" x14ac:dyDescent="0.2">
      <c r="A31" t="s">
        <v>1162</v>
      </c>
      <c r="B31" t="s">
        <v>56</v>
      </c>
      <c r="C31" t="s">
        <v>1494</v>
      </c>
      <c r="D31">
        <v>4.3</v>
      </c>
      <c r="E31" s="328">
        <v>119</v>
      </c>
      <c r="F31" t="s">
        <v>1495</v>
      </c>
      <c r="G31">
        <v>1</v>
      </c>
      <c r="H31" t="s">
        <v>1755</v>
      </c>
      <c r="I31">
        <v>17</v>
      </c>
      <c r="J31" t="s">
        <v>1470</v>
      </c>
    </row>
    <row r="32" spans="1:10" x14ac:dyDescent="0.2">
      <c r="A32" t="s">
        <v>57</v>
      </c>
      <c r="B32" t="s">
        <v>56</v>
      </c>
      <c r="C32" t="s">
        <v>1494</v>
      </c>
      <c r="D32">
        <v>4.3</v>
      </c>
      <c r="E32" s="328">
        <v>170</v>
      </c>
      <c r="F32" t="s">
        <v>1495</v>
      </c>
      <c r="G32">
        <v>1</v>
      </c>
      <c r="H32" t="s">
        <v>1755</v>
      </c>
      <c r="I32">
        <v>16</v>
      </c>
      <c r="J32" t="s">
        <v>1470</v>
      </c>
    </row>
    <row r="33" spans="1:10" x14ac:dyDescent="0.2">
      <c r="A33" t="s">
        <v>1180</v>
      </c>
      <c r="B33" t="s">
        <v>1179</v>
      </c>
      <c r="C33" t="s">
        <v>1494</v>
      </c>
      <c r="D33">
        <v>4.3</v>
      </c>
      <c r="E33" s="328">
        <v>230</v>
      </c>
      <c r="F33" t="s">
        <v>1495</v>
      </c>
      <c r="G33">
        <v>2</v>
      </c>
      <c r="H33" t="s">
        <v>1755</v>
      </c>
      <c r="I33">
        <v>16</v>
      </c>
      <c r="J33" t="s">
        <v>1470</v>
      </c>
    </row>
    <row r="34" spans="1:10" x14ac:dyDescent="0.2">
      <c r="A34" t="s">
        <v>1332</v>
      </c>
      <c r="B34" t="s">
        <v>797</v>
      </c>
      <c r="C34" t="s">
        <v>1494</v>
      </c>
      <c r="D34">
        <v>4.3</v>
      </c>
      <c r="E34" s="328">
        <v>100</v>
      </c>
      <c r="F34" t="s">
        <v>1495</v>
      </c>
      <c r="G34">
        <v>1</v>
      </c>
      <c r="H34" t="s">
        <v>1755</v>
      </c>
      <c r="I34">
        <v>14</v>
      </c>
      <c r="J34" t="s">
        <v>1470</v>
      </c>
    </row>
    <row r="35" spans="1:10" x14ac:dyDescent="0.2">
      <c r="A35" t="s">
        <v>812</v>
      </c>
      <c r="B35" t="s">
        <v>811</v>
      </c>
      <c r="C35" t="s">
        <v>1494</v>
      </c>
      <c r="D35">
        <v>4.3</v>
      </c>
      <c r="E35" s="328">
        <v>120</v>
      </c>
      <c r="F35" t="s">
        <v>1495</v>
      </c>
      <c r="G35">
        <v>1</v>
      </c>
      <c r="H35" t="s">
        <v>1755</v>
      </c>
      <c r="I35">
        <v>10</v>
      </c>
      <c r="J35" t="s">
        <v>1470</v>
      </c>
    </row>
    <row r="36" spans="1:10" x14ac:dyDescent="0.2">
      <c r="A36" t="s">
        <v>546</v>
      </c>
      <c r="B36" t="s">
        <v>111</v>
      </c>
      <c r="C36" t="s">
        <v>1494</v>
      </c>
      <c r="D36">
        <v>4.2</v>
      </c>
      <c r="E36" s="328">
        <v>128</v>
      </c>
      <c r="F36" t="s">
        <v>1495</v>
      </c>
      <c r="G36">
        <v>1</v>
      </c>
      <c r="H36" t="s">
        <v>1755</v>
      </c>
      <c r="I36">
        <v>62</v>
      </c>
      <c r="J36" t="s">
        <v>1470</v>
      </c>
    </row>
    <row r="37" spans="1:10" x14ac:dyDescent="0.2">
      <c r="A37" t="s">
        <v>1161</v>
      </c>
      <c r="B37" t="s">
        <v>903</v>
      </c>
      <c r="C37" t="s">
        <v>1494</v>
      </c>
      <c r="D37">
        <v>4.2</v>
      </c>
      <c r="E37" s="328">
        <v>104</v>
      </c>
      <c r="F37" t="s">
        <v>1495</v>
      </c>
      <c r="G37">
        <v>1</v>
      </c>
      <c r="H37" t="s">
        <v>1755</v>
      </c>
      <c r="I37">
        <v>45</v>
      </c>
      <c r="J37" t="s">
        <v>1470</v>
      </c>
    </row>
    <row r="38" spans="1:10" x14ac:dyDescent="0.2">
      <c r="A38" t="s">
        <v>969</v>
      </c>
      <c r="B38" t="s">
        <v>968</v>
      </c>
      <c r="C38" t="s">
        <v>1494</v>
      </c>
      <c r="D38">
        <v>4.2</v>
      </c>
      <c r="E38" s="328">
        <v>160</v>
      </c>
      <c r="F38" t="s">
        <v>1495</v>
      </c>
      <c r="G38">
        <v>1</v>
      </c>
      <c r="H38" t="s">
        <v>1755</v>
      </c>
      <c r="I38">
        <v>42</v>
      </c>
      <c r="J38" t="s">
        <v>1470</v>
      </c>
    </row>
    <row r="39" spans="1:10" x14ac:dyDescent="0.2">
      <c r="A39" t="s">
        <v>524</v>
      </c>
      <c r="B39" t="s">
        <v>523</v>
      </c>
      <c r="C39" t="s">
        <v>1494</v>
      </c>
      <c r="D39">
        <v>4.2</v>
      </c>
      <c r="E39" s="328">
        <v>100</v>
      </c>
      <c r="F39" t="s">
        <v>1495</v>
      </c>
      <c r="G39">
        <v>1</v>
      </c>
      <c r="H39" t="s">
        <v>1755</v>
      </c>
      <c r="I39">
        <v>30</v>
      </c>
      <c r="J39" t="s">
        <v>1470</v>
      </c>
    </row>
    <row r="40" spans="1:10" x14ac:dyDescent="0.2">
      <c r="A40" t="s">
        <v>715</v>
      </c>
      <c r="B40" t="s">
        <v>435</v>
      </c>
      <c r="C40" t="s">
        <v>1494</v>
      </c>
      <c r="D40">
        <v>4.2</v>
      </c>
      <c r="E40" s="328">
        <v>140</v>
      </c>
      <c r="F40" t="s">
        <v>1495</v>
      </c>
      <c r="G40">
        <v>1</v>
      </c>
      <c r="H40" t="s">
        <v>1755</v>
      </c>
      <c r="I40">
        <v>29</v>
      </c>
      <c r="J40" t="s">
        <v>1470</v>
      </c>
    </row>
    <row r="41" spans="1:10" x14ac:dyDescent="0.2">
      <c r="A41" t="s">
        <v>495</v>
      </c>
      <c r="B41" t="s">
        <v>494</v>
      </c>
      <c r="C41" t="s">
        <v>1494</v>
      </c>
      <c r="D41">
        <v>4.2</v>
      </c>
      <c r="E41" s="328">
        <v>120</v>
      </c>
      <c r="F41" t="s">
        <v>1495</v>
      </c>
      <c r="G41">
        <v>1</v>
      </c>
      <c r="H41" t="s">
        <v>1755</v>
      </c>
      <c r="I41">
        <v>23</v>
      </c>
      <c r="J41" t="s">
        <v>1470</v>
      </c>
    </row>
    <row r="42" spans="1:10" x14ac:dyDescent="0.2">
      <c r="A42" t="s">
        <v>1017</v>
      </c>
      <c r="B42" t="s">
        <v>1016</v>
      </c>
      <c r="C42" t="s">
        <v>1494</v>
      </c>
      <c r="D42">
        <v>4.2</v>
      </c>
      <c r="E42" s="328">
        <v>144</v>
      </c>
      <c r="F42" t="s">
        <v>1495</v>
      </c>
      <c r="G42">
        <v>1</v>
      </c>
      <c r="H42" t="s">
        <v>1755</v>
      </c>
      <c r="I42">
        <v>12</v>
      </c>
      <c r="J42" t="s">
        <v>1470</v>
      </c>
    </row>
    <row r="43" spans="1:10" x14ac:dyDescent="0.2">
      <c r="A43" t="s">
        <v>1024</v>
      </c>
      <c r="B43" t="s">
        <v>511</v>
      </c>
      <c r="C43" t="s">
        <v>1494</v>
      </c>
      <c r="D43">
        <v>4.2</v>
      </c>
      <c r="E43" s="328">
        <v>110</v>
      </c>
      <c r="F43" t="s">
        <v>1495</v>
      </c>
      <c r="G43">
        <v>1</v>
      </c>
      <c r="H43" t="s">
        <v>1755</v>
      </c>
      <c r="I43">
        <v>9</v>
      </c>
      <c r="J43" t="s">
        <v>1470</v>
      </c>
    </row>
    <row r="44" spans="1:10" x14ac:dyDescent="0.2">
      <c r="A44" t="s">
        <v>904</v>
      </c>
      <c r="B44" t="s">
        <v>903</v>
      </c>
      <c r="C44" t="s">
        <v>1494</v>
      </c>
      <c r="D44">
        <v>4.0999999999999996</v>
      </c>
      <c r="E44" s="328">
        <v>104</v>
      </c>
      <c r="F44" t="s">
        <v>1495</v>
      </c>
      <c r="G44">
        <v>1</v>
      </c>
      <c r="H44" t="s">
        <v>1755</v>
      </c>
      <c r="I44">
        <v>72</v>
      </c>
      <c r="J44" t="s">
        <v>1470</v>
      </c>
    </row>
    <row r="45" spans="1:10" x14ac:dyDescent="0.2">
      <c r="A45" t="s">
        <v>929</v>
      </c>
      <c r="B45" t="s">
        <v>928</v>
      </c>
      <c r="C45" t="s">
        <v>1494</v>
      </c>
      <c r="D45">
        <v>4.0999999999999996</v>
      </c>
      <c r="E45" s="328">
        <v>110</v>
      </c>
      <c r="F45" t="s">
        <v>1495</v>
      </c>
      <c r="G45">
        <v>2</v>
      </c>
      <c r="H45" t="s">
        <v>1755</v>
      </c>
      <c r="I45">
        <v>38</v>
      </c>
      <c r="J45" t="s">
        <v>1470</v>
      </c>
    </row>
    <row r="46" spans="1:10" x14ac:dyDescent="0.2">
      <c r="A46" t="s">
        <v>1345</v>
      </c>
      <c r="B46" t="s">
        <v>890</v>
      </c>
      <c r="C46" t="s">
        <v>1494</v>
      </c>
      <c r="D46">
        <v>4.0999999999999996</v>
      </c>
      <c r="E46" s="328">
        <v>104</v>
      </c>
      <c r="F46" t="s">
        <v>1495</v>
      </c>
      <c r="G46">
        <v>1</v>
      </c>
      <c r="H46" t="s">
        <v>1755</v>
      </c>
      <c r="I46">
        <v>18</v>
      </c>
      <c r="J46" t="s">
        <v>1470</v>
      </c>
    </row>
    <row r="47" spans="1:10" x14ac:dyDescent="0.2">
      <c r="A47" t="s">
        <v>438</v>
      </c>
      <c r="B47" t="s">
        <v>437</v>
      </c>
      <c r="C47" t="s">
        <v>1494</v>
      </c>
      <c r="D47">
        <v>4.0999999999999996</v>
      </c>
      <c r="E47" s="328">
        <v>152</v>
      </c>
      <c r="F47" t="s">
        <v>1495</v>
      </c>
      <c r="G47">
        <v>1</v>
      </c>
      <c r="H47" t="s">
        <v>1755</v>
      </c>
      <c r="I47">
        <v>17</v>
      </c>
      <c r="J47" t="s">
        <v>1470</v>
      </c>
    </row>
    <row r="48" spans="1:10" x14ac:dyDescent="0.2">
      <c r="A48" t="s">
        <v>1007</v>
      </c>
      <c r="B48" t="s">
        <v>1006</v>
      </c>
      <c r="C48" t="s">
        <v>1494</v>
      </c>
      <c r="D48">
        <v>4.0999999999999996</v>
      </c>
      <c r="E48" s="328">
        <v>126</v>
      </c>
      <c r="F48" t="s">
        <v>1495</v>
      </c>
      <c r="G48">
        <v>1</v>
      </c>
      <c r="H48" t="s">
        <v>1755</v>
      </c>
      <c r="I48">
        <v>11</v>
      </c>
      <c r="J48" t="s">
        <v>1470</v>
      </c>
    </row>
    <row r="49" spans="1:10" x14ac:dyDescent="0.2">
      <c r="A49" t="s">
        <v>544</v>
      </c>
      <c r="B49" t="s">
        <v>83</v>
      </c>
      <c r="C49" t="s">
        <v>1494</v>
      </c>
      <c r="D49">
        <v>4.0999999999999996</v>
      </c>
      <c r="E49" s="328">
        <v>190</v>
      </c>
      <c r="F49" t="s">
        <v>1495</v>
      </c>
      <c r="G49">
        <v>1</v>
      </c>
      <c r="H49" t="s">
        <v>1755</v>
      </c>
      <c r="I49">
        <v>10</v>
      </c>
      <c r="J49" t="s">
        <v>1470</v>
      </c>
    </row>
    <row r="50" spans="1:10" x14ac:dyDescent="0.2">
      <c r="A50" t="s">
        <v>605</v>
      </c>
      <c r="B50" t="s">
        <v>135</v>
      </c>
      <c r="C50" t="s">
        <v>1494</v>
      </c>
      <c r="D50">
        <v>4.0999999999999996</v>
      </c>
      <c r="E50" s="328">
        <v>102</v>
      </c>
      <c r="F50" t="s">
        <v>1495</v>
      </c>
      <c r="G50">
        <v>1</v>
      </c>
      <c r="H50" t="s">
        <v>1755</v>
      </c>
      <c r="I50">
        <v>9</v>
      </c>
      <c r="J50" t="s">
        <v>1470</v>
      </c>
    </row>
    <row r="51" spans="1:10" x14ac:dyDescent="0.2">
      <c r="A51" t="s">
        <v>79</v>
      </c>
      <c r="B51" t="s">
        <v>78</v>
      </c>
      <c r="C51" t="s">
        <v>1494</v>
      </c>
      <c r="D51">
        <v>4</v>
      </c>
      <c r="E51" s="328">
        <v>150</v>
      </c>
      <c r="F51" t="s">
        <v>1495</v>
      </c>
      <c r="G51">
        <v>1</v>
      </c>
      <c r="H51" t="s">
        <v>1755</v>
      </c>
      <c r="I51">
        <v>65</v>
      </c>
      <c r="J51" t="s">
        <v>1470</v>
      </c>
    </row>
    <row r="52" spans="1:10" x14ac:dyDescent="0.2">
      <c r="A52" t="s">
        <v>506</v>
      </c>
      <c r="B52" t="s">
        <v>505</v>
      </c>
      <c r="C52" t="s">
        <v>1494</v>
      </c>
      <c r="D52">
        <v>4</v>
      </c>
      <c r="E52" s="328">
        <v>140</v>
      </c>
      <c r="F52" t="s">
        <v>1495</v>
      </c>
      <c r="G52">
        <v>1</v>
      </c>
      <c r="H52" t="s">
        <v>1755</v>
      </c>
      <c r="I52">
        <v>30</v>
      </c>
      <c r="J52" t="s">
        <v>1470</v>
      </c>
    </row>
    <row r="53" spans="1:10" x14ac:dyDescent="0.2">
      <c r="A53" t="s">
        <v>879</v>
      </c>
      <c r="B53" t="s">
        <v>878</v>
      </c>
      <c r="C53" t="s">
        <v>1493</v>
      </c>
      <c r="D53">
        <v>3.9</v>
      </c>
      <c r="E53" s="328">
        <v>160</v>
      </c>
      <c r="F53" t="s">
        <v>1495</v>
      </c>
      <c r="G53">
        <v>2</v>
      </c>
      <c r="H53" t="s">
        <v>1755</v>
      </c>
      <c r="I53">
        <v>68</v>
      </c>
      <c r="J53" t="s">
        <v>1470</v>
      </c>
    </row>
    <row r="54" spans="1:10" x14ac:dyDescent="0.2">
      <c r="A54" t="s">
        <v>1218</v>
      </c>
      <c r="B54" t="s">
        <v>312</v>
      </c>
      <c r="C54" t="s">
        <v>1493</v>
      </c>
      <c r="D54">
        <v>3.9</v>
      </c>
      <c r="E54" s="328">
        <v>140</v>
      </c>
      <c r="F54" t="s">
        <v>1495</v>
      </c>
      <c r="G54">
        <v>1</v>
      </c>
      <c r="H54" t="s">
        <v>1755</v>
      </c>
      <c r="I54">
        <v>63</v>
      </c>
      <c r="J54" t="s">
        <v>1470</v>
      </c>
    </row>
    <row r="55" spans="1:10" x14ac:dyDescent="0.2">
      <c r="A55" t="s">
        <v>509</v>
      </c>
      <c r="B55" t="s">
        <v>508</v>
      </c>
      <c r="C55" t="s">
        <v>1493</v>
      </c>
      <c r="D55">
        <v>3.9</v>
      </c>
      <c r="E55" s="328">
        <v>110</v>
      </c>
      <c r="F55" t="s">
        <v>1495</v>
      </c>
      <c r="G55">
        <v>1</v>
      </c>
      <c r="H55" t="s">
        <v>1755</v>
      </c>
      <c r="I55">
        <v>61</v>
      </c>
      <c r="J55" t="s">
        <v>1470</v>
      </c>
    </row>
    <row r="56" spans="1:10" x14ac:dyDescent="0.2">
      <c r="A56" t="s">
        <v>943</v>
      </c>
      <c r="B56" t="s">
        <v>942</v>
      </c>
      <c r="C56" t="s">
        <v>1493</v>
      </c>
      <c r="D56">
        <v>3.9</v>
      </c>
      <c r="E56" s="328">
        <v>130</v>
      </c>
      <c r="F56" t="s">
        <v>1495</v>
      </c>
      <c r="G56">
        <v>2</v>
      </c>
      <c r="H56" t="s">
        <v>1755</v>
      </c>
      <c r="I56">
        <v>20</v>
      </c>
      <c r="J56" t="s">
        <v>1470</v>
      </c>
    </row>
    <row r="57" spans="1:10" x14ac:dyDescent="0.2">
      <c r="A57" t="s">
        <v>387</v>
      </c>
      <c r="B57" t="s">
        <v>386</v>
      </c>
      <c r="C57" t="s">
        <v>1493</v>
      </c>
      <c r="D57">
        <v>3.9</v>
      </c>
      <c r="E57" s="328">
        <v>120</v>
      </c>
      <c r="F57" t="s">
        <v>1495</v>
      </c>
      <c r="G57">
        <v>1</v>
      </c>
      <c r="H57" t="s">
        <v>1755</v>
      </c>
      <c r="I57">
        <v>17</v>
      </c>
      <c r="J57" t="s">
        <v>1470</v>
      </c>
    </row>
    <row r="58" spans="1:10" x14ac:dyDescent="0.2">
      <c r="A58" t="s">
        <v>313</v>
      </c>
      <c r="B58" t="s">
        <v>312</v>
      </c>
      <c r="C58" t="s">
        <v>1493</v>
      </c>
      <c r="D58">
        <v>3.8</v>
      </c>
      <c r="E58" s="328">
        <v>140</v>
      </c>
      <c r="F58" t="s">
        <v>1495</v>
      </c>
      <c r="G58">
        <v>1</v>
      </c>
      <c r="H58" t="s">
        <v>1755</v>
      </c>
      <c r="I58">
        <v>81</v>
      </c>
      <c r="J58" t="s">
        <v>1470</v>
      </c>
    </row>
    <row r="59" spans="1:10" x14ac:dyDescent="0.2">
      <c r="A59" t="s">
        <v>1222</v>
      </c>
      <c r="B59" t="s">
        <v>1221</v>
      </c>
      <c r="C59" t="s">
        <v>1493</v>
      </c>
      <c r="D59">
        <v>3.8</v>
      </c>
      <c r="E59" s="328">
        <v>140</v>
      </c>
      <c r="F59" t="s">
        <v>1495</v>
      </c>
      <c r="G59">
        <v>2</v>
      </c>
      <c r="H59" t="s">
        <v>1755</v>
      </c>
      <c r="I59">
        <v>30</v>
      </c>
      <c r="J59" t="s">
        <v>1470</v>
      </c>
    </row>
    <row r="60" spans="1:10" x14ac:dyDescent="0.2">
      <c r="A60" t="s">
        <v>475</v>
      </c>
      <c r="B60" t="s">
        <v>474</v>
      </c>
      <c r="C60" t="s">
        <v>1493</v>
      </c>
      <c r="D60">
        <v>3.8</v>
      </c>
      <c r="E60" s="328">
        <v>128</v>
      </c>
      <c r="F60" t="s">
        <v>1495</v>
      </c>
      <c r="G60">
        <v>1</v>
      </c>
      <c r="H60" t="s">
        <v>1755</v>
      </c>
      <c r="I60">
        <v>24</v>
      </c>
      <c r="J60" t="s">
        <v>1470</v>
      </c>
    </row>
    <row r="61" spans="1:10" x14ac:dyDescent="0.2">
      <c r="A61" t="s">
        <v>452</v>
      </c>
      <c r="B61" t="s">
        <v>72</v>
      </c>
      <c r="C61" t="s">
        <v>1493</v>
      </c>
      <c r="D61">
        <v>3.7</v>
      </c>
      <c r="E61" s="328">
        <v>110</v>
      </c>
      <c r="F61" t="s">
        <v>1495</v>
      </c>
      <c r="G61">
        <v>2</v>
      </c>
      <c r="H61" t="s">
        <v>1755</v>
      </c>
      <c r="I61">
        <v>62</v>
      </c>
      <c r="J61" t="s">
        <v>1470</v>
      </c>
    </row>
    <row r="62" spans="1:10" x14ac:dyDescent="0.2">
      <c r="A62" t="s">
        <v>410</v>
      </c>
      <c r="B62" t="s">
        <v>48</v>
      </c>
      <c r="C62" t="s">
        <v>1493</v>
      </c>
      <c r="D62">
        <v>3.7</v>
      </c>
      <c r="E62" s="328">
        <v>170</v>
      </c>
      <c r="F62" t="s">
        <v>1495</v>
      </c>
      <c r="G62">
        <v>1</v>
      </c>
      <c r="H62" t="s">
        <v>1755</v>
      </c>
      <c r="I62">
        <v>50</v>
      </c>
      <c r="J62" t="s">
        <v>1470</v>
      </c>
    </row>
    <row r="63" spans="1:10" x14ac:dyDescent="0.2">
      <c r="A63" t="s">
        <v>589</v>
      </c>
      <c r="B63" t="s">
        <v>400</v>
      </c>
      <c r="C63" t="s">
        <v>1493</v>
      </c>
      <c r="D63">
        <v>3.6</v>
      </c>
      <c r="E63" s="328">
        <v>100</v>
      </c>
      <c r="F63" t="s">
        <v>1495</v>
      </c>
      <c r="G63">
        <v>1</v>
      </c>
      <c r="H63" t="s">
        <v>1755</v>
      </c>
      <c r="I63">
        <v>23</v>
      </c>
      <c r="J63" t="s">
        <v>1470</v>
      </c>
    </row>
    <row r="64" spans="1:10" x14ac:dyDescent="0.2">
      <c r="A64" t="s">
        <v>483</v>
      </c>
      <c r="B64" t="s">
        <v>482</v>
      </c>
      <c r="C64" t="s">
        <v>1493</v>
      </c>
      <c r="D64">
        <v>3.6</v>
      </c>
      <c r="E64" s="328">
        <v>135</v>
      </c>
      <c r="F64" t="s">
        <v>1495</v>
      </c>
      <c r="G64">
        <v>1</v>
      </c>
      <c r="H64" t="s">
        <v>1755</v>
      </c>
      <c r="I64">
        <v>20</v>
      </c>
      <c r="J64" t="s">
        <v>1470</v>
      </c>
    </row>
    <row r="65" spans="1:10" x14ac:dyDescent="0.2">
      <c r="A65" t="s">
        <v>1243</v>
      </c>
      <c r="B65" t="s">
        <v>1242</v>
      </c>
      <c r="C65" t="s">
        <v>1493</v>
      </c>
      <c r="D65">
        <v>3.6</v>
      </c>
      <c r="E65" s="328">
        <v>160</v>
      </c>
      <c r="F65" t="s">
        <v>1495</v>
      </c>
      <c r="G65">
        <v>1</v>
      </c>
      <c r="H65" t="s">
        <v>1755</v>
      </c>
      <c r="I65">
        <v>20</v>
      </c>
      <c r="J65" t="s">
        <v>1470</v>
      </c>
    </row>
    <row r="66" spans="1:10" x14ac:dyDescent="0.2">
      <c r="A66" t="s">
        <v>1316</v>
      </c>
      <c r="B66" t="s">
        <v>863</v>
      </c>
      <c r="C66" t="s">
        <v>1493</v>
      </c>
      <c r="D66">
        <v>3.5</v>
      </c>
      <c r="E66" s="328">
        <v>160</v>
      </c>
      <c r="F66" t="s">
        <v>1495</v>
      </c>
      <c r="G66">
        <v>1</v>
      </c>
      <c r="H66" t="s">
        <v>1755</v>
      </c>
      <c r="I66">
        <v>18</v>
      </c>
      <c r="J66" t="s">
        <v>1470</v>
      </c>
    </row>
    <row r="67" spans="1:10" x14ac:dyDescent="0.2">
      <c r="A67" t="s">
        <v>539</v>
      </c>
      <c r="B67" t="s">
        <v>538</v>
      </c>
      <c r="C67" t="s">
        <v>1493</v>
      </c>
      <c r="D67">
        <v>3.5</v>
      </c>
      <c r="E67" s="328">
        <v>220</v>
      </c>
      <c r="F67" t="s">
        <v>1495</v>
      </c>
      <c r="G67">
        <v>2</v>
      </c>
      <c r="H67" t="s">
        <v>1755</v>
      </c>
      <c r="I67">
        <v>8</v>
      </c>
      <c r="J67" t="s">
        <v>1470</v>
      </c>
    </row>
    <row r="68" spans="1:10" x14ac:dyDescent="0.2">
      <c r="A68" t="s">
        <v>650</v>
      </c>
      <c r="B68" t="s">
        <v>649</v>
      </c>
      <c r="C68" t="s">
        <v>1493</v>
      </c>
      <c r="D68">
        <v>3.3</v>
      </c>
      <c r="E68" s="328">
        <v>150</v>
      </c>
      <c r="F68" t="s">
        <v>1495</v>
      </c>
      <c r="G68">
        <v>1</v>
      </c>
      <c r="H68" t="s">
        <v>1755</v>
      </c>
      <c r="I68">
        <v>13</v>
      </c>
      <c r="J68" t="s">
        <v>1470</v>
      </c>
    </row>
    <row r="69" spans="1:10" x14ac:dyDescent="0.2">
      <c r="A69" t="s">
        <v>431</v>
      </c>
      <c r="B69" t="s">
        <v>31</v>
      </c>
      <c r="C69" t="s">
        <v>1493</v>
      </c>
      <c r="D69">
        <v>3.1</v>
      </c>
      <c r="E69" s="328">
        <v>160</v>
      </c>
      <c r="F69" t="s">
        <v>1495</v>
      </c>
      <c r="G69">
        <v>1</v>
      </c>
      <c r="H69" t="s">
        <v>1755</v>
      </c>
      <c r="I69">
        <v>54</v>
      </c>
      <c r="J69" t="s">
        <v>1470</v>
      </c>
    </row>
    <row r="70" spans="1:10" x14ac:dyDescent="0.2">
      <c r="A70" t="s">
        <v>344</v>
      </c>
      <c r="B70" t="s">
        <v>343</v>
      </c>
      <c r="C70" t="s">
        <v>1493</v>
      </c>
      <c r="D70">
        <v>3.1</v>
      </c>
      <c r="E70" s="328">
        <v>210</v>
      </c>
      <c r="F70" t="s">
        <v>1495</v>
      </c>
      <c r="G70">
        <v>2</v>
      </c>
      <c r="H70" t="s">
        <v>1755</v>
      </c>
      <c r="I70">
        <v>14</v>
      </c>
      <c r="J70" t="s">
        <v>1470</v>
      </c>
    </row>
    <row r="71" spans="1:10" x14ac:dyDescent="0.2">
      <c r="A71" t="s">
        <v>864</v>
      </c>
      <c r="B71" t="s">
        <v>863</v>
      </c>
      <c r="C71" t="s">
        <v>1492</v>
      </c>
      <c r="D71">
        <v>2.9</v>
      </c>
      <c r="E71" s="328">
        <v>160</v>
      </c>
      <c r="F71" t="s">
        <v>1495</v>
      </c>
      <c r="G71">
        <v>1</v>
      </c>
      <c r="H71" t="s">
        <v>1755</v>
      </c>
      <c r="I71">
        <v>71</v>
      </c>
      <c r="J71" t="s">
        <v>1470</v>
      </c>
    </row>
    <row r="72" spans="1:10" x14ac:dyDescent="0.2">
      <c r="A72" t="s">
        <v>272</v>
      </c>
      <c r="B72" t="s">
        <v>271</v>
      </c>
      <c r="C72" t="s">
        <v>1492</v>
      </c>
      <c r="D72">
        <v>2.9</v>
      </c>
      <c r="E72" s="328">
        <v>112</v>
      </c>
      <c r="F72" t="s">
        <v>1495</v>
      </c>
      <c r="G72">
        <v>1</v>
      </c>
      <c r="H72" t="s">
        <v>1755</v>
      </c>
      <c r="I72">
        <v>12</v>
      </c>
      <c r="J72" t="s">
        <v>1470</v>
      </c>
    </row>
    <row r="73" spans="1:10" x14ac:dyDescent="0.2">
      <c r="A73" t="s">
        <v>32</v>
      </c>
      <c r="B73" t="s">
        <v>31</v>
      </c>
      <c r="C73" t="s">
        <v>1492</v>
      </c>
      <c r="D73">
        <v>2.7</v>
      </c>
      <c r="E73" s="328">
        <v>160</v>
      </c>
      <c r="F73" t="s">
        <v>1495</v>
      </c>
      <c r="G73">
        <v>1</v>
      </c>
      <c r="H73" t="s">
        <v>1755</v>
      </c>
      <c r="I73">
        <v>14</v>
      </c>
      <c r="J73" t="s">
        <v>1470</v>
      </c>
    </row>
    <row r="74" spans="1:10" x14ac:dyDescent="0.2">
      <c r="A74" t="s">
        <v>246</v>
      </c>
      <c r="B74" t="s">
        <v>245</v>
      </c>
      <c r="C74" t="s">
        <v>1492</v>
      </c>
      <c r="D74">
        <v>2.6</v>
      </c>
      <c r="E74" s="328">
        <v>100</v>
      </c>
      <c r="F74" t="s">
        <v>1495</v>
      </c>
      <c r="G74">
        <v>2</v>
      </c>
      <c r="H74" t="s">
        <v>1755</v>
      </c>
      <c r="I74">
        <v>22</v>
      </c>
      <c r="J74" t="s">
        <v>1470</v>
      </c>
    </row>
    <row r="75" spans="1:10" x14ac:dyDescent="0.2">
      <c r="A75" t="s">
        <v>263</v>
      </c>
      <c r="B75" t="s">
        <v>262</v>
      </c>
      <c r="C75" t="s">
        <v>1492</v>
      </c>
      <c r="D75">
        <v>2.6</v>
      </c>
      <c r="E75" s="328">
        <v>160</v>
      </c>
      <c r="F75" t="s">
        <v>1495</v>
      </c>
      <c r="G75">
        <v>1</v>
      </c>
      <c r="H75" t="s">
        <v>1755</v>
      </c>
      <c r="I75">
        <v>20</v>
      </c>
      <c r="J75" t="s">
        <v>1470</v>
      </c>
    </row>
    <row r="76" spans="1:10" x14ac:dyDescent="0.2">
      <c r="A76" t="s">
        <v>1014</v>
      </c>
      <c r="B76" t="s">
        <v>1013</v>
      </c>
      <c r="C76" t="s">
        <v>1494</v>
      </c>
      <c r="D76">
        <v>4.7</v>
      </c>
      <c r="E76" s="328">
        <v>112</v>
      </c>
      <c r="F76" t="s">
        <v>1495</v>
      </c>
      <c r="G76">
        <v>2</v>
      </c>
      <c r="H76" t="s">
        <v>1755</v>
      </c>
      <c r="I76">
        <v>17</v>
      </c>
      <c r="J76" t="s">
        <v>1470</v>
      </c>
    </row>
    <row r="77" spans="1:10" x14ac:dyDescent="0.2">
      <c r="A77" t="s">
        <v>882</v>
      </c>
      <c r="B77" t="s">
        <v>881</v>
      </c>
      <c r="C77" t="s">
        <v>1494</v>
      </c>
      <c r="D77">
        <v>4.4000000000000004</v>
      </c>
      <c r="E77" s="328">
        <v>48</v>
      </c>
      <c r="F77" t="s">
        <v>1497</v>
      </c>
      <c r="G77">
        <v>1</v>
      </c>
      <c r="H77" t="s">
        <v>1755</v>
      </c>
      <c r="I77">
        <v>9</v>
      </c>
      <c r="J77" t="s">
        <v>1470</v>
      </c>
    </row>
    <row r="78" spans="1:10" x14ac:dyDescent="0.2">
      <c r="A78" t="s">
        <v>659</v>
      </c>
      <c r="B78" t="s">
        <v>658</v>
      </c>
      <c r="C78" t="s">
        <v>1494</v>
      </c>
      <c r="D78">
        <v>4.3</v>
      </c>
      <c r="E78" s="328">
        <v>25</v>
      </c>
      <c r="F78" t="s">
        <v>1497</v>
      </c>
      <c r="G78">
        <v>1</v>
      </c>
      <c r="H78" t="s">
        <v>1755</v>
      </c>
      <c r="I78">
        <v>12</v>
      </c>
      <c r="J78" t="s">
        <v>1470</v>
      </c>
    </row>
    <row r="79" spans="1:10" x14ac:dyDescent="0.2">
      <c r="A79" t="s">
        <v>1190</v>
      </c>
      <c r="B79" t="s">
        <v>1189</v>
      </c>
      <c r="C79" t="s">
        <v>1494</v>
      </c>
      <c r="D79">
        <v>4.2</v>
      </c>
      <c r="E79" s="328">
        <v>34</v>
      </c>
      <c r="F79" t="s">
        <v>1497</v>
      </c>
      <c r="G79">
        <v>1</v>
      </c>
      <c r="H79" t="s">
        <v>1755</v>
      </c>
      <c r="I79">
        <v>25</v>
      </c>
      <c r="J79" t="s">
        <v>1470</v>
      </c>
    </row>
    <row r="80" spans="1:10" x14ac:dyDescent="0.2">
      <c r="A80" t="s">
        <v>1245</v>
      </c>
      <c r="B80" t="s">
        <v>766</v>
      </c>
      <c r="C80" t="s">
        <v>1494</v>
      </c>
      <c r="D80">
        <v>4.2</v>
      </c>
      <c r="E80" s="328">
        <v>48</v>
      </c>
      <c r="F80" t="s">
        <v>1497</v>
      </c>
      <c r="G80">
        <v>1</v>
      </c>
      <c r="H80" t="s">
        <v>1755</v>
      </c>
      <c r="I80">
        <v>13</v>
      </c>
      <c r="J80" t="s">
        <v>1470</v>
      </c>
    </row>
    <row r="81" spans="1:10" x14ac:dyDescent="0.2">
      <c r="A81" t="s">
        <v>1092</v>
      </c>
      <c r="B81" t="s">
        <v>658</v>
      </c>
      <c r="C81" t="s">
        <v>1494</v>
      </c>
      <c r="D81">
        <v>4.0999999999999996</v>
      </c>
      <c r="E81" s="328">
        <v>25</v>
      </c>
      <c r="F81" t="s">
        <v>1497</v>
      </c>
      <c r="G81">
        <v>1</v>
      </c>
      <c r="H81" t="s">
        <v>1755</v>
      </c>
      <c r="I81">
        <v>33</v>
      </c>
      <c r="J81" t="s">
        <v>1470</v>
      </c>
    </row>
    <row r="82" spans="1:10" x14ac:dyDescent="0.2">
      <c r="A82" t="s">
        <v>1159</v>
      </c>
      <c r="B82" t="s">
        <v>1158</v>
      </c>
      <c r="C82" t="s">
        <v>1494</v>
      </c>
      <c r="D82">
        <v>4.0999999999999996</v>
      </c>
      <c r="E82" s="328">
        <v>24</v>
      </c>
      <c r="F82" t="s">
        <v>1497</v>
      </c>
      <c r="G82">
        <v>1</v>
      </c>
      <c r="H82" t="s">
        <v>1755</v>
      </c>
      <c r="I82">
        <v>8</v>
      </c>
      <c r="J82" t="s">
        <v>1470</v>
      </c>
    </row>
    <row r="83" spans="1:10" x14ac:dyDescent="0.2">
      <c r="A83" t="s">
        <v>1385</v>
      </c>
      <c r="B83" t="s">
        <v>1189</v>
      </c>
      <c r="C83" t="s">
        <v>1494</v>
      </c>
      <c r="D83">
        <v>4</v>
      </c>
      <c r="E83" s="328">
        <v>40</v>
      </c>
      <c r="F83" t="s">
        <v>1497</v>
      </c>
      <c r="G83">
        <v>1</v>
      </c>
      <c r="H83" t="s">
        <v>1755</v>
      </c>
      <c r="I83">
        <v>53</v>
      </c>
      <c r="J83" t="s">
        <v>1470</v>
      </c>
    </row>
    <row r="84" spans="1:10" x14ac:dyDescent="0.2">
      <c r="A84" t="s">
        <v>1414</v>
      </c>
      <c r="B84" t="s">
        <v>111</v>
      </c>
      <c r="C84" t="s">
        <v>1494</v>
      </c>
      <c r="D84">
        <v>4.9000000000000004</v>
      </c>
      <c r="E84" s="328">
        <v>96</v>
      </c>
      <c r="F84" t="s">
        <v>1498</v>
      </c>
      <c r="G84">
        <v>1</v>
      </c>
      <c r="H84" t="s">
        <v>1755</v>
      </c>
      <c r="I84">
        <v>18</v>
      </c>
      <c r="J84" t="s">
        <v>1470</v>
      </c>
    </row>
    <row r="85" spans="1:10" x14ac:dyDescent="0.2">
      <c r="A85" t="s">
        <v>1172</v>
      </c>
      <c r="B85" t="s">
        <v>586</v>
      </c>
      <c r="C85" t="s">
        <v>1494</v>
      </c>
      <c r="D85">
        <v>4.9000000000000004</v>
      </c>
      <c r="E85" s="328">
        <v>78</v>
      </c>
      <c r="F85" t="s">
        <v>1498</v>
      </c>
      <c r="G85">
        <v>1</v>
      </c>
      <c r="H85" t="s">
        <v>1755</v>
      </c>
      <c r="I85">
        <v>17</v>
      </c>
      <c r="J85" t="s">
        <v>1470</v>
      </c>
    </row>
    <row r="86" spans="1:10" x14ac:dyDescent="0.2">
      <c r="A86" t="s">
        <v>429</v>
      </c>
      <c r="B86" t="s">
        <v>428</v>
      </c>
      <c r="C86" t="s">
        <v>1494</v>
      </c>
      <c r="D86">
        <v>4.9000000000000004</v>
      </c>
      <c r="E86" s="328">
        <v>70</v>
      </c>
      <c r="F86" t="s">
        <v>1498</v>
      </c>
      <c r="G86">
        <v>1</v>
      </c>
      <c r="H86" t="s">
        <v>1755</v>
      </c>
      <c r="I86">
        <v>8</v>
      </c>
      <c r="J86" t="s">
        <v>1470</v>
      </c>
    </row>
    <row r="87" spans="1:10" x14ac:dyDescent="0.2">
      <c r="A87" t="s">
        <v>415</v>
      </c>
      <c r="B87" t="s">
        <v>414</v>
      </c>
      <c r="C87" t="s">
        <v>1494</v>
      </c>
      <c r="D87">
        <v>4.8</v>
      </c>
      <c r="E87" s="328">
        <v>90</v>
      </c>
      <c r="F87" t="s">
        <v>1498</v>
      </c>
      <c r="G87">
        <v>2</v>
      </c>
      <c r="H87" t="s">
        <v>1755</v>
      </c>
      <c r="I87">
        <v>40</v>
      </c>
      <c r="J87" t="s">
        <v>1470</v>
      </c>
    </row>
    <row r="88" spans="1:10" x14ac:dyDescent="0.2">
      <c r="A88" t="s">
        <v>1382</v>
      </c>
      <c r="B88" t="s">
        <v>17</v>
      </c>
      <c r="C88" t="s">
        <v>1494</v>
      </c>
      <c r="D88">
        <v>4.8</v>
      </c>
      <c r="E88" s="328">
        <v>60</v>
      </c>
      <c r="F88" t="s">
        <v>1498</v>
      </c>
      <c r="G88">
        <v>1</v>
      </c>
      <c r="H88" t="s">
        <v>1755</v>
      </c>
      <c r="I88">
        <v>20</v>
      </c>
      <c r="J88" t="s">
        <v>1470</v>
      </c>
    </row>
    <row r="89" spans="1:10" x14ac:dyDescent="0.2">
      <c r="A89" t="s">
        <v>463</v>
      </c>
      <c r="B89" t="s">
        <v>462</v>
      </c>
      <c r="C89" t="s">
        <v>1494</v>
      </c>
      <c r="D89">
        <v>4.8</v>
      </c>
      <c r="E89" s="328">
        <v>90</v>
      </c>
      <c r="F89" t="s">
        <v>1498</v>
      </c>
      <c r="G89">
        <v>2</v>
      </c>
      <c r="H89" t="s">
        <v>1755</v>
      </c>
      <c r="I89">
        <v>8</v>
      </c>
      <c r="J89" t="s">
        <v>1470</v>
      </c>
    </row>
    <row r="90" spans="1:10" x14ac:dyDescent="0.2">
      <c r="A90" t="s">
        <v>1421</v>
      </c>
      <c r="B90" t="s">
        <v>1420</v>
      </c>
      <c r="C90" t="s">
        <v>1494</v>
      </c>
      <c r="D90">
        <v>4.7</v>
      </c>
      <c r="E90" s="328">
        <v>56</v>
      </c>
      <c r="F90" t="s">
        <v>1498</v>
      </c>
      <c r="G90">
        <v>1</v>
      </c>
      <c r="H90" t="s">
        <v>1755</v>
      </c>
      <c r="I90">
        <v>10</v>
      </c>
      <c r="J90" t="s">
        <v>1470</v>
      </c>
    </row>
    <row r="91" spans="1:10" x14ac:dyDescent="0.2">
      <c r="A91" t="s">
        <v>530</v>
      </c>
      <c r="B91" t="s">
        <v>529</v>
      </c>
      <c r="C91" t="s">
        <v>1494</v>
      </c>
      <c r="D91">
        <v>4.5999999999999996</v>
      </c>
      <c r="E91" s="328">
        <v>90</v>
      </c>
      <c r="F91" t="s">
        <v>1498</v>
      </c>
      <c r="G91">
        <v>2</v>
      </c>
      <c r="H91" t="s">
        <v>1755</v>
      </c>
      <c r="I91">
        <v>68</v>
      </c>
      <c r="J91" t="s">
        <v>1470</v>
      </c>
    </row>
    <row r="92" spans="1:10" x14ac:dyDescent="0.2">
      <c r="A92" t="s">
        <v>662</v>
      </c>
      <c r="B92" t="s">
        <v>661</v>
      </c>
      <c r="C92" t="s">
        <v>1494</v>
      </c>
      <c r="D92">
        <v>4.5999999999999996</v>
      </c>
      <c r="E92" s="328">
        <v>54</v>
      </c>
      <c r="F92" t="s">
        <v>1498</v>
      </c>
      <c r="G92">
        <v>1</v>
      </c>
      <c r="H92" t="s">
        <v>1755</v>
      </c>
      <c r="I92">
        <v>23</v>
      </c>
      <c r="J92" t="s">
        <v>1470</v>
      </c>
    </row>
    <row r="93" spans="1:10" x14ac:dyDescent="0.2">
      <c r="A93" t="s">
        <v>1216</v>
      </c>
      <c r="B93" t="s">
        <v>607</v>
      </c>
      <c r="C93" t="s">
        <v>1494</v>
      </c>
      <c r="D93">
        <v>4.5999999999999996</v>
      </c>
      <c r="E93" s="328">
        <v>60</v>
      </c>
      <c r="F93" t="s">
        <v>1498</v>
      </c>
      <c r="G93">
        <v>1</v>
      </c>
      <c r="H93" t="s">
        <v>1755</v>
      </c>
      <c r="I93">
        <v>16</v>
      </c>
      <c r="J93" t="s">
        <v>1470</v>
      </c>
    </row>
    <row r="94" spans="1:10" x14ac:dyDescent="0.2">
      <c r="A94" t="s">
        <v>1310</v>
      </c>
      <c r="B94" t="s">
        <v>1309</v>
      </c>
      <c r="C94" t="s">
        <v>1494</v>
      </c>
      <c r="D94">
        <v>4.5999999999999996</v>
      </c>
      <c r="E94" s="328">
        <v>72</v>
      </c>
      <c r="F94" t="s">
        <v>1498</v>
      </c>
      <c r="G94">
        <v>1</v>
      </c>
      <c r="H94" t="s">
        <v>1755</v>
      </c>
      <c r="I94">
        <v>12</v>
      </c>
      <c r="J94" t="s">
        <v>1470</v>
      </c>
    </row>
    <row r="95" spans="1:10" x14ac:dyDescent="0.2">
      <c r="A95" t="s">
        <v>725</v>
      </c>
      <c r="B95" t="s">
        <v>11</v>
      </c>
      <c r="C95" t="s">
        <v>1494</v>
      </c>
      <c r="D95">
        <v>4.5</v>
      </c>
      <c r="E95" s="328">
        <v>73</v>
      </c>
      <c r="F95" t="s">
        <v>1498</v>
      </c>
      <c r="G95">
        <v>1</v>
      </c>
      <c r="H95" t="s">
        <v>1755</v>
      </c>
      <c r="I95">
        <v>78</v>
      </c>
      <c r="J95" t="s">
        <v>1470</v>
      </c>
    </row>
    <row r="96" spans="1:10" x14ac:dyDescent="0.2">
      <c r="A96" t="s">
        <v>40</v>
      </c>
      <c r="B96" t="s">
        <v>11</v>
      </c>
      <c r="C96" t="s">
        <v>1494</v>
      </c>
      <c r="D96">
        <v>4.5</v>
      </c>
      <c r="E96" s="328">
        <v>75</v>
      </c>
      <c r="F96" t="s">
        <v>1498</v>
      </c>
      <c r="G96">
        <v>1</v>
      </c>
      <c r="H96" t="s">
        <v>1755</v>
      </c>
      <c r="I96">
        <v>67</v>
      </c>
      <c r="J96" t="s">
        <v>1470</v>
      </c>
    </row>
    <row r="97" spans="1:10" x14ac:dyDescent="0.2">
      <c r="A97" t="s">
        <v>1127</v>
      </c>
      <c r="B97" t="s">
        <v>1126</v>
      </c>
      <c r="C97" t="s">
        <v>1494</v>
      </c>
      <c r="D97">
        <v>4.5</v>
      </c>
      <c r="E97" s="328">
        <v>90</v>
      </c>
      <c r="F97" t="s">
        <v>1498</v>
      </c>
      <c r="G97">
        <v>1</v>
      </c>
      <c r="H97" t="s">
        <v>1755</v>
      </c>
      <c r="I97">
        <v>63</v>
      </c>
      <c r="J97" t="s">
        <v>1470</v>
      </c>
    </row>
    <row r="98" spans="1:10" x14ac:dyDescent="0.2">
      <c r="A98" t="s">
        <v>1274</v>
      </c>
      <c r="B98" t="s">
        <v>105</v>
      </c>
      <c r="C98" t="s">
        <v>1494</v>
      </c>
      <c r="D98">
        <v>4.5</v>
      </c>
      <c r="E98" s="328">
        <v>90</v>
      </c>
      <c r="F98" t="s">
        <v>1498</v>
      </c>
      <c r="G98">
        <v>1</v>
      </c>
      <c r="H98" t="s">
        <v>1755</v>
      </c>
      <c r="I98">
        <v>36</v>
      </c>
      <c r="J98" t="s">
        <v>1470</v>
      </c>
    </row>
    <row r="99" spans="1:10" x14ac:dyDescent="0.2">
      <c r="A99" t="s">
        <v>1214</v>
      </c>
      <c r="B99" t="s">
        <v>947</v>
      </c>
      <c r="C99" t="s">
        <v>1494</v>
      </c>
      <c r="D99">
        <v>4.5</v>
      </c>
      <c r="E99" s="328">
        <v>70</v>
      </c>
      <c r="F99" t="s">
        <v>1498</v>
      </c>
      <c r="G99">
        <v>1</v>
      </c>
      <c r="H99" t="s">
        <v>1755</v>
      </c>
      <c r="I99">
        <v>34</v>
      </c>
      <c r="J99" t="s">
        <v>1470</v>
      </c>
    </row>
    <row r="100" spans="1:10" x14ac:dyDescent="0.2">
      <c r="A100" t="s">
        <v>1267</v>
      </c>
      <c r="B100" t="s">
        <v>947</v>
      </c>
      <c r="C100" t="s">
        <v>1494</v>
      </c>
      <c r="D100">
        <v>4.5</v>
      </c>
      <c r="E100" s="328">
        <v>70</v>
      </c>
      <c r="F100" t="s">
        <v>1498</v>
      </c>
      <c r="G100">
        <v>1</v>
      </c>
      <c r="H100" t="s">
        <v>1755</v>
      </c>
      <c r="I100">
        <v>34</v>
      </c>
      <c r="J100" t="s">
        <v>1470</v>
      </c>
    </row>
    <row r="101" spans="1:10" x14ac:dyDescent="0.2">
      <c r="A101" t="s">
        <v>608</v>
      </c>
      <c r="B101" t="s">
        <v>607</v>
      </c>
      <c r="C101" t="s">
        <v>1494</v>
      </c>
      <c r="D101">
        <v>4.5</v>
      </c>
      <c r="E101" s="328">
        <v>60</v>
      </c>
      <c r="F101" t="s">
        <v>1498</v>
      </c>
      <c r="G101">
        <v>1</v>
      </c>
      <c r="H101" t="s">
        <v>1755</v>
      </c>
      <c r="I101">
        <v>13</v>
      </c>
      <c r="J101" t="s">
        <v>1470</v>
      </c>
    </row>
    <row r="102" spans="1:10" x14ac:dyDescent="0.2">
      <c r="A102" t="s">
        <v>861</v>
      </c>
      <c r="B102" t="s">
        <v>860</v>
      </c>
      <c r="C102" t="s">
        <v>1494</v>
      </c>
      <c r="D102">
        <v>4.5</v>
      </c>
      <c r="E102" s="328">
        <v>76</v>
      </c>
      <c r="F102" t="s">
        <v>1498</v>
      </c>
      <c r="G102">
        <v>1</v>
      </c>
      <c r="H102" t="s">
        <v>1755</v>
      </c>
      <c r="I102">
        <v>13</v>
      </c>
      <c r="J102" t="s">
        <v>1470</v>
      </c>
    </row>
    <row r="103" spans="1:10" x14ac:dyDescent="0.2">
      <c r="A103" t="s">
        <v>441</v>
      </c>
      <c r="B103" t="s">
        <v>440</v>
      </c>
      <c r="C103" t="s">
        <v>1494</v>
      </c>
      <c r="D103">
        <v>4.4000000000000004</v>
      </c>
      <c r="E103" s="328">
        <v>96</v>
      </c>
      <c r="F103" t="s">
        <v>1498</v>
      </c>
      <c r="G103">
        <v>1</v>
      </c>
      <c r="H103" t="s">
        <v>1755</v>
      </c>
      <c r="I103">
        <v>27</v>
      </c>
      <c r="J103" t="s">
        <v>1470</v>
      </c>
    </row>
    <row r="104" spans="1:10" x14ac:dyDescent="0.2">
      <c r="A104" t="s">
        <v>776</v>
      </c>
      <c r="B104" t="s">
        <v>775</v>
      </c>
      <c r="C104" t="s">
        <v>1494</v>
      </c>
      <c r="D104">
        <v>4.4000000000000004</v>
      </c>
      <c r="E104" s="328">
        <v>88</v>
      </c>
      <c r="F104" t="s">
        <v>1498</v>
      </c>
      <c r="G104">
        <v>2</v>
      </c>
      <c r="H104" t="s">
        <v>1755</v>
      </c>
      <c r="I104">
        <v>20</v>
      </c>
      <c r="J104" t="s">
        <v>1470</v>
      </c>
    </row>
    <row r="105" spans="1:10" x14ac:dyDescent="0.2">
      <c r="A105" t="s">
        <v>587</v>
      </c>
      <c r="B105" t="s">
        <v>586</v>
      </c>
      <c r="C105" t="s">
        <v>1494</v>
      </c>
      <c r="D105">
        <v>4.4000000000000004</v>
      </c>
      <c r="E105" s="328">
        <v>78</v>
      </c>
      <c r="F105" t="s">
        <v>1498</v>
      </c>
      <c r="G105">
        <v>1</v>
      </c>
      <c r="H105" t="s">
        <v>1755</v>
      </c>
      <c r="I105">
        <v>12</v>
      </c>
      <c r="J105" t="s">
        <v>1470</v>
      </c>
    </row>
    <row r="106" spans="1:10" x14ac:dyDescent="0.2">
      <c r="A106" t="s">
        <v>353</v>
      </c>
      <c r="B106" t="s">
        <v>352</v>
      </c>
      <c r="C106" t="s">
        <v>1494</v>
      </c>
      <c r="D106">
        <v>4.3</v>
      </c>
      <c r="E106" s="328">
        <v>70</v>
      </c>
      <c r="F106" t="s">
        <v>1498</v>
      </c>
      <c r="G106">
        <v>1</v>
      </c>
      <c r="H106" t="s">
        <v>1755</v>
      </c>
      <c r="I106">
        <v>12</v>
      </c>
      <c r="J106" t="s">
        <v>1470</v>
      </c>
    </row>
    <row r="107" spans="1:10" x14ac:dyDescent="0.2">
      <c r="A107" t="s">
        <v>1236</v>
      </c>
      <c r="B107" t="s">
        <v>1235</v>
      </c>
      <c r="C107" t="s">
        <v>1494</v>
      </c>
      <c r="D107">
        <v>4.3</v>
      </c>
      <c r="E107" s="328">
        <v>65</v>
      </c>
      <c r="F107" t="s">
        <v>1498</v>
      </c>
      <c r="G107">
        <v>1</v>
      </c>
      <c r="H107" t="s">
        <v>1755</v>
      </c>
      <c r="I107">
        <v>12</v>
      </c>
      <c r="J107" t="s">
        <v>1470</v>
      </c>
    </row>
    <row r="108" spans="1:10" x14ac:dyDescent="0.2">
      <c r="A108" t="s">
        <v>356</v>
      </c>
      <c r="B108" t="s">
        <v>355</v>
      </c>
      <c r="C108" t="s">
        <v>1494</v>
      </c>
      <c r="D108">
        <v>4.3</v>
      </c>
      <c r="E108" s="328">
        <v>88</v>
      </c>
      <c r="F108" t="s">
        <v>1498</v>
      </c>
      <c r="G108">
        <v>1</v>
      </c>
      <c r="H108" t="s">
        <v>1755</v>
      </c>
      <c r="I108">
        <v>9</v>
      </c>
      <c r="J108" t="s">
        <v>1470</v>
      </c>
    </row>
    <row r="109" spans="1:10" x14ac:dyDescent="0.2">
      <c r="A109" t="s">
        <v>284</v>
      </c>
      <c r="B109" t="s">
        <v>283</v>
      </c>
      <c r="C109" t="s">
        <v>1494</v>
      </c>
      <c r="D109">
        <v>4.3</v>
      </c>
      <c r="E109" s="328">
        <v>70</v>
      </c>
      <c r="F109" t="s">
        <v>1498</v>
      </c>
      <c r="G109">
        <v>1</v>
      </c>
      <c r="H109" t="s">
        <v>1755</v>
      </c>
      <c r="I109">
        <v>8</v>
      </c>
      <c r="J109" t="s">
        <v>1470</v>
      </c>
    </row>
    <row r="110" spans="1:10" x14ac:dyDescent="0.2">
      <c r="A110" t="s">
        <v>1143</v>
      </c>
      <c r="B110" t="s">
        <v>132</v>
      </c>
      <c r="C110" t="s">
        <v>1494</v>
      </c>
      <c r="D110">
        <v>4.2</v>
      </c>
      <c r="E110" s="328">
        <v>78</v>
      </c>
      <c r="F110" t="s">
        <v>1498</v>
      </c>
      <c r="G110">
        <v>1</v>
      </c>
      <c r="H110" t="s">
        <v>1755</v>
      </c>
      <c r="I110">
        <v>30</v>
      </c>
      <c r="J110" t="s">
        <v>1470</v>
      </c>
    </row>
    <row r="111" spans="1:10" x14ac:dyDescent="0.2">
      <c r="A111" t="s">
        <v>67</v>
      </c>
      <c r="B111" t="s">
        <v>66</v>
      </c>
      <c r="C111" t="s">
        <v>1494</v>
      </c>
      <c r="D111">
        <v>4.2</v>
      </c>
      <c r="E111" s="328">
        <v>56</v>
      </c>
      <c r="F111" t="s">
        <v>1498</v>
      </c>
      <c r="G111">
        <v>2</v>
      </c>
      <c r="H111" t="s">
        <v>1755</v>
      </c>
      <c r="I111">
        <v>12</v>
      </c>
      <c r="J111" t="s">
        <v>1470</v>
      </c>
    </row>
    <row r="112" spans="1:10" x14ac:dyDescent="0.2">
      <c r="A112" t="s">
        <v>221</v>
      </c>
      <c r="B112" t="s">
        <v>220</v>
      </c>
      <c r="C112" t="s">
        <v>1494</v>
      </c>
      <c r="D112">
        <v>4.2</v>
      </c>
      <c r="E112" s="328">
        <v>88</v>
      </c>
      <c r="F112" t="s">
        <v>1498</v>
      </c>
      <c r="G112">
        <v>1</v>
      </c>
      <c r="H112" t="s">
        <v>1755</v>
      </c>
      <c r="I112">
        <v>9</v>
      </c>
      <c r="J112" t="s">
        <v>1470</v>
      </c>
    </row>
    <row r="113" spans="1:10" x14ac:dyDescent="0.2">
      <c r="A113" t="s">
        <v>521</v>
      </c>
      <c r="B113" t="s">
        <v>520</v>
      </c>
      <c r="C113" t="s">
        <v>1494</v>
      </c>
      <c r="D113">
        <v>4.0999999999999996</v>
      </c>
      <c r="E113" s="328">
        <v>53</v>
      </c>
      <c r="F113" t="s">
        <v>1498</v>
      </c>
      <c r="G113">
        <v>1</v>
      </c>
      <c r="H113" t="s">
        <v>1755</v>
      </c>
      <c r="I113">
        <v>94</v>
      </c>
      <c r="J113" t="s">
        <v>1470</v>
      </c>
    </row>
    <row r="114" spans="1:10" x14ac:dyDescent="0.2">
      <c r="A114" t="s">
        <v>891</v>
      </c>
      <c r="B114" t="s">
        <v>890</v>
      </c>
      <c r="C114" t="s">
        <v>1494</v>
      </c>
      <c r="D114">
        <v>4.0999999999999996</v>
      </c>
      <c r="E114" s="328">
        <v>91</v>
      </c>
      <c r="F114" t="s">
        <v>1498</v>
      </c>
      <c r="G114">
        <v>1</v>
      </c>
      <c r="H114" t="s">
        <v>1755</v>
      </c>
      <c r="I114">
        <v>18</v>
      </c>
      <c r="J114" t="s">
        <v>1470</v>
      </c>
    </row>
    <row r="115" spans="1:10" x14ac:dyDescent="0.2">
      <c r="A115" t="s">
        <v>1022</v>
      </c>
      <c r="B115" t="s">
        <v>248</v>
      </c>
      <c r="C115" t="s">
        <v>1494</v>
      </c>
      <c r="D115">
        <v>4.0999999999999996</v>
      </c>
      <c r="E115" s="328">
        <v>66</v>
      </c>
      <c r="F115" t="s">
        <v>1498</v>
      </c>
      <c r="G115">
        <v>1</v>
      </c>
      <c r="H115" t="s">
        <v>1755</v>
      </c>
      <c r="I115">
        <v>13</v>
      </c>
      <c r="J115" t="s">
        <v>1470</v>
      </c>
    </row>
    <row r="116" spans="1:10" x14ac:dyDescent="0.2">
      <c r="A116" t="s">
        <v>1389</v>
      </c>
      <c r="B116" t="s">
        <v>440</v>
      </c>
      <c r="C116" t="s">
        <v>1494</v>
      </c>
      <c r="D116">
        <v>4.0999999999999996</v>
      </c>
      <c r="E116" s="328">
        <v>96</v>
      </c>
      <c r="F116" t="s">
        <v>1498</v>
      </c>
      <c r="G116">
        <v>1</v>
      </c>
      <c r="H116" t="s">
        <v>1755</v>
      </c>
      <c r="I116">
        <v>8</v>
      </c>
      <c r="J116" t="s">
        <v>1470</v>
      </c>
    </row>
    <row r="117" spans="1:10" x14ac:dyDescent="0.2">
      <c r="A117" t="s">
        <v>1297</v>
      </c>
      <c r="B117" t="s">
        <v>1296</v>
      </c>
      <c r="C117" t="s">
        <v>1494</v>
      </c>
      <c r="D117">
        <v>4</v>
      </c>
      <c r="E117" s="328">
        <v>72</v>
      </c>
      <c r="F117" t="s">
        <v>1498</v>
      </c>
      <c r="G117">
        <v>2</v>
      </c>
      <c r="H117" t="s">
        <v>1755</v>
      </c>
      <c r="I117">
        <v>38</v>
      </c>
      <c r="J117" t="s">
        <v>1470</v>
      </c>
    </row>
    <row r="118" spans="1:10" x14ac:dyDescent="0.2">
      <c r="A118" t="s">
        <v>341</v>
      </c>
      <c r="B118" t="s">
        <v>340</v>
      </c>
      <c r="C118" t="s">
        <v>1494</v>
      </c>
      <c r="D118">
        <v>4</v>
      </c>
      <c r="E118" s="328">
        <v>70</v>
      </c>
      <c r="F118" t="s">
        <v>1498</v>
      </c>
      <c r="G118">
        <v>1</v>
      </c>
      <c r="H118" t="s">
        <v>1755</v>
      </c>
      <c r="I118">
        <v>25</v>
      </c>
      <c r="J118" t="s">
        <v>1470</v>
      </c>
    </row>
    <row r="119" spans="1:10" x14ac:dyDescent="0.2">
      <c r="A119" t="s">
        <v>1409</v>
      </c>
      <c r="B119" t="s">
        <v>468</v>
      </c>
      <c r="C119" t="s">
        <v>1494</v>
      </c>
      <c r="D119">
        <v>4</v>
      </c>
      <c r="E119" s="328">
        <v>90</v>
      </c>
      <c r="F119" t="s">
        <v>1498</v>
      </c>
      <c r="G119">
        <v>1</v>
      </c>
      <c r="H119" t="s">
        <v>1755</v>
      </c>
      <c r="I119">
        <v>13</v>
      </c>
      <c r="J119" t="s">
        <v>1470</v>
      </c>
    </row>
    <row r="120" spans="1:10" x14ac:dyDescent="0.2">
      <c r="A120" t="s">
        <v>992</v>
      </c>
      <c r="B120" t="s">
        <v>991</v>
      </c>
      <c r="C120" t="s">
        <v>1494</v>
      </c>
      <c r="D120">
        <v>4</v>
      </c>
      <c r="E120" s="328">
        <v>59</v>
      </c>
      <c r="F120" t="s">
        <v>1498</v>
      </c>
      <c r="G120">
        <v>2</v>
      </c>
      <c r="H120" t="s">
        <v>1755</v>
      </c>
      <c r="I120">
        <v>10</v>
      </c>
      <c r="J120" t="s">
        <v>1470</v>
      </c>
    </row>
    <row r="121" spans="1:10" x14ac:dyDescent="0.2">
      <c r="A121" t="s">
        <v>1183</v>
      </c>
      <c r="B121" t="s">
        <v>1182</v>
      </c>
      <c r="C121" t="s">
        <v>1494</v>
      </c>
      <c r="D121">
        <v>4</v>
      </c>
      <c r="E121" s="328">
        <v>90</v>
      </c>
      <c r="F121" t="s">
        <v>1498</v>
      </c>
      <c r="G121">
        <v>1</v>
      </c>
      <c r="H121" t="s">
        <v>1755</v>
      </c>
      <c r="I121">
        <v>9</v>
      </c>
      <c r="J121" t="s">
        <v>1470</v>
      </c>
    </row>
    <row r="122" spans="1:10" x14ac:dyDescent="0.2">
      <c r="A122" t="s">
        <v>215</v>
      </c>
      <c r="B122" t="s">
        <v>132</v>
      </c>
      <c r="C122" t="s">
        <v>1493</v>
      </c>
      <c r="D122">
        <v>3.9</v>
      </c>
      <c r="E122" s="328">
        <v>78</v>
      </c>
      <c r="F122" t="s">
        <v>1498</v>
      </c>
      <c r="G122">
        <v>1</v>
      </c>
      <c r="H122" t="s">
        <v>1755</v>
      </c>
      <c r="I122">
        <v>33</v>
      </c>
      <c r="J122" t="s">
        <v>1470</v>
      </c>
    </row>
    <row r="123" spans="1:10" x14ac:dyDescent="0.2">
      <c r="A123" t="s">
        <v>1062</v>
      </c>
      <c r="B123" t="s">
        <v>766</v>
      </c>
      <c r="C123" t="s">
        <v>1493</v>
      </c>
      <c r="D123">
        <v>3.9</v>
      </c>
      <c r="E123" s="328">
        <v>56</v>
      </c>
      <c r="F123" t="s">
        <v>1498</v>
      </c>
      <c r="G123">
        <v>1</v>
      </c>
      <c r="H123" t="s">
        <v>1755</v>
      </c>
      <c r="I123">
        <v>25</v>
      </c>
      <c r="J123" t="s">
        <v>1470</v>
      </c>
    </row>
    <row r="124" spans="1:10" x14ac:dyDescent="0.2">
      <c r="A124" t="s">
        <v>420</v>
      </c>
      <c r="B124" t="s">
        <v>419</v>
      </c>
      <c r="C124" t="s">
        <v>1493</v>
      </c>
      <c r="D124">
        <v>3.9</v>
      </c>
      <c r="E124" s="328">
        <v>80</v>
      </c>
      <c r="F124" t="s">
        <v>1498</v>
      </c>
      <c r="G124">
        <v>1</v>
      </c>
      <c r="H124" t="s">
        <v>1755</v>
      </c>
      <c r="I124">
        <v>17</v>
      </c>
      <c r="J124" t="s">
        <v>1470</v>
      </c>
    </row>
    <row r="125" spans="1:10" x14ac:dyDescent="0.2">
      <c r="A125" t="s">
        <v>249</v>
      </c>
      <c r="B125" t="s">
        <v>248</v>
      </c>
      <c r="C125" t="s">
        <v>1493</v>
      </c>
      <c r="D125">
        <v>3.9</v>
      </c>
      <c r="E125" s="328">
        <v>77</v>
      </c>
      <c r="F125" t="s">
        <v>1498</v>
      </c>
      <c r="G125">
        <v>1</v>
      </c>
      <c r="H125" t="s">
        <v>1755</v>
      </c>
      <c r="I125">
        <v>10</v>
      </c>
      <c r="J125" t="s">
        <v>1470</v>
      </c>
    </row>
    <row r="126" spans="1:10" x14ac:dyDescent="0.2">
      <c r="A126" t="s">
        <v>477</v>
      </c>
      <c r="B126" t="s">
        <v>386</v>
      </c>
      <c r="C126" t="s">
        <v>1493</v>
      </c>
      <c r="D126">
        <v>3.7</v>
      </c>
      <c r="E126" s="328">
        <v>72</v>
      </c>
      <c r="F126" t="s">
        <v>1498</v>
      </c>
      <c r="G126">
        <v>1</v>
      </c>
      <c r="H126" t="s">
        <v>1755</v>
      </c>
      <c r="I126">
        <v>31</v>
      </c>
      <c r="J126" t="s">
        <v>1470</v>
      </c>
    </row>
    <row r="127" spans="1:10" x14ac:dyDescent="0.2">
      <c r="A127" t="s">
        <v>218</v>
      </c>
      <c r="B127" t="s">
        <v>217</v>
      </c>
      <c r="C127" t="s">
        <v>1493</v>
      </c>
      <c r="D127">
        <v>3.7</v>
      </c>
      <c r="E127" s="328">
        <v>60</v>
      </c>
      <c r="F127" t="s">
        <v>1498</v>
      </c>
      <c r="G127">
        <v>1</v>
      </c>
      <c r="H127" t="s">
        <v>1755</v>
      </c>
      <c r="I127">
        <v>27</v>
      </c>
      <c r="J127" t="s">
        <v>1470</v>
      </c>
    </row>
    <row r="128" spans="1:10" x14ac:dyDescent="0.2">
      <c r="A128" t="s">
        <v>673</v>
      </c>
      <c r="B128" t="s">
        <v>672</v>
      </c>
      <c r="C128" t="s">
        <v>1493</v>
      </c>
      <c r="D128">
        <v>3.7</v>
      </c>
      <c r="E128" s="328">
        <v>80</v>
      </c>
      <c r="F128" t="s">
        <v>1498</v>
      </c>
      <c r="G128">
        <v>2</v>
      </c>
      <c r="H128" t="s">
        <v>1755</v>
      </c>
      <c r="I128">
        <v>22</v>
      </c>
      <c r="J128" t="s">
        <v>1470</v>
      </c>
    </row>
    <row r="129" spans="1:10" x14ac:dyDescent="0.2">
      <c r="A129" t="s">
        <v>630</v>
      </c>
      <c r="B129" t="s">
        <v>629</v>
      </c>
      <c r="C129" t="s">
        <v>1493</v>
      </c>
      <c r="D129">
        <v>3.7</v>
      </c>
      <c r="E129" s="328">
        <v>78</v>
      </c>
      <c r="F129" t="s">
        <v>1498</v>
      </c>
      <c r="G129">
        <v>1</v>
      </c>
      <c r="H129" t="s">
        <v>1755</v>
      </c>
      <c r="I129">
        <v>19</v>
      </c>
      <c r="J129" t="s">
        <v>1470</v>
      </c>
    </row>
    <row r="130" spans="1:10" x14ac:dyDescent="0.2">
      <c r="A130" t="s">
        <v>850</v>
      </c>
      <c r="B130" t="s">
        <v>208</v>
      </c>
      <c r="C130" t="s">
        <v>1493</v>
      </c>
      <c r="D130">
        <v>3.7</v>
      </c>
      <c r="E130" s="328">
        <v>64</v>
      </c>
      <c r="F130" t="s">
        <v>1498</v>
      </c>
      <c r="G130">
        <v>1</v>
      </c>
      <c r="H130" t="s">
        <v>1755</v>
      </c>
      <c r="I130">
        <v>18</v>
      </c>
      <c r="J130" t="s">
        <v>1470</v>
      </c>
    </row>
    <row r="131" spans="1:10" x14ac:dyDescent="0.2">
      <c r="A131" t="s">
        <v>1393</v>
      </c>
      <c r="B131" t="s">
        <v>372</v>
      </c>
      <c r="C131" t="s">
        <v>1493</v>
      </c>
      <c r="D131">
        <v>3.7</v>
      </c>
      <c r="E131" s="328">
        <v>80</v>
      </c>
      <c r="F131" t="s">
        <v>1498</v>
      </c>
      <c r="G131">
        <v>1</v>
      </c>
      <c r="H131" t="s">
        <v>1755</v>
      </c>
      <c r="I131">
        <v>10</v>
      </c>
      <c r="J131" t="s">
        <v>1470</v>
      </c>
    </row>
    <row r="132" spans="1:10" x14ac:dyDescent="0.2">
      <c r="A132" t="s">
        <v>489</v>
      </c>
      <c r="B132" t="s">
        <v>488</v>
      </c>
      <c r="C132" t="s">
        <v>1493</v>
      </c>
      <c r="D132">
        <v>3.6</v>
      </c>
      <c r="E132" s="328">
        <v>80</v>
      </c>
      <c r="F132" t="s">
        <v>1498</v>
      </c>
      <c r="G132">
        <v>1</v>
      </c>
      <c r="H132" t="s">
        <v>1755</v>
      </c>
      <c r="I132">
        <v>14</v>
      </c>
      <c r="J132" t="s">
        <v>1470</v>
      </c>
    </row>
    <row r="133" spans="1:10" x14ac:dyDescent="0.2">
      <c r="A133" t="s">
        <v>798</v>
      </c>
      <c r="B133" t="s">
        <v>797</v>
      </c>
      <c r="C133" t="s">
        <v>1493</v>
      </c>
      <c r="D133">
        <v>3.6</v>
      </c>
      <c r="E133" s="328">
        <v>70</v>
      </c>
      <c r="F133" t="s">
        <v>1498</v>
      </c>
      <c r="G133">
        <v>1</v>
      </c>
      <c r="H133" t="s">
        <v>1755</v>
      </c>
      <c r="I133">
        <v>10</v>
      </c>
      <c r="J133" t="s">
        <v>1470</v>
      </c>
    </row>
    <row r="134" spans="1:10" x14ac:dyDescent="0.2">
      <c r="A134" t="s">
        <v>1331</v>
      </c>
      <c r="B134" t="s">
        <v>474</v>
      </c>
      <c r="C134" t="s">
        <v>1493</v>
      </c>
      <c r="D134">
        <v>3.5</v>
      </c>
      <c r="E134" s="328">
        <v>96</v>
      </c>
      <c r="F134" t="s">
        <v>1498</v>
      </c>
      <c r="G134">
        <v>1</v>
      </c>
      <c r="H134" t="s">
        <v>1755</v>
      </c>
      <c r="I134">
        <v>11</v>
      </c>
      <c r="J134" t="s">
        <v>1470</v>
      </c>
    </row>
    <row r="135" spans="1:10" x14ac:dyDescent="0.2">
      <c r="A135" t="s">
        <v>1082</v>
      </c>
      <c r="B135" t="s">
        <v>340</v>
      </c>
      <c r="C135" t="s">
        <v>1493</v>
      </c>
      <c r="D135">
        <v>3.4</v>
      </c>
      <c r="E135" s="328">
        <v>60</v>
      </c>
      <c r="F135" t="s">
        <v>1498</v>
      </c>
      <c r="G135">
        <v>1</v>
      </c>
      <c r="H135" t="s">
        <v>1755</v>
      </c>
      <c r="I135">
        <v>26</v>
      </c>
      <c r="J135" t="s">
        <v>1470</v>
      </c>
    </row>
    <row r="136" spans="1:10" x14ac:dyDescent="0.2">
      <c r="A136" t="s">
        <v>552</v>
      </c>
      <c r="B136" t="s">
        <v>551</v>
      </c>
      <c r="C136" t="s">
        <v>1493</v>
      </c>
      <c r="D136">
        <v>3.4</v>
      </c>
      <c r="E136" s="328">
        <v>80</v>
      </c>
      <c r="F136" t="s">
        <v>1498</v>
      </c>
      <c r="G136">
        <v>1</v>
      </c>
      <c r="H136" t="s">
        <v>1755</v>
      </c>
      <c r="I136">
        <v>23</v>
      </c>
      <c r="J136" t="s">
        <v>1470</v>
      </c>
    </row>
    <row r="137" spans="1:10" x14ac:dyDescent="0.2">
      <c r="A137" t="s">
        <v>1145</v>
      </c>
      <c r="B137" t="s">
        <v>1144</v>
      </c>
      <c r="C137" t="s">
        <v>1493</v>
      </c>
      <c r="D137">
        <v>3.4</v>
      </c>
      <c r="E137" s="328">
        <v>70</v>
      </c>
      <c r="F137" t="s">
        <v>1498</v>
      </c>
      <c r="G137">
        <v>2</v>
      </c>
      <c r="H137" t="s">
        <v>1755</v>
      </c>
      <c r="I137">
        <v>10</v>
      </c>
      <c r="J137" t="s">
        <v>1470</v>
      </c>
    </row>
    <row r="138" spans="1:10" x14ac:dyDescent="0.2">
      <c r="A138" t="s">
        <v>1319</v>
      </c>
      <c r="B138" t="s">
        <v>1318</v>
      </c>
      <c r="C138" t="s">
        <v>1493</v>
      </c>
      <c r="D138">
        <v>3.2</v>
      </c>
      <c r="E138" s="328">
        <v>60</v>
      </c>
      <c r="F138" t="s">
        <v>1498</v>
      </c>
      <c r="G138">
        <v>1</v>
      </c>
      <c r="H138" t="s">
        <v>1755</v>
      </c>
      <c r="I138">
        <v>15</v>
      </c>
      <c r="J138" t="s">
        <v>1470</v>
      </c>
    </row>
    <row r="139" spans="1:10" x14ac:dyDescent="0.2">
      <c r="A139" t="s">
        <v>209</v>
      </c>
      <c r="B139" t="s">
        <v>208</v>
      </c>
      <c r="C139" t="s">
        <v>1493</v>
      </c>
      <c r="D139">
        <v>3.1</v>
      </c>
      <c r="E139" s="328">
        <v>80</v>
      </c>
      <c r="F139" t="s">
        <v>1498</v>
      </c>
      <c r="G139">
        <v>1</v>
      </c>
      <c r="H139" t="s">
        <v>1755</v>
      </c>
      <c r="I139">
        <v>8</v>
      </c>
      <c r="J139" t="s">
        <v>1470</v>
      </c>
    </row>
    <row r="140" spans="1:10" x14ac:dyDescent="0.2">
      <c r="A140" t="s">
        <v>1030</v>
      </c>
      <c r="B140" t="s">
        <v>1029</v>
      </c>
      <c r="C140" t="s">
        <v>1492</v>
      </c>
      <c r="D140">
        <v>2.9</v>
      </c>
      <c r="E140" s="328">
        <v>55</v>
      </c>
      <c r="F140" t="s">
        <v>1498</v>
      </c>
      <c r="G140">
        <v>1</v>
      </c>
      <c r="H140" t="s">
        <v>1755</v>
      </c>
      <c r="I140">
        <v>8</v>
      </c>
      <c r="J140" t="s">
        <v>1470</v>
      </c>
    </row>
    <row r="141" spans="1:10" x14ac:dyDescent="0.2">
      <c r="A141" t="s">
        <v>1395</v>
      </c>
      <c r="B141" t="s">
        <v>494</v>
      </c>
      <c r="C141" t="s">
        <v>1492</v>
      </c>
      <c r="D141">
        <v>2.8</v>
      </c>
      <c r="E141" s="328">
        <v>96</v>
      </c>
      <c r="F141" t="s">
        <v>1498</v>
      </c>
      <c r="G141">
        <v>1</v>
      </c>
      <c r="H141" t="s">
        <v>1755</v>
      </c>
      <c r="I141">
        <v>11</v>
      </c>
      <c r="J141" t="s">
        <v>1470</v>
      </c>
    </row>
    <row r="142" spans="1:10" x14ac:dyDescent="0.2">
      <c r="A142" t="s">
        <v>257</v>
      </c>
      <c r="B142" t="s">
        <v>256</v>
      </c>
      <c r="C142" t="s">
        <v>1492</v>
      </c>
      <c r="D142">
        <v>2.8</v>
      </c>
      <c r="E142" s="328">
        <v>75</v>
      </c>
      <c r="F142" t="s">
        <v>1498</v>
      </c>
      <c r="G142">
        <v>2</v>
      </c>
      <c r="H142" t="s">
        <v>1755</v>
      </c>
      <c r="I142">
        <v>10</v>
      </c>
      <c r="J142" t="s">
        <v>1470</v>
      </c>
    </row>
    <row r="143" spans="1:10" x14ac:dyDescent="0.2">
      <c r="A143" t="s">
        <v>1391</v>
      </c>
      <c r="B143" t="s">
        <v>220</v>
      </c>
      <c r="C143" t="s">
        <v>1492</v>
      </c>
      <c r="D143">
        <v>2.7</v>
      </c>
      <c r="E143" s="328">
        <v>88</v>
      </c>
      <c r="F143" t="s">
        <v>1498</v>
      </c>
      <c r="G143">
        <v>1</v>
      </c>
      <c r="H143" t="s">
        <v>1755</v>
      </c>
      <c r="I143">
        <v>19</v>
      </c>
      <c r="J143" t="s">
        <v>1470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E90B1-3D84-974C-805C-E0387D4D2ABF}">
  <dimension ref="A1:P412"/>
  <sheetViews>
    <sheetView zoomScale="93" zoomScaleNormal="100" workbookViewId="0">
      <selection activeCell="K5" sqref="K5"/>
    </sheetView>
  </sheetViews>
  <sheetFormatPr baseColWidth="10" defaultRowHeight="16" x14ac:dyDescent="0.2"/>
  <cols>
    <col min="1" max="1" width="22.83203125" customWidth="1"/>
    <col min="2" max="2" width="17.33203125" customWidth="1"/>
    <col min="3" max="3" width="13.6640625" customWidth="1"/>
    <col min="4" max="4" width="11.6640625" customWidth="1"/>
    <col min="5" max="5" width="13.1640625" customWidth="1"/>
    <col min="6" max="6" width="19" customWidth="1"/>
    <col min="7" max="7" width="13.33203125" customWidth="1"/>
    <col min="8" max="9" width="15.1640625" customWidth="1"/>
    <col min="11" max="11" width="15.1640625" customWidth="1"/>
  </cols>
  <sheetData>
    <row r="1" spans="1:16" x14ac:dyDescent="0.2">
      <c r="A1" t="s">
        <v>1483</v>
      </c>
      <c r="B1" t="s">
        <v>1484</v>
      </c>
      <c r="C1" t="s">
        <v>1486</v>
      </c>
      <c r="D1" t="s">
        <v>5</v>
      </c>
      <c r="E1" t="s">
        <v>1487</v>
      </c>
      <c r="F1" t="s">
        <v>1907</v>
      </c>
      <c r="G1" t="s">
        <v>1485</v>
      </c>
      <c r="H1" t="s">
        <v>1468</v>
      </c>
      <c r="I1" t="s">
        <v>1488</v>
      </c>
      <c r="J1" t="s">
        <v>1469</v>
      </c>
    </row>
    <row r="2" spans="1:16" x14ac:dyDescent="0.2">
      <c r="A2" t="s">
        <v>1051</v>
      </c>
      <c r="B2" t="s">
        <v>1050</v>
      </c>
      <c r="C2" t="s">
        <v>1494</v>
      </c>
      <c r="D2">
        <v>5</v>
      </c>
      <c r="E2" s="329">
        <v>136</v>
      </c>
      <c r="F2" t="s">
        <v>1495</v>
      </c>
      <c r="G2">
        <v>1</v>
      </c>
      <c r="H2" t="s">
        <v>1756</v>
      </c>
      <c r="I2">
        <v>5</v>
      </c>
      <c r="J2" t="s">
        <v>1470</v>
      </c>
    </row>
    <row r="3" spans="1:16" x14ac:dyDescent="0.2">
      <c r="A3" t="s">
        <v>163</v>
      </c>
      <c r="B3" t="s">
        <v>162</v>
      </c>
      <c r="C3" t="s">
        <v>1494</v>
      </c>
      <c r="D3">
        <v>5</v>
      </c>
      <c r="E3" s="329">
        <v>120</v>
      </c>
      <c r="F3" t="s">
        <v>1495</v>
      </c>
      <c r="G3">
        <v>2</v>
      </c>
      <c r="H3" t="s">
        <v>1756</v>
      </c>
      <c r="I3">
        <v>4</v>
      </c>
      <c r="J3" t="s">
        <v>1470</v>
      </c>
    </row>
    <row r="4" spans="1:16" x14ac:dyDescent="0.2">
      <c r="A4" t="s">
        <v>70</v>
      </c>
      <c r="B4" t="s">
        <v>69</v>
      </c>
      <c r="C4" t="s">
        <v>1494</v>
      </c>
      <c r="D4">
        <v>5</v>
      </c>
      <c r="E4" s="329">
        <v>150</v>
      </c>
      <c r="F4" t="s">
        <v>1495</v>
      </c>
      <c r="G4">
        <v>2</v>
      </c>
      <c r="H4" t="s">
        <v>1756</v>
      </c>
      <c r="I4">
        <v>4</v>
      </c>
      <c r="J4" t="s">
        <v>1470</v>
      </c>
    </row>
    <row r="5" spans="1:16" x14ac:dyDescent="0.2">
      <c r="A5" t="s">
        <v>923</v>
      </c>
      <c r="B5" t="s">
        <v>922</v>
      </c>
      <c r="C5" t="s">
        <v>1494</v>
      </c>
      <c r="D5">
        <v>5</v>
      </c>
      <c r="E5" s="329">
        <v>112</v>
      </c>
      <c r="F5" t="s">
        <v>1495</v>
      </c>
      <c r="G5">
        <v>1</v>
      </c>
      <c r="H5" t="s">
        <v>1756</v>
      </c>
      <c r="I5">
        <v>4</v>
      </c>
      <c r="J5" t="s">
        <v>1470</v>
      </c>
    </row>
    <row r="6" spans="1:16" x14ac:dyDescent="0.2">
      <c r="A6" t="s">
        <v>320</v>
      </c>
      <c r="B6" t="s">
        <v>37</v>
      </c>
      <c r="C6" t="s">
        <v>1494</v>
      </c>
      <c r="D6">
        <v>5</v>
      </c>
      <c r="E6" s="329">
        <v>100</v>
      </c>
      <c r="F6" t="s">
        <v>1495</v>
      </c>
      <c r="G6">
        <v>1</v>
      </c>
      <c r="H6" t="s">
        <v>1756</v>
      </c>
      <c r="I6">
        <v>3</v>
      </c>
      <c r="J6" t="s">
        <v>1470</v>
      </c>
      <c r="P6">
        <f>COUNTA(_xlfn.UNIQUE(#REF!))</f>
        <v>1</v>
      </c>
    </row>
    <row r="7" spans="1:16" x14ac:dyDescent="0.2">
      <c r="A7" t="s">
        <v>848</v>
      </c>
      <c r="B7" t="s">
        <v>380</v>
      </c>
      <c r="C7" t="s">
        <v>1494</v>
      </c>
      <c r="D7">
        <v>5</v>
      </c>
      <c r="E7" s="329">
        <v>150</v>
      </c>
      <c r="F7" t="s">
        <v>1495</v>
      </c>
      <c r="G7">
        <v>1</v>
      </c>
      <c r="H7" t="s">
        <v>1756</v>
      </c>
      <c r="I7">
        <v>3</v>
      </c>
      <c r="J7" t="s">
        <v>1470</v>
      </c>
      <c r="P7">
        <f>COUNTA(_xlfn.UNIQUE(#REF!))</f>
        <v>1</v>
      </c>
    </row>
    <row r="8" spans="1:16" x14ac:dyDescent="0.2">
      <c r="A8" t="s">
        <v>708</v>
      </c>
      <c r="B8" t="s">
        <v>707</v>
      </c>
      <c r="C8" t="s">
        <v>1494</v>
      </c>
      <c r="D8">
        <v>5</v>
      </c>
      <c r="E8" s="329">
        <v>120</v>
      </c>
      <c r="F8" t="s">
        <v>1495</v>
      </c>
      <c r="G8">
        <v>1</v>
      </c>
      <c r="H8" t="s">
        <v>1756</v>
      </c>
      <c r="I8">
        <v>3</v>
      </c>
      <c r="J8" t="s">
        <v>1470</v>
      </c>
      <c r="P8">
        <f>COUNTA(_xlfn.UNIQUE(a.nike.original.man[Product_ID]))</f>
        <v>554</v>
      </c>
    </row>
    <row r="9" spans="1:16" x14ac:dyDescent="0.2">
      <c r="A9" t="s">
        <v>1068</v>
      </c>
      <c r="B9" t="s">
        <v>182</v>
      </c>
      <c r="C9" t="s">
        <v>1494</v>
      </c>
      <c r="D9">
        <v>5</v>
      </c>
      <c r="E9" s="329">
        <v>120</v>
      </c>
      <c r="F9" t="s">
        <v>1495</v>
      </c>
      <c r="G9">
        <v>1</v>
      </c>
      <c r="H9" t="s">
        <v>1756</v>
      </c>
      <c r="I9">
        <v>2</v>
      </c>
      <c r="J9" t="s">
        <v>1470</v>
      </c>
    </row>
    <row r="10" spans="1:16" x14ac:dyDescent="0.2">
      <c r="A10" t="s">
        <v>35</v>
      </c>
      <c r="B10" t="s">
        <v>34</v>
      </c>
      <c r="C10" t="s">
        <v>1494</v>
      </c>
      <c r="D10">
        <v>5</v>
      </c>
      <c r="E10" s="329">
        <v>150</v>
      </c>
      <c r="F10" t="s">
        <v>1495</v>
      </c>
      <c r="G10">
        <v>1</v>
      </c>
      <c r="H10" t="s">
        <v>1756</v>
      </c>
      <c r="I10">
        <v>2</v>
      </c>
      <c r="J10" t="s">
        <v>1470</v>
      </c>
    </row>
    <row r="11" spans="1:16" x14ac:dyDescent="0.2">
      <c r="A11" t="s">
        <v>412</v>
      </c>
      <c r="B11" t="s">
        <v>20</v>
      </c>
      <c r="C11" t="s">
        <v>1494</v>
      </c>
      <c r="D11">
        <v>5</v>
      </c>
      <c r="E11" s="329">
        <v>100</v>
      </c>
      <c r="F11" t="s">
        <v>1495</v>
      </c>
      <c r="G11">
        <v>1</v>
      </c>
      <c r="H11" t="s">
        <v>1756</v>
      </c>
      <c r="I11">
        <v>2</v>
      </c>
      <c r="J11" t="s">
        <v>1470</v>
      </c>
    </row>
    <row r="12" spans="1:16" x14ac:dyDescent="0.2">
      <c r="A12" t="s">
        <v>621</v>
      </c>
      <c r="B12" t="s">
        <v>620</v>
      </c>
      <c r="C12" t="s">
        <v>1494</v>
      </c>
      <c r="D12">
        <v>5</v>
      </c>
      <c r="E12" s="329">
        <v>110</v>
      </c>
      <c r="F12" t="s">
        <v>1495</v>
      </c>
      <c r="G12">
        <v>1</v>
      </c>
      <c r="H12" t="s">
        <v>1756</v>
      </c>
      <c r="I12">
        <v>2</v>
      </c>
      <c r="J12" t="s">
        <v>1470</v>
      </c>
    </row>
    <row r="13" spans="1:16" x14ac:dyDescent="0.2">
      <c r="A13" t="s">
        <v>196</v>
      </c>
      <c r="B13" t="s">
        <v>195</v>
      </c>
      <c r="C13" t="s">
        <v>1494</v>
      </c>
      <c r="D13">
        <v>5</v>
      </c>
      <c r="E13" s="329">
        <v>120</v>
      </c>
      <c r="F13" t="s">
        <v>1495</v>
      </c>
      <c r="G13">
        <v>1</v>
      </c>
      <c r="H13" t="s">
        <v>1756</v>
      </c>
      <c r="I13">
        <v>2</v>
      </c>
      <c r="J13" t="s">
        <v>1470</v>
      </c>
    </row>
    <row r="14" spans="1:16" x14ac:dyDescent="0.2">
      <c r="A14" t="s">
        <v>426</v>
      </c>
      <c r="B14" t="s">
        <v>425</v>
      </c>
      <c r="C14" t="s">
        <v>1494</v>
      </c>
      <c r="D14">
        <v>5</v>
      </c>
      <c r="E14" s="329">
        <v>112</v>
      </c>
      <c r="F14" t="s">
        <v>1495</v>
      </c>
      <c r="G14">
        <v>1</v>
      </c>
      <c r="H14" t="s">
        <v>1756</v>
      </c>
      <c r="I14">
        <v>2</v>
      </c>
      <c r="J14" t="s">
        <v>1470</v>
      </c>
    </row>
    <row r="15" spans="1:16" x14ac:dyDescent="0.2">
      <c r="A15" t="s">
        <v>740</v>
      </c>
      <c r="B15" t="s">
        <v>739</v>
      </c>
      <c r="C15" t="s">
        <v>1494</v>
      </c>
      <c r="D15">
        <v>5</v>
      </c>
      <c r="E15" s="329">
        <v>230</v>
      </c>
      <c r="F15" t="s">
        <v>1495</v>
      </c>
      <c r="G15">
        <v>2</v>
      </c>
      <c r="H15" t="s">
        <v>1756</v>
      </c>
      <c r="I15">
        <v>2</v>
      </c>
      <c r="J15" t="s">
        <v>1470</v>
      </c>
    </row>
    <row r="16" spans="1:16" x14ac:dyDescent="0.2">
      <c r="A16" t="s">
        <v>838</v>
      </c>
      <c r="B16" t="s">
        <v>837</v>
      </c>
      <c r="C16" t="s">
        <v>1494</v>
      </c>
      <c r="D16">
        <v>5</v>
      </c>
      <c r="E16" s="329">
        <v>250</v>
      </c>
      <c r="F16" t="s">
        <v>1495</v>
      </c>
      <c r="G16">
        <v>2</v>
      </c>
      <c r="H16" t="s">
        <v>1756</v>
      </c>
      <c r="I16">
        <v>2</v>
      </c>
      <c r="J16" t="s">
        <v>1470</v>
      </c>
    </row>
    <row r="17" spans="1:10" x14ac:dyDescent="0.2">
      <c r="A17" t="s">
        <v>858</v>
      </c>
      <c r="B17" t="s">
        <v>857</v>
      </c>
      <c r="C17" t="s">
        <v>1494</v>
      </c>
      <c r="D17">
        <v>5</v>
      </c>
      <c r="E17" s="329">
        <v>160</v>
      </c>
      <c r="F17" t="s">
        <v>1495</v>
      </c>
      <c r="G17">
        <v>2</v>
      </c>
      <c r="H17" t="s">
        <v>1756</v>
      </c>
      <c r="I17">
        <v>2</v>
      </c>
      <c r="J17" t="s">
        <v>1470</v>
      </c>
    </row>
    <row r="18" spans="1:10" x14ac:dyDescent="0.2">
      <c r="A18" t="s">
        <v>159</v>
      </c>
      <c r="B18" t="s">
        <v>158</v>
      </c>
      <c r="C18" t="s">
        <v>1494</v>
      </c>
      <c r="D18">
        <v>5</v>
      </c>
      <c r="E18" s="329">
        <v>110</v>
      </c>
      <c r="F18" t="s">
        <v>1495</v>
      </c>
      <c r="G18">
        <v>1</v>
      </c>
      <c r="H18" t="s">
        <v>1756</v>
      </c>
      <c r="I18">
        <v>2</v>
      </c>
      <c r="J18" t="s">
        <v>1470</v>
      </c>
    </row>
    <row r="19" spans="1:10" x14ac:dyDescent="0.2">
      <c r="A19" t="s">
        <v>252</v>
      </c>
      <c r="B19" t="s">
        <v>251</v>
      </c>
      <c r="C19" t="s">
        <v>1494</v>
      </c>
      <c r="D19">
        <v>5</v>
      </c>
      <c r="E19" s="329">
        <v>136</v>
      </c>
      <c r="F19" t="s">
        <v>1495</v>
      </c>
      <c r="G19">
        <v>1</v>
      </c>
      <c r="H19" t="s">
        <v>1756</v>
      </c>
      <c r="I19">
        <v>2</v>
      </c>
      <c r="J19" t="s">
        <v>1470</v>
      </c>
    </row>
    <row r="20" spans="1:10" x14ac:dyDescent="0.2">
      <c r="A20" t="s">
        <v>867</v>
      </c>
      <c r="B20" t="s">
        <v>866</v>
      </c>
      <c r="C20" t="s">
        <v>1494</v>
      </c>
      <c r="D20">
        <v>5</v>
      </c>
      <c r="E20" s="329">
        <v>120</v>
      </c>
      <c r="F20" t="s">
        <v>1495</v>
      </c>
      <c r="G20">
        <v>1</v>
      </c>
      <c r="H20" t="s">
        <v>1756</v>
      </c>
      <c r="I20">
        <v>2</v>
      </c>
      <c r="J20" t="s">
        <v>1470</v>
      </c>
    </row>
    <row r="21" spans="1:10" x14ac:dyDescent="0.2">
      <c r="A21" t="s">
        <v>676</v>
      </c>
      <c r="B21" t="s">
        <v>675</v>
      </c>
      <c r="C21" t="s">
        <v>1494</v>
      </c>
      <c r="D21">
        <v>5</v>
      </c>
      <c r="E21" s="329">
        <v>130</v>
      </c>
      <c r="F21" t="s">
        <v>1495</v>
      </c>
      <c r="G21">
        <v>1</v>
      </c>
      <c r="H21" t="s">
        <v>1756</v>
      </c>
      <c r="I21">
        <v>2</v>
      </c>
      <c r="J21" t="s">
        <v>1470</v>
      </c>
    </row>
    <row r="22" spans="1:10" x14ac:dyDescent="0.2">
      <c r="A22" t="s">
        <v>1101</v>
      </c>
      <c r="B22" t="s">
        <v>400</v>
      </c>
      <c r="C22" t="s">
        <v>1494</v>
      </c>
      <c r="D22">
        <v>5</v>
      </c>
      <c r="E22" s="329">
        <v>110</v>
      </c>
      <c r="F22" t="s">
        <v>1495</v>
      </c>
      <c r="G22">
        <v>1</v>
      </c>
      <c r="H22" t="s">
        <v>1756</v>
      </c>
      <c r="I22">
        <v>2</v>
      </c>
      <c r="J22" t="s">
        <v>1470</v>
      </c>
    </row>
    <row r="23" spans="1:10" x14ac:dyDescent="0.2">
      <c r="A23" t="s">
        <v>1238</v>
      </c>
      <c r="B23" t="s">
        <v>620</v>
      </c>
      <c r="C23" t="s">
        <v>1494</v>
      </c>
      <c r="D23">
        <v>5</v>
      </c>
      <c r="E23" s="329">
        <v>110</v>
      </c>
      <c r="F23" t="s">
        <v>1495</v>
      </c>
      <c r="G23">
        <v>1</v>
      </c>
      <c r="H23" t="s">
        <v>1756</v>
      </c>
      <c r="I23">
        <v>2</v>
      </c>
      <c r="J23" t="s">
        <v>1470</v>
      </c>
    </row>
    <row r="24" spans="1:10" x14ac:dyDescent="0.2">
      <c r="A24" t="s">
        <v>1268</v>
      </c>
      <c r="B24" t="s">
        <v>195</v>
      </c>
      <c r="C24" t="s">
        <v>1494</v>
      </c>
      <c r="D24">
        <v>5</v>
      </c>
      <c r="E24" s="329">
        <v>120</v>
      </c>
      <c r="F24" t="s">
        <v>1495</v>
      </c>
      <c r="G24">
        <v>1</v>
      </c>
      <c r="H24" t="s">
        <v>1756</v>
      </c>
      <c r="I24">
        <v>2</v>
      </c>
      <c r="J24" t="s">
        <v>1470</v>
      </c>
    </row>
    <row r="25" spans="1:10" x14ac:dyDescent="0.2">
      <c r="A25" t="s">
        <v>1277</v>
      </c>
      <c r="B25" t="s">
        <v>1276</v>
      </c>
      <c r="C25" t="s">
        <v>1494</v>
      </c>
      <c r="D25">
        <v>5</v>
      </c>
      <c r="E25" s="329">
        <v>110</v>
      </c>
      <c r="F25" t="s">
        <v>1495</v>
      </c>
      <c r="G25">
        <v>1</v>
      </c>
      <c r="H25" t="s">
        <v>1756</v>
      </c>
      <c r="I25">
        <v>2</v>
      </c>
      <c r="J25" t="s">
        <v>1470</v>
      </c>
    </row>
    <row r="26" spans="1:10" x14ac:dyDescent="0.2">
      <c r="A26" t="s">
        <v>610</v>
      </c>
      <c r="B26" t="s">
        <v>37</v>
      </c>
      <c r="C26" t="s">
        <v>1494</v>
      </c>
      <c r="D26">
        <v>5</v>
      </c>
      <c r="E26" s="329">
        <v>100</v>
      </c>
      <c r="F26" t="s">
        <v>1495</v>
      </c>
      <c r="G26">
        <v>1</v>
      </c>
      <c r="H26" t="s">
        <v>1756</v>
      </c>
      <c r="I26">
        <v>1</v>
      </c>
      <c r="J26" t="s">
        <v>1470</v>
      </c>
    </row>
    <row r="27" spans="1:10" x14ac:dyDescent="0.2">
      <c r="A27" t="s">
        <v>171</v>
      </c>
      <c r="B27" t="s">
        <v>56</v>
      </c>
      <c r="C27" t="s">
        <v>1494</v>
      </c>
      <c r="D27">
        <v>5</v>
      </c>
      <c r="E27" s="329">
        <v>150</v>
      </c>
      <c r="F27" t="s">
        <v>1495</v>
      </c>
      <c r="G27">
        <v>1</v>
      </c>
      <c r="H27" t="s">
        <v>1756</v>
      </c>
      <c r="I27">
        <v>1</v>
      </c>
      <c r="J27" t="s">
        <v>1470</v>
      </c>
    </row>
    <row r="28" spans="1:10" x14ac:dyDescent="0.2">
      <c r="A28" t="s">
        <v>375</v>
      </c>
      <c r="B28" t="s">
        <v>56</v>
      </c>
      <c r="C28" t="s">
        <v>1494</v>
      </c>
      <c r="D28">
        <v>5</v>
      </c>
      <c r="E28" s="329">
        <v>160</v>
      </c>
      <c r="F28" t="s">
        <v>1495</v>
      </c>
      <c r="G28">
        <v>1</v>
      </c>
      <c r="H28" t="s">
        <v>1756</v>
      </c>
      <c r="I28">
        <v>1</v>
      </c>
      <c r="J28" t="s">
        <v>1470</v>
      </c>
    </row>
    <row r="29" spans="1:10" x14ac:dyDescent="0.2">
      <c r="A29" t="s">
        <v>211</v>
      </c>
      <c r="B29" t="s">
        <v>34</v>
      </c>
      <c r="C29" t="s">
        <v>1494</v>
      </c>
      <c r="D29">
        <v>5</v>
      </c>
      <c r="E29" s="329">
        <v>150</v>
      </c>
      <c r="F29" t="s">
        <v>1495</v>
      </c>
      <c r="G29">
        <v>1</v>
      </c>
      <c r="H29" t="s">
        <v>1756</v>
      </c>
      <c r="I29">
        <v>1</v>
      </c>
      <c r="J29" t="s">
        <v>1470</v>
      </c>
    </row>
    <row r="30" spans="1:10" x14ac:dyDescent="0.2">
      <c r="A30" t="s">
        <v>678</v>
      </c>
      <c r="B30" t="s">
        <v>298</v>
      </c>
      <c r="C30" t="s">
        <v>1494</v>
      </c>
      <c r="D30">
        <v>5</v>
      </c>
      <c r="E30" s="329">
        <v>110</v>
      </c>
      <c r="F30" t="s">
        <v>1495</v>
      </c>
      <c r="G30">
        <v>1</v>
      </c>
      <c r="H30" t="s">
        <v>1756</v>
      </c>
      <c r="I30">
        <v>1</v>
      </c>
      <c r="J30" t="s">
        <v>1470</v>
      </c>
    </row>
    <row r="31" spans="1:10" x14ac:dyDescent="0.2">
      <c r="A31" t="s">
        <v>29</v>
      </c>
      <c r="B31" t="s">
        <v>23</v>
      </c>
      <c r="C31" t="s">
        <v>1494</v>
      </c>
      <c r="D31">
        <v>5</v>
      </c>
      <c r="E31" s="329">
        <v>100</v>
      </c>
      <c r="F31" t="s">
        <v>1495</v>
      </c>
      <c r="G31">
        <v>1</v>
      </c>
      <c r="H31" t="s">
        <v>1756</v>
      </c>
      <c r="I31">
        <v>1</v>
      </c>
      <c r="J31" t="s">
        <v>1470</v>
      </c>
    </row>
    <row r="32" spans="1:10" x14ac:dyDescent="0.2">
      <c r="A32" t="s">
        <v>899</v>
      </c>
      <c r="B32" t="s">
        <v>548</v>
      </c>
      <c r="C32" t="s">
        <v>1494</v>
      </c>
      <c r="D32">
        <v>5</v>
      </c>
      <c r="E32" s="329">
        <v>130</v>
      </c>
      <c r="F32" t="s">
        <v>1495</v>
      </c>
      <c r="G32">
        <v>1</v>
      </c>
      <c r="H32" t="s">
        <v>1756</v>
      </c>
      <c r="I32">
        <v>1</v>
      </c>
      <c r="J32" t="s">
        <v>1470</v>
      </c>
    </row>
    <row r="33" spans="1:10" x14ac:dyDescent="0.2">
      <c r="A33" t="s">
        <v>235</v>
      </c>
      <c r="B33" t="s">
        <v>23</v>
      </c>
      <c r="C33" t="s">
        <v>1494</v>
      </c>
      <c r="D33">
        <v>5</v>
      </c>
      <c r="E33" s="329">
        <v>100</v>
      </c>
      <c r="F33" t="s">
        <v>1495</v>
      </c>
      <c r="G33">
        <v>1</v>
      </c>
      <c r="H33" t="s">
        <v>1756</v>
      </c>
      <c r="I33">
        <v>1</v>
      </c>
      <c r="J33" t="s">
        <v>1470</v>
      </c>
    </row>
    <row r="34" spans="1:10" x14ac:dyDescent="0.2">
      <c r="A34" t="s">
        <v>594</v>
      </c>
      <c r="B34" t="s">
        <v>425</v>
      </c>
      <c r="C34" t="s">
        <v>1494</v>
      </c>
      <c r="D34">
        <v>5</v>
      </c>
      <c r="E34" s="329">
        <v>160</v>
      </c>
      <c r="F34" t="s">
        <v>1495</v>
      </c>
      <c r="G34">
        <v>1</v>
      </c>
      <c r="H34" t="s">
        <v>1756</v>
      </c>
      <c r="I34">
        <v>1</v>
      </c>
      <c r="J34" t="s">
        <v>1470</v>
      </c>
    </row>
    <row r="35" spans="1:10" x14ac:dyDescent="0.2">
      <c r="A35" t="s">
        <v>770</v>
      </c>
      <c r="B35" t="s">
        <v>769</v>
      </c>
      <c r="C35" t="s">
        <v>1494</v>
      </c>
      <c r="D35">
        <v>5</v>
      </c>
      <c r="E35" s="329">
        <v>112</v>
      </c>
      <c r="F35" t="s">
        <v>1495</v>
      </c>
      <c r="G35">
        <v>1</v>
      </c>
      <c r="H35" t="s">
        <v>1756</v>
      </c>
      <c r="I35">
        <v>1</v>
      </c>
      <c r="J35" t="s">
        <v>1470</v>
      </c>
    </row>
    <row r="36" spans="1:10" x14ac:dyDescent="0.2">
      <c r="A36" t="s">
        <v>296</v>
      </c>
      <c r="B36" t="s">
        <v>295</v>
      </c>
      <c r="C36" t="s">
        <v>1494</v>
      </c>
      <c r="D36">
        <v>5</v>
      </c>
      <c r="E36" s="329">
        <v>120</v>
      </c>
      <c r="F36" t="s">
        <v>1495</v>
      </c>
      <c r="G36">
        <v>1</v>
      </c>
      <c r="H36" t="s">
        <v>1756</v>
      </c>
      <c r="I36">
        <v>1</v>
      </c>
      <c r="J36" t="s">
        <v>1470</v>
      </c>
    </row>
    <row r="37" spans="1:10" x14ac:dyDescent="0.2">
      <c r="A37" t="s">
        <v>338</v>
      </c>
      <c r="B37" t="s">
        <v>337</v>
      </c>
      <c r="C37" t="s">
        <v>1494</v>
      </c>
      <c r="D37">
        <v>5</v>
      </c>
      <c r="E37" s="329">
        <v>170</v>
      </c>
      <c r="F37" t="s">
        <v>1495</v>
      </c>
      <c r="G37">
        <v>1</v>
      </c>
      <c r="H37" t="s">
        <v>1756</v>
      </c>
      <c r="I37">
        <v>1</v>
      </c>
      <c r="J37" t="s">
        <v>1470</v>
      </c>
    </row>
    <row r="38" spans="1:10" x14ac:dyDescent="0.2">
      <c r="A38" t="s">
        <v>472</v>
      </c>
      <c r="B38" t="s">
        <v>471</v>
      </c>
      <c r="C38" t="s">
        <v>1494</v>
      </c>
      <c r="D38">
        <v>5</v>
      </c>
      <c r="E38" s="329">
        <v>130</v>
      </c>
      <c r="F38" t="s">
        <v>1495</v>
      </c>
      <c r="G38">
        <v>1</v>
      </c>
      <c r="H38" t="s">
        <v>1756</v>
      </c>
      <c r="I38">
        <v>1</v>
      </c>
      <c r="J38" t="s">
        <v>1470</v>
      </c>
    </row>
    <row r="39" spans="1:10" x14ac:dyDescent="0.2">
      <c r="A39" t="s">
        <v>746</v>
      </c>
      <c r="B39" t="s">
        <v>745</v>
      </c>
      <c r="C39" t="s">
        <v>1494</v>
      </c>
      <c r="D39">
        <v>5</v>
      </c>
      <c r="E39" s="329">
        <v>140</v>
      </c>
      <c r="F39" t="s">
        <v>1495</v>
      </c>
      <c r="G39">
        <v>1</v>
      </c>
      <c r="H39" t="s">
        <v>1756</v>
      </c>
      <c r="I39">
        <v>1</v>
      </c>
      <c r="J39" t="s">
        <v>1470</v>
      </c>
    </row>
    <row r="40" spans="1:10" x14ac:dyDescent="0.2">
      <c r="A40" t="s">
        <v>788</v>
      </c>
      <c r="B40" t="s">
        <v>787</v>
      </c>
      <c r="C40" t="s">
        <v>1494</v>
      </c>
      <c r="D40">
        <v>5</v>
      </c>
      <c r="E40" s="329">
        <v>100</v>
      </c>
      <c r="F40" t="s">
        <v>1495</v>
      </c>
      <c r="G40">
        <v>1</v>
      </c>
      <c r="H40" t="s">
        <v>1756</v>
      </c>
      <c r="I40">
        <v>1</v>
      </c>
      <c r="J40" t="s">
        <v>1470</v>
      </c>
    </row>
    <row r="41" spans="1:10" x14ac:dyDescent="0.2">
      <c r="A41" t="s">
        <v>894</v>
      </c>
      <c r="B41" t="s">
        <v>893</v>
      </c>
      <c r="C41" t="s">
        <v>1494</v>
      </c>
      <c r="D41">
        <v>5</v>
      </c>
      <c r="E41" s="329">
        <v>110</v>
      </c>
      <c r="F41" t="s">
        <v>1495</v>
      </c>
      <c r="G41">
        <v>1</v>
      </c>
      <c r="H41" t="s">
        <v>1756</v>
      </c>
      <c r="I41">
        <v>1</v>
      </c>
      <c r="J41" t="s">
        <v>1470</v>
      </c>
    </row>
    <row r="42" spans="1:10" x14ac:dyDescent="0.2">
      <c r="A42" t="s">
        <v>95</v>
      </c>
      <c r="B42" t="s">
        <v>94</v>
      </c>
      <c r="C42" t="s">
        <v>1494</v>
      </c>
      <c r="D42">
        <v>5</v>
      </c>
      <c r="E42" s="329">
        <v>170</v>
      </c>
      <c r="F42" t="s">
        <v>1495</v>
      </c>
      <c r="G42">
        <v>1</v>
      </c>
      <c r="H42" t="s">
        <v>1756</v>
      </c>
      <c r="I42">
        <v>1</v>
      </c>
      <c r="J42" t="s">
        <v>1470</v>
      </c>
    </row>
    <row r="43" spans="1:10" x14ac:dyDescent="0.2">
      <c r="A43" t="s">
        <v>592</v>
      </c>
      <c r="B43" t="s">
        <v>591</v>
      </c>
      <c r="C43" t="s">
        <v>1494</v>
      </c>
      <c r="D43">
        <v>5</v>
      </c>
      <c r="E43" s="329">
        <v>170</v>
      </c>
      <c r="F43" t="s">
        <v>1495</v>
      </c>
      <c r="G43">
        <v>1</v>
      </c>
      <c r="H43" t="s">
        <v>1756</v>
      </c>
      <c r="I43">
        <v>1</v>
      </c>
      <c r="J43" t="s">
        <v>1470</v>
      </c>
    </row>
    <row r="44" spans="1:10" x14ac:dyDescent="0.2">
      <c r="A44" t="s">
        <v>624</v>
      </c>
      <c r="B44" t="s">
        <v>623</v>
      </c>
      <c r="C44" t="s">
        <v>1494</v>
      </c>
      <c r="D44">
        <v>5</v>
      </c>
      <c r="E44" s="329">
        <v>112</v>
      </c>
      <c r="F44" t="s">
        <v>1495</v>
      </c>
      <c r="G44">
        <v>1</v>
      </c>
      <c r="H44" t="s">
        <v>1756</v>
      </c>
      <c r="I44">
        <v>1</v>
      </c>
      <c r="J44" t="s">
        <v>1470</v>
      </c>
    </row>
    <row r="45" spans="1:10" x14ac:dyDescent="0.2">
      <c r="A45" t="s">
        <v>785</v>
      </c>
      <c r="B45" t="s">
        <v>784</v>
      </c>
      <c r="C45" t="s">
        <v>1494</v>
      </c>
      <c r="D45">
        <v>5</v>
      </c>
      <c r="E45" s="329">
        <v>110</v>
      </c>
      <c r="F45" t="s">
        <v>1495</v>
      </c>
      <c r="G45">
        <v>1</v>
      </c>
      <c r="H45" t="s">
        <v>1756</v>
      </c>
      <c r="I45">
        <v>1</v>
      </c>
      <c r="J45" t="s">
        <v>1470</v>
      </c>
    </row>
    <row r="46" spans="1:10" x14ac:dyDescent="0.2">
      <c r="A46" t="s">
        <v>984</v>
      </c>
      <c r="B46" t="s">
        <v>983</v>
      </c>
      <c r="C46" t="s">
        <v>1494</v>
      </c>
      <c r="D46">
        <v>5</v>
      </c>
      <c r="E46" s="329">
        <v>100</v>
      </c>
      <c r="F46" t="s">
        <v>1495</v>
      </c>
      <c r="G46">
        <v>1</v>
      </c>
      <c r="H46" t="s">
        <v>1756</v>
      </c>
      <c r="I46">
        <v>1</v>
      </c>
      <c r="J46" t="s">
        <v>1470</v>
      </c>
    </row>
    <row r="47" spans="1:10" x14ac:dyDescent="0.2">
      <c r="A47" t="s">
        <v>1004</v>
      </c>
      <c r="B47" t="s">
        <v>1003</v>
      </c>
      <c r="C47" t="s">
        <v>1494</v>
      </c>
      <c r="D47">
        <v>5</v>
      </c>
      <c r="E47" s="329">
        <v>200</v>
      </c>
      <c r="F47" t="s">
        <v>1495</v>
      </c>
      <c r="G47">
        <v>1</v>
      </c>
      <c r="H47" t="s">
        <v>1756</v>
      </c>
      <c r="I47">
        <v>1</v>
      </c>
      <c r="J47" t="s">
        <v>1470</v>
      </c>
    </row>
    <row r="48" spans="1:10" x14ac:dyDescent="0.2">
      <c r="A48" t="s">
        <v>1042</v>
      </c>
      <c r="B48" t="s">
        <v>1041</v>
      </c>
      <c r="C48" t="s">
        <v>1494</v>
      </c>
      <c r="D48">
        <v>5</v>
      </c>
      <c r="E48" s="329">
        <v>160</v>
      </c>
      <c r="F48" t="s">
        <v>1495</v>
      </c>
      <c r="G48">
        <v>1</v>
      </c>
      <c r="H48" t="s">
        <v>1756</v>
      </c>
      <c r="I48">
        <v>1</v>
      </c>
      <c r="J48" t="s">
        <v>1470</v>
      </c>
    </row>
    <row r="49" spans="1:10" x14ac:dyDescent="0.2">
      <c r="A49" t="s">
        <v>1087</v>
      </c>
      <c r="B49" t="s">
        <v>298</v>
      </c>
      <c r="C49" t="s">
        <v>1494</v>
      </c>
      <c r="D49">
        <v>5</v>
      </c>
      <c r="E49" s="329">
        <v>120</v>
      </c>
      <c r="F49" t="s">
        <v>1495</v>
      </c>
      <c r="G49">
        <v>1</v>
      </c>
      <c r="H49" t="s">
        <v>1756</v>
      </c>
      <c r="I49">
        <v>1</v>
      </c>
      <c r="J49" t="s">
        <v>1470</v>
      </c>
    </row>
    <row r="50" spans="1:10" x14ac:dyDescent="0.2">
      <c r="A50" t="s">
        <v>1154</v>
      </c>
      <c r="B50" t="s">
        <v>1153</v>
      </c>
      <c r="C50" t="s">
        <v>1494</v>
      </c>
      <c r="D50">
        <v>5</v>
      </c>
      <c r="E50" s="329">
        <v>150</v>
      </c>
      <c r="F50" t="s">
        <v>1495</v>
      </c>
      <c r="G50">
        <v>1</v>
      </c>
      <c r="H50" t="s">
        <v>1756</v>
      </c>
      <c r="I50">
        <v>1</v>
      </c>
      <c r="J50" t="s">
        <v>1470</v>
      </c>
    </row>
    <row r="51" spans="1:10" x14ac:dyDescent="0.2">
      <c r="A51" t="s">
        <v>1165</v>
      </c>
      <c r="B51" t="s">
        <v>1164</v>
      </c>
      <c r="C51" t="s">
        <v>1494</v>
      </c>
      <c r="D51">
        <v>5</v>
      </c>
      <c r="E51" s="329">
        <v>100</v>
      </c>
      <c r="F51" t="s">
        <v>1495</v>
      </c>
      <c r="G51">
        <v>1</v>
      </c>
      <c r="H51" t="s">
        <v>1756</v>
      </c>
      <c r="I51">
        <v>1</v>
      </c>
      <c r="J51" t="s">
        <v>1470</v>
      </c>
    </row>
    <row r="52" spans="1:10" x14ac:dyDescent="0.2">
      <c r="A52" t="s">
        <v>1195</v>
      </c>
      <c r="B52" t="s">
        <v>182</v>
      </c>
      <c r="C52" t="s">
        <v>1494</v>
      </c>
      <c r="D52">
        <v>5</v>
      </c>
      <c r="E52" s="329">
        <v>140</v>
      </c>
      <c r="F52" t="s">
        <v>1495</v>
      </c>
      <c r="G52">
        <v>1</v>
      </c>
      <c r="H52" t="s">
        <v>1756</v>
      </c>
      <c r="I52">
        <v>1</v>
      </c>
      <c r="J52" t="s">
        <v>1470</v>
      </c>
    </row>
    <row r="53" spans="1:10" x14ac:dyDescent="0.2">
      <c r="A53" t="s">
        <v>1252</v>
      </c>
      <c r="B53" t="s">
        <v>1251</v>
      </c>
      <c r="C53" t="s">
        <v>1494</v>
      </c>
      <c r="D53">
        <v>5</v>
      </c>
      <c r="E53" s="329">
        <v>136</v>
      </c>
      <c r="F53" t="s">
        <v>1495</v>
      </c>
      <c r="G53">
        <v>1</v>
      </c>
      <c r="H53" t="s">
        <v>1756</v>
      </c>
      <c r="I53">
        <v>1</v>
      </c>
      <c r="J53" t="s">
        <v>1470</v>
      </c>
    </row>
    <row r="54" spans="1:10" x14ac:dyDescent="0.2">
      <c r="A54" t="s">
        <v>1258</v>
      </c>
      <c r="B54" t="s">
        <v>1257</v>
      </c>
      <c r="C54" t="s">
        <v>1494</v>
      </c>
      <c r="D54">
        <v>5</v>
      </c>
      <c r="E54" s="329">
        <v>105</v>
      </c>
      <c r="F54" t="s">
        <v>1495</v>
      </c>
      <c r="G54">
        <v>1</v>
      </c>
      <c r="H54" t="s">
        <v>1756</v>
      </c>
      <c r="I54">
        <v>1</v>
      </c>
      <c r="J54" t="s">
        <v>1470</v>
      </c>
    </row>
    <row r="55" spans="1:10" x14ac:dyDescent="0.2">
      <c r="A55" t="s">
        <v>1272</v>
      </c>
      <c r="B55" t="s">
        <v>1271</v>
      </c>
      <c r="C55" t="s">
        <v>1494</v>
      </c>
      <c r="D55">
        <v>5</v>
      </c>
      <c r="E55" s="329">
        <v>150</v>
      </c>
      <c r="F55" t="s">
        <v>1495</v>
      </c>
      <c r="G55">
        <v>1</v>
      </c>
      <c r="H55" t="s">
        <v>1756</v>
      </c>
      <c r="I55">
        <v>1</v>
      </c>
      <c r="J55" t="s">
        <v>1470</v>
      </c>
    </row>
    <row r="56" spans="1:10" x14ac:dyDescent="0.2">
      <c r="A56" t="s">
        <v>1325</v>
      </c>
      <c r="B56" t="s">
        <v>1324</v>
      </c>
      <c r="C56" t="s">
        <v>1494</v>
      </c>
      <c r="D56">
        <v>5</v>
      </c>
      <c r="E56" s="329">
        <v>128</v>
      </c>
      <c r="F56" t="s">
        <v>1495</v>
      </c>
      <c r="G56">
        <v>1</v>
      </c>
      <c r="H56" t="s">
        <v>1756</v>
      </c>
      <c r="I56">
        <v>1</v>
      </c>
      <c r="J56" t="s">
        <v>1470</v>
      </c>
    </row>
    <row r="57" spans="1:10" x14ac:dyDescent="0.2">
      <c r="A57" t="s">
        <v>1330</v>
      </c>
      <c r="B57" t="s">
        <v>380</v>
      </c>
      <c r="C57" t="s">
        <v>1494</v>
      </c>
      <c r="D57">
        <v>5</v>
      </c>
      <c r="E57" s="329">
        <v>105</v>
      </c>
      <c r="F57" t="s">
        <v>1495</v>
      </c>
      <c r="G57">
        <v>1</v>
      </c>
      <c r="H57" t="s">
        <v>1756</v>
      </c>
      <c r="I57">
        <v>1</v>
      </c>
      <c r="J57" t="s">
        <v>1470</v>
      </c>
    </row>
    <row r="58" spans="1:10" x14ac:dyDescent="0.2">
      <c r="A58" t="s">
        <v>1341</v>
      </c>
      <c r="B58" t="s">
        <v>56</v>
      </c>
      <c r="C58" t="s">
        <v>1494</v>
      </c>
      <c r="D58">
        <v>5</v>
      </c>
      <c r="E58" s="329">
        <v>170</v>
      </c>
      <c r="F58" t="s">
        <v>1495</v>
      </c>
      <c r="G58">
        <v>1</v>
      </c>
      <c r="H58" t="s">
        <v>1756</v>
      </c>
      <c r="I58">
        <v>1</v>
      </c>
      <c r="J58" t="s">
        <v>1470</v>
      </c>
    </row>
    <row r="59" spans="1:10" x14ac:dyDescent="0.2">
      <c r="A59" t="s">
        <v>1356</v>
      </c>
      <c r="B59" t="s">
        <v>1355</v>
      </c>
      <c r="C59" t="s">
        <v>1494</v>
      </c>
      <c r="D59">
        <v>5</v>
      </c>
      <c r="E59" s="329">
        <v>150</v>
      </c>
      <c r="F59" t="s">
        <v>1495</v>
      </c>
      <c r="G59">
        <v>1</v>
      </c>
      <c r="H59" t="s">
        <v>1756</v>
      </c>
      <c r="I59">
        <v>1</v>
      </c>
      <c r="J59" t="s">
        <v>1470</v>
      </c>
    </row>
    <row r="60" spans="1:10" x14ac:dyDescent="0.2">
      <c r="A60" t="s">
        <v>1448</v>
      </c>
      <c r="B60" t="s">
        <v>1447</v>
      </c>
      <c r="C60" t="s">
        <v>1494</v>
      </c>
      <c r="D60">
        <v>5</v>
      </c>
      <c r="E60" s="329">
        <v>128</v>
      </c>
      <c r="F60" t="s">
        <v>1495</v>
      </c>
      <c r="G60">
        <v>1</v>
      </c>
      <c r="H60" t="s">
        <v>1756</v>
      </c>
      <c r="I60">
        <v>1</v>
      </c>
      <c r="J60" t="s">
        <v>1470</v>
      </c>
    </row>
    <row r="61" spans="1:10" x14ac:dyDescent="0.2">
      <c r="A61" t="s">
        <v>1458</v>
      </c>
      <c r="B61" t="s">
        <v>1457</v>
      </c>
      <c r="C61" t="s">
        <v>1494</v>
      </c>
      <c r="D61">
        <v>5</v>
      </c>
      <c r="E61" s="329">
        <v>128</v>
      </c>
      <c r="F61" t="s">
        <v>1495</v>
      </c>
      <c r="G61">
        <v>1</v>
      </c>
      <c r="H61" t="s">
        <v>1756</v>
      </c>
      <c r="I61">
        <v>1</v>
      </c>
      <c r="J61" t="s">
        <v>1470</v>
      </c>
    </row>
    <row r="62" spans="1:10" x14ac:dyDescent="0.2">
      <c r="A62" t="s">
        <v>998</v>
      </c>
      <c r="B62" t="s">
        <v>997</v>
      </c>
      <c r="C62" t="s">
        <v>1494</v>
      </c>
      <c r="D62">
        <v>4.8</v>
      </c>
      <c r="E62" s="329">
        <v>200</v>
      </c>
      <c r="F62" t="s">
        <v>1495</v>
      </c>
      <c r="G62">
        <v>1</v>
      </c>
      <c r="H62" t="s">
        <v>1756</v>
      </c>
      <c r="I62">
        <v>6</v>
      </c>
      <c r="J62" t="s">
        <v>1470</v>
      </c>
    </row>
    <row r="63" spans="1:10" x14ac:dyDescent="0.2">
      <c r="A63" t="s">
        <v>638</v>
      </c>
      <c r="B63" t="s">
        <v>637</v>
      </c>
      <c r="C63" t="s">
        <v>1494</v>
      </c>
      <c r="D63">
        <v>4.8</v>
      </c>
      <c r="E63" s="329">
        <v>110</v>
      </c>
      <c r="F63" t="s">
        <v>1495</v>
      </c>
      <c r="G63">
        <v>1</v>
      </c>
      <c r="H63" t="s">
        <v>1756</v>
      </c>
      <c r="I63">
        <v>5</v>
      </c>
      <c r="J63" t="s">
        <v>1470</v>
      </c>
    </row>
    <row r="64" spans="1:10" x14ac:dyDescent="0.2">
      <c r="A64" t="s">
        <v>989</v>
      </c>
      <c r="B64" t="s">
        <v>182</v>
      </c>
      <c r="C64" t="s">
        <v>1494</v>
      </c>
      <c r="D64">
        <v>4.8</v>
      </c>
      <c r="E64" s="329">
        <v>120</v>
      </c>
      <c r="F64" t="s">
        <v>1495</v>
      </c>
      <c r="G64">
        <v>1</v>
      </c>
      <c r="H64" t="s">
        <v>1756</v>
      </c>
      <c r="I64">
        <v>4</v>
      </c>
      <c r="J64" t="s">
        <v>1470</v>
      </c>
    </row>
    <row r="65" spans="1:10" x14ac:dyDescent="0.2">
      <c r="A65" t="s">
        <v>1097</v>
      </c>
      <c r="B65" t="s">
        <v>395</v>
      </c>
      <c r="C65" t="s">
        <v>1494</v>
      </c>
      <c r="D65">
        <v>4.8</v>
      </c>
      <c r="E65" s="329">
        <v>100</v>
      </c>
      <c r="F65" t="s">
        <v>1495</v>
      </c>
      <c r="G65">
        <v>1</v>
      </c>
      <c r="H65" t="s">
        <v>1756</v>
      </c>
      <c r="I65">
        <v>4</v>
      </c>
      <c r="J65" t="s">
        <v>1470</v>
      </c>
    </row>
    <row r="66" spans="1:10" x14ac:dyDescent="0.2">
      <c r="A66" t="s">
        <v>702</v>
      </c>
      <c r="B66" t="s">
        <v>701</v>
      </c>
      <c r="C66" t="s">
        <v>1494</v>
      </c>
      <c r="D66">
        <v>4.7</v>
      </c>
      <c r="E66" s="329">
        <v>110</v>
      </c>
      <c r="F66" t="s">
        <v>1495</v>
      </c>
      <c r="G66">
        <v>1</v>
      </c>
      <c r="H66" t="s">
        <v>1756</v>
      </c>
      <c r="I66">
        <v>3</v>
      </c>
      <c r="J66" t="s">
        <v>1470</v>
      </c>
    </row>
    <row r="67" spans="1:10" x14ac:dyDescent="0.2">
      <c r="A67" t="s">
        <v>915</v>
      </c>
      <c r="B67" t="s">
        <v>914</v>
      </c>
      <c r="C67" t="s">
        <v>1494</v>
      </c>
      <c r="D67">
        <v>4.7</v>
      </c>
      <c r="E67" s="329">
        <v>100</v>
      </c>
      <c r="F67" t="s">
        <v>1495</v>
      </c>
      <c r="G67">
        <v>1</v>
      </c>
      <c r="H67" t="s">
        <v>1756</v>
      </c>
      <c r="I67">
        <v>3</v>
      </c>
      <c r="J67" t="s">
        <v>1470</v>
      </c>
    </row>
    <row r="68" spans="1:10" x14ac:dyDescent="0.2">
      <c r="A68" t="s">
        <v>1240</v>
      </c>
      <c r="B68" t="s">
        <v>1239</v>
      </c>
      <c r="C68" t="s">
        <v>1494</v>
      </c>
      <c r="D68">
        <v>4.7</v>
      </c>
      <c r="E68" s="329">
        <v>130</v>
      </c>
      <c r="F68" t="s">
        <v>1495</v>
      </c>
      <c r="G68">
        <v>1</v>
      </c>
      <c r="H68" t="s">
        <v>1756</v>
      </c>
      <c r="I68">
        <v>3</v>
      </c>
      <c r="J68" t="s">
        <v>1470</v>
      </c>
    </row>
    <row r="69" spans="1:10" x14ac:dyDescent="0.2">
      <c r="A69" t="s">
        <v>1255</v>
      </c>
      <c r="B69" t="s">
        <v>1254</v>
      </c>
      <c r="C69" t="s">
        <v>1494</v>
      </c>
      <c r="D69">
        <v>4.7</v>
      </c>
      <c r="E69" s="329">
        <v>130</v>
      </c>
      <c r="F69" t="s">
        <v>1495</v>
      </c>
      <c r="G69">
        <v>1</v>
      </c>
      <c r="H69" t="s">
        <v>1756</v>
      </c>
      <c r="I69">
        <v>3</v>
      </c>
      <c r="J69" t="s">
        <v>1470</v>
      </c>
    </row>
    <row r="70" spans="1:10" x14ac:dyDescent="0.2">
      <c r="A70" t="s">
        <v>287</v>
      </c>
      <c r="B70" t="s">
        <v>286</v>
      </c>
      <c r="C70" t="s">
        <v>1494</v>
      </c>
      <c r="D70">
        <v>4.5999999999999996</v>
      </c>
      <c r="E70" s="329">
        <v>170</v>
      </c>
      <c r="F70" t="s">
        <v>1495</v>
      </c>
      <c r="G70">
        <v>1</v>
      </c>
      <c r="H70" t="s">
        <v>1756</v>
      </c>
      <c r="I70">
        <v>5</v>
      </c>
      <c r="J70" t="s">
        <v>1470</v>
      </c>
    </row>
    <row r="71" spans="1:10" x14ac:dyDescent="0.2">
      <c r="A71" t="s">
        <v>1095</v>
      </c>
      <c r="B71" t="s">
        <v>1094</v>
      </c>
      <c r="C71" t="s">
        <v>1494</v>
      </c>
      <c r="D71">
        <v>4.5999999999999996</v>
      </c>
      <c r="E71" s="329">
        <v>104</v>
      </c>
      <c r="F71" t="s">
        <v>1495</v>
      </c>
      <c r="G71">
        <v>1</v>
      </c>
      <c r="H71" t="s">
        <v>1756</v>
      </c>
      <c r="I71">
        <v>5</v>
      </c>
      <c r="J71" t="s">
        <v>1470</v>
      </c>
    </row>
    <row r="72" spans="1:10" x14ac:dyDescent="0.2">
      <c r="A72" t="s">
        <v>1138</v>
      </c>
      <c r="B72" t="s">
        <v>1137</v>
      </c>
      <c r="C72" t="s">
        <v>1494</v>
      </c>
      <c r="D72">
        <v>4.5</v>
      </c>
      <c r="E72" s="329">
        <v>128</v>
      </c>
      <c r="F72" t="s">
        <v>1495</v>
      </c>
      <c r="G72">
        <v>1</v>
      </c>
      <c r="H72" t="s">
        <v>1756</v>
      </c>
      <c r="I72">
        <v>6</v>
      </c>
      <c r="J72" t="s">
        <v>1470</v>
      </c>
    </row>
    <row r="73" spans="1:10" x14ac:dyDescent="0.2">
      <c r="A73" t="s">
        <v>1035</v>
      </c>
      <c r="B73" t="s">
        <v>162</v>
      </c>
      <c r="C73" t="s">
        <v>1494</v>
      </c>
      <c r="D73">
        <v>4.5</v>
      </c>
      <c r="E73" s="329">
        <v>120</v>
      </c>
      <c r="F73" t="s">
        <v>1495</v>
      </c>
      <c r="G73">
        <v>2</v>
      </c>
      <c r="H73" t="s">
        <v>1756</v>
      </c>
      <c r="I73">
        <v>4</v>
      </c>
      <c r="J73" t="s">
        <v>1470</v>
      </c>
    </row>
    <row r="74" spans="1:10" x14ac:dyDescent="0.2">
      <c r="A74" t="s">
        <v>1205</v>
      </c>
      <c r="B74" t="s">
        <v>1006</v>
      </c>
      <c r="C74" t="s">
        <v>1494</v>
      </c>
      <c r="D74">
        <v>4.5</v>
      </c>
      <c r="E74" s="329">
        <v>126</v>
      </c>
      <c r="F74" t="s">
        <v>1495</v>
      </c>
      <c r="G74">
        <v>1</v>
      </c>
      <c r="H74" t="s">
        <v>1756</v>
      </c>
      <c r="I74">
        <v>4</v>
      </c>
      <c r="J74" t="s">
        <v>1470</v>
      </c>
    </row>
    <row r="75" spans="1:10" x14ac:dyDescent="0.2">
      <c r="A75" t="s">
        <v>393</v>
      </c>
      <c r="B75" t="s">
        <v>102</v>
      </c>
      <c r="C75" t="s">
        <v>1494</v>
      </c>
      <c r="D75">
        <v>4.5</v>
      </c>
      <c r="E75" s="329">
        <v>140</v>
      </c>
      <c r="F75" t="s">
        <v>1495</v>
      </c>
      <c r="G75">
        <v>1</v>
      </c>
      <c r="H75" t="s">
        <v>1756</v>
      </c>
      <c r="I75">
        <v>2</v>
      </c>
      <c r="J75" t="s">
        <v>1470</v>
      </c>
    </row>
    <row r="76" spans="1:10" x14ac:dyDescent="0.2">
      <c r="A76" t="s">
        <v>815</v>
      </c>
      <c r="B76" t="s">
        <v>814</v>
      </c>
      <c r="C76" t="s">
        <v>1494</v>
      </c>
      <c r="D76">
        <v>4.5</v>
      </c>
      <c r="E76" s="329">
        <v>140</v>
      </c>
      <c r="F76" t="s">
        <v>1495</v>
      </c>
      <c r="G76">
        <v>1</v>
      </c>
      <c r="H76" t="s">
        <v>1756</v>
      </c>
      <c r="I76">
        <v>2</v>
      </c>
      <c r="J76" t="s">
        <v>1470</v>
      </c>
    </row>
    <row r="77" spans="1:10" x14ac:dyDescent="0.2">
      <c r="A77" t="s">
        <v>826</v>
      </c>
      <c r="B77" t="s">
        <v>825</v>
      </c>
      <c r="C77" t="s">
        <v>1494</v>
      </c>
      <c r="D77">
        <v>4.5</v>
      </c>
      <c r="E77" s="329">
        <v>128</v>
      </c>
      <c r="F77" t="s">
        <v>1495</v>
      </c>
      <c r="G77">
        <v>1</v>
      </c>
      <c r="H77" t="s">
        <v>1756</v>
      </c>
      <c r="I77">
        <v>2</v>
      </c>
      <c r="J77" t="s">
        <v>1470</v>
      </c>
    </row>
    <row r="78" spans="1:10" x14ac:dyDescent="0.2">
      <c r="A78" t="s">
        <v>480</v>
      </c>
      <c r="B78" t="s">
        <v>479</v>
      </c>
      <c r="C78" t="s">
        <v>1494</v>
      </c>
      <c r="D78">
        <v>4.5</v>
      </c>
      <c r="E78" s="329">
        <v>110</v>
      </c>
      <c r="F78" t="s">
        <v>1495</v>
      </c>
      <c r="G78">
        <v>1</v>
      </c>
      <c r="H78" t="s">
        <v>1756</v>
      </c>
      <c r="I78">
        <v>2</v>
      </c>
      <c r="J78" t="s">
        <v>1470</v>
      </c>
    </row>
    <row r="79" spans="1:10" x14ac:dyDescent="0.2">
      <c r="A79" t="s">
        <v>1121</v>
      </c>
      <c r="B79" t="s">
        <v>1120</v>
      </c>
      <c r="C79" t="s">
        <v>1494</v>
      </c>
      <c r="D79">
        <v>4.5</v>
      </c>
      <c r="E79" s="329">
        <v>112</v>
      </c>
      <c r="F79" t="s">
        <v>1495</v>
      </c>
      <c r="G79">
        <v>1</v>
      </c>
      <c r="H79" t="s">
        <v>1756</v>
      </c>
      <c r="I79">
        <v>2</v>
      </c>
      <c r="J79" t="s">
        <v>1470</v>
      </c>
    </row>
    <row r="80" spans="1:10" x14ac:dyDescent="0.2">
      <c r="A80" t="s">
        <v>1312</v>
      </c>
      <c r="B80" t="s">
        <v>914</v>
      </c>
      <c r="C80" t="s">
        <v>1494</v>
      </c>
      <c r="D80">
        <v>4.5</v>
      </c>
      <c r="E80" s="329">
        <v>100</v>
      </c>
      <c r="F80" t="s">
        <v>1495</v>
      </c>
      <c r="G80">
        <v>1</v>
      </c>
      <c r="H80" t="s">
        <v>1756</v>
      </c>
      <c r="I80">
        <v>2</v>
      </c>
      <c r="J80" t="s">
        <v>1470</v>
      </c>
    </row>
    <row r="81" spans="1:10" x14ac:dyDescent="0.2">
      <c r="A81" t="s">
        <v>455</v>
      </c>
      <c r="B81" t="s">
        <v>454</v>
      </c>
      <c r="C81" t="s">
        <v>1494</v>
      </c>
      <c r="D81">
        <v>4.4000000000000004</v>
      </c>
      <c r="E81" s="329">
        <v>136</v>
      </c>
      <c r="F81" t="s">
        <v>1495</v>
      </c>
      <c r="G81">
        <v>1</v>
      </c>
      <c r="H81" t="s">
        <v>1756</v>
      </c>
      <c r="I81">
        <v>7</v>
      </c>
      <c r="J81" t="s">
        <v>1470</v>
      </c>
    </row>
    <row r="82" spans="1:10" x14ac:dyDescent="0.2">
      <c r="A82" t="s">
        <v>384</v>
      </c>
      <c r="B82" t="s">
        <v>383</v>
      </c>
      <c r="C82" t="s">
        <v>1494</v>
      </c>
      <c r="D82">
        <v>4.4000000000000004</v>
      </c>
      <c r="E82" s="329">
        <v>160</v>
      </c>
      <c r="F82" t="s">
        <v>1495</v>
      </c>
      <c r="G82">
        <v>1</v>
      </c>
      <c r="H82" t="s">
        <v>1756</v>
      </c>
      <c r="I82">
        <v>5</v>
      </c>
      <c r="J82" t="s">
        <v>1470</v>
      </c>
    </row>
    <row r="83" spans="1:10" x14ac:dyDescent="0.2">
      <c r="A83" t="s">
        <v>1071</v>
      </c>
      <c r="B83" t="s">
        <v>1070</v>
      </c>
      <c r="C83" t="s">
        <v>1494</v>
      </c>
      <c r="D83">
        <v>4.4000000000000004</v>
      </c>
      <c r="E83" s="329">
        <v>110</v>
      </c>
      <c r="F83" t="s">
        <v>1495</v>
      </c>
      <c r="G83">
        <v>1</v>
      </c>
      <c r="H83" t="s">
        <v>1756</v>
      </c>
      <c r="I83">
        <v>5</v>
      </c>
      <c r="J83" t="s">
        <v>1470</v>
      </c>
    </row>
    <row r="84" spans="1:10" x14ac:dyDescent="0.2">
      <c r="A84" t="s">
        <v>1360</v>
      </c>
      <c r="B84" t="s">
        <v>132</v>
      </c>
      <c r="C84" t="s">
        <v>1494</v>
      </c>
      <c r="D84">
        <v>4.3</v>
      </c>
      <c r="E84" s="329">
        <v>130</v>
      </c>
      <c r="F84" t="s">
        <v>1495</v>
      </c>
      <c r="G84">
        <v>1</v>
      </c>
      <c r="H84" t="s">
        <v>1756</v>
      </c>
      <c r="I84">
        <v>6</v>
      </c>
      <c r="J84" t="s">
        <v>1470</v>
      </c>
    </row>
    <row r="85" spans="1:10" x14ac:dyDescent="0.2">
      <c r="A85" t="s">
        <v>1067</v>
      </c>
      <c r="B85" t="s">
        <v>701</v>
      </c>
      <c r="C85" t="s">
        <v>1494</v>
      </c>
      <c r="D85">
        <v>4.3</v>
      </c>
      <c r="E85" s="329">
        <v>110</v>
      </c>
      <c r="F85" t="s">
        <v>1495</v>
      </c>
      <c r="G85">
        <v>1</v>
      </c>
      <c r="H85" t="s">
        <v>1756</v>
      </c>
      <c r="I85">
        <v>3</v>
      </c>
      <c r="J85" t="s">
        <v>1470</v>
      </c>
    </row>
    <row r="86" spans="1:10" x14ac:dyDescent="0.2">
      <c r="A86" t="s">
        <v>350</v>
      </c>
      <c r="B86" t="s">
        <v>349</v>
      </c>
      <c r="C86" t="s">
        <v>1494</v>
      </c>
      <c r="D86">
        <v>4</v>
      </c>
      <c r="E86" s="329">
        <v>105</v>
      </c>
      <c r="F86" t="s">
        <v>1495</v>
      </c>
      <c r="G86">
        <v>1</v>
      </c>
      <c r="H86" t="s">
        <v>1756</v>
      </c>
      <c r="I86">
        <v>6</v>
      </c>
      <c r="J86" t="s">
        <v>1470</v>
      </c>
    </row>
    <row r="87" spans="1:10" x14ac:dyDescent="0.2">
      <c r="A87" t="s">
        <v>713</v>
      </c>
      <c r="B87" t="s">
        <v>31</v>
      </c>
      <c r="C87" t="s">
        <v>1494</v>
      </c>
      <c r="D87">
        <v>4</v>
      </c>
      <c r="E87" s="329">
        <v>160</v>
      </c>
      <c r="F87" t="s">
        <v>1495</v>
      </c>
      <c r="G87">
        <v>1</v>
      </c>
      <c r="H87" t="s">
        <v>1756</v>
      </c>
      <c r="I87">
        <v>4</v>
      </c>
      <c r="J87" t="s">
        <v>1470</v>
      </c>
    </row>
    <row r="88" spans="1:10" x14ac:dyDescent="0.2">
      <c r="A88" t="s">
        <v>1460</v>
      </c>
      <c r="B88" t="s">
        <v>135</v>
      </c>
      <c r="C88" t="s">
        <v>1494</v>
      </c>
      <c r="D88">
        <v>4</v>
      </c>
      <c r="E88" s="329">
        <v>170</v>
      </c>
      <c r="F88" t="s">
        <v>1495</v>
      </c>
      <c r="G88">
        <v>1</v>
      </c>
      <c r="H88" t="s">
        <v>1756</v>
      </c>
      <c r="I88">
        <v>4</v>
      </c>
      <c r="J88" t="s">
        <v>1470</v>
      </c>
    </row>
    <row r="89" spans="1:10" x14ac:dyDescent="0.2">
      <c r="A89" t="s">
        <v>876</v>
      </c>
      <c r="B89" t="s">
        <v>875</v>
      </c>
      <c r="C89" t="s">
        <v>1494</v>
      </c>
      <c r="D89">
        <v>4</v>
      </c>
      <c r="E89" s="329">
        <v>170</v>
      </c>
      <c r="F89" t="s">
        <v>1495</v>
      </c>
      <c r="G89">
        <v>1</v>
      </c>
      <c r="H89" t="s">
        <v>1756</v>
      </c>
      <c r="I89">
        <v>3</v>
      </c>
      <c r="J89" t="s">
        <v>1470</v>
      </c>
    </row>
    <row r="90" spans="1:10" x14ac:dyDescent="0.2">
      <c r="A90" t="s">
        <v>1334</v>
      </c>
      <c r="B90" t="s">
        <v>649</v>
      </c>
      <c r="C90" t="s">
        <v>1494</v>
      </c>
      <c r="D90">
        <v>4</v>
      </c>
      <c r="E90" s="329">
        <v>150</v>
      </c>
      <c r="F90" t="s">
        <v>1495</v>
      </c>
      <c r="G90">
        <v>1</v>
      </c>
      <c r="H90" t="s">
        <v>1756</v>
      </c>
      <c r="I90">
        <v>3</v>
      </c>
      <c r="J90" t="s">
        <v>1470</v>
      </c>
    </row>
    <row r="91" spans="1:10" x14ac:dyDescent="0.2">
      <c r="A91" t="s">
        <v>364</v>
      </c>
      <c r="B91" t="s">
        <v>132</v>
      </c>
      <c r="C91" t="s">
        <v>1494</v>
      </c>
      <c r="D91">
        <v>4</v>
      </c>
      <c r="E91" s="329">
        <v>130</v>
      </c>
      <c r="F91" t="s">
        <v>1495</v>
      </c>
      <c r="G91">
        <v>1</v>
      </c>
      <c r="H91" t="s">
        <v>1756</v>
      </c>
      <c r="I91">
        <v>1</v>
      </c>
      <c r="J91" t="s">
        <v>1470</v>
      </c>
    </row>
    <row r="92" spans="1:10" x14ac:dyDescent="0.2">
      <c r="A92" t="s">
        <v>84</v>
      </c>
      <c r="B92" t="s">
        <v>83</v>
      </c>
      <c r="C92" t="s">
        <v>1494</v>
      </c>
      <c r="D92">
        <v>4</v>
      </c>
      <c r="E92" s="329">
        <v>190</v>
      </c>
      <c r="F92" t="s">
        <v>1495</v>
      </c>
      <c r="G92">
        <v>1</v>
      </c>
      <c r="H92" t="s">
        <v>1756</v>
      </c>
      <c r="I92">
        <v>1</v>
      </c>
      <c r="J92" t="s">
        <v>1470</v>
      </c>
    </row>
    <row r="93" spans="1:10" x14ac:dyDescent="0.2">
      <c r="A93" t="s">
        <v>906</v>
      </c>
      <c r="B93" t="s">
        <v>383</v>
      </c>
      <c r="C93" t="s">
        <v>1494</v>
      </c>
      <c r="D93">
        <v>4</v>
      </c>
      <c r="E93" s="329">
        <v>160</v>
      </c>
      <c r="F93" t="s">
        <v>1495</v>
      </c>
      <c r="G93">
        <v>1</v>
      </c>
      <c r="H93" t="s">
        <v>1756</v>
      </c>
      <c r="I93">
        <v>1</v>
      </c>
      <c r="J93" t="s">
        <v>1470</v>
      </c>
    </row>
    <row r="94" spans="1:10" x14ac:dyDescent="0.2">
      <c r="A94" t="s">
        <v>466</v>
      </c>
      <c r="B94" t="s">
        <v>465</v>
      </c>
      <c r="C94" t="s">
        <v>1494</v>
      </c>
      <c r="D94">
        <v>4</v>
      </c>
      <c r="E94" s="329">
        <v>100</v>
      </c>
      <c r="F94" t="s">
        <v>1495</v>
      </c>
      <c r="G94">
        <v>1</v>
      </c>
      <c r="H94" t="s">
        <v>1756</v>
      </c>
      <c r="I94">
        <v>1</v>
      </c>
      <c r="J94" t="s">
        <v>1470</v>
      </c>
    </row>
    <row r="95" spans="1:10" x14ac:dyDescent="0.2">
      <c r="A95" t="s">
        <v>1193</v>
      </c>
      <c r="B95" t="s">
        <v>1192</v>
      </c>
      <c r="C95" t="s">
        <v>1494</v>
      </c>
      <c r="D95">
        <v>4</v>
      </c>
      <c r="E95" s="329">
        <v>130</v>
      </c>
      <c r="F95" t="s">
        <v>1495</v>
      </c>
      <c r="G95">
        <v>1</v>
      </c>
      <c r="H95" t="s">
        <v>1756</v>
      </c>
      <c r="I95">
        <v>1</v>
      </c>
      <c r="J95" t="s">
        <v>1470</v>
      </c>
    </row>
    <row r="96" spans="1:10" x14ac:dyDescent="0.2">
      <c r="A96" t="s">
        <v>1402</v>
      </c>
      <c r="B96" t="s">
        <v>135</v>
      </c>
      <c r="C96" t="s">
        <v>1494</v>
      </c>
      <c r="D96">
        <v>4</v>
      </c>
      <c r="E96" s="329">
        <v>170</v>
      </c>
      <c r="F96" t="s">
        <v>1495</v>
      </c>
      <c r="G96">
        <v>1</v>
      </c>
      <c r="H96" t="s">
        <v>1756</v>
      </c>
      <c r="I96">
        <v>1</v>
      </c>
      <c r="J96" t="s">
        <v>1470</v>
      </c>
    </row>
    <row r="97" spans="1:10" x14ac:dyDescent="0.2">
      <c r="A97" t="s">
        <v>1404</v>
      </c>
      <c r="B97" t="s">
        <v>811</v>
      </c>
      <c r="C97" t="s">
        <v>1493</v>
      </c>
      <c r="D97">
        <v>3.8</v>
      </c>
      <c r="E97" s="329">
        <v>120</v>
      </c>
      <c r="F97" t="s">
        <v>1495</v>
      </c>
      <c r="G97">
        <v>1</v>
      </c>
      <c r="H97" t="s">
        <v>1756</v>
      </c>
      <c r="I97">
        <v>4</v>
      </c>
      <c r="J97" t="s">
        <v>1470</v>
      </c>
    </row>
    <row r="98" spans="1:10" x14ac:dyDescent="0.2">
      <c r="A98" t="s">
        <v>600</v>
      </c>
      <c r="B98" t="s">
        <v>599</v>
      </c>
      <c r="C98" t="s">
        <v>1493</v>
      </c>
      <c r="D98">
        <v>3.7</v>
      </c>
      <c r="E98" s="329">
        <v>136</v>
      </c>
      <c r="F98" t="s">
        <v>1495</v>
      </c>
      <c r="G98">
        <v>1</v>
      </c>
      <c r="H98" t="s">
        <v>1756</v>
      </c>
      <c r="I98">
        <v>3</v>
      </c>
      <c r="J98" t="s">
        <v>1470</v>
      </c>
    </row>
    <row r="99" spans="1:10" x14ac:dyDescent="0.2">
      <c r="A99" t="s">
        <v>1354</v>
      </c>
      <c r="B99" t="s">
        <v>942</v>
      </c>
      <c r="C99" t="s">
        <v>1493</v>
      </c>
      <c r="D99">
        <v>3.7</v>
      </c>
      <c r="E99" s="329">
        <v>130</v>
      </c>
      <c r="F99" t="s">
        <v>1495</v>
      </c>
      <c r="G99">
        <v>1</v>
      </c>
      <c r="H99" t="s">
        <v>1756</v>
      </c>
      <c r="I99">
        <v>3</v>
      </c>
      <c r="J99" t="s">
        <v>1470</v>
      </c>
    </row>
    <row r="100" spans="1:10" x14ac:dyDescent="0.2">
      <c r="A100" t="s">
        <v>1398</v>
      </c>
      <c r="B100" t="s">
        <v>1397</v>
      </c>
      <c r="C100" t="s">
        <v>1493</v>
      </c>
      <c r="D100">
        <v>3.7</v>
      </c>
      <c r="E100" s="329">
        <v>102</v>
      </c>
      <c r="F100" t="s">
        <v>1495</v>
      </c>
      <c r="G100">
        <v>1</v>
      </c>
      <c r="H100" t="s">
        <v>1756</v>
      </c>
      <c r="I100">
        <v>3</v>
      </c>
      <c r="J100" t="s">
        <v>1470</v>
      </c>
    </row>
    <row r="101" spans="1:10" x14ac:dyDescent="0.2">
      <c r="A101" t="s">
        <v>1429</v>
      </c>
      <c r="B101" t="s">
        <v>763</v>
      </c>
      <c r="C101" t="s">
        <v>1493</v>
      </c>
      <c r="D101">
        <v>3.7</v>
      </c>
      <c r="E101" s="329">
        <v>136</v>
      </c>
      <c r="F101" t="s">
        <v>1495</v>
      </c>
      <c r="G101">
        <v>1</v>
      </c>
      <c r="H101" t="s">
        <v>1756</v>
      </c>
      <c r="I101">
        <v>3</v>
      </c>
      <c r="J101" t="s">
        <v>1470</v>
      </c>
    </row>
    <row r="102" spans="1:10" x14ac:dyDescent="0.2">
      <c r="A102" t="s">
        <v>1079</v>
      </c>
      <c r="B102" t="s">
        <v>1078</v>
      </c>
      <c r="C102" t="s">
        <v>1493</v>
      </c>
      <c r="D102">
        <v>3.5</v>
      </c>
      <c r="E102" s="329">
        <v>133</v>
      </c>
      <c r="F102" t="s">
        <v>1495</v>
      </c>
      <c r="G102">
        <v>1</v>
      </c>
      <c r="H102" t="s">
        <v>1756</v>
      </c>
      <c r="I102">
        <v>6</v>
      </c>
      <c r="J102" t="s">
        <v>1470</v>
      </c>
    </row>
    <row r="103" spans="1:10" x14ac:dyDescent="0.2">
      <c r="A103" t="s">
        <v>278</v>
      </c>
      <c r="B103" t="s">
        <v>277</v>
      </c>
      <c r="C103" t="s">
        <v>1493</v>
      </c>
      <c r="D103">
        <v>3.5</v>
      </c>
      <c r="E103" s="329">
        <v>170</v>
      </c>
      <c r="F103" t="s">
        <v>1495</v>
      </c>
      <c r="G103">
        <v>1</v>
      </c>
      <c r="H103" t="s">
        <v>1756</v>
      </c>
      <c r="I103">
        <v>2</v>
      </c>
      <c r="J103" t="s">
        <v>1470</v>
      </c>
    </row>
    <row r="104" spans="1:10" x14ac:dyDescent="0.2">
      <c r="A104" t="s">
        <v>1450</v>
      </c>
      <c r="B104" t="s">
        <v>931</v>
      </c>
      <c r="C104" t="s">
        <v>1493</v>
      </c>
      <c r="D104">
        <v>3.3</v>
      </c>
      <c r="E104" s="329">
        <v>160</v>
      </c>
      <c r="F104" t="s">
        <v>1495</v>
      </c>
      <c r="G104">
        <v>1</v>
      </c>
      <c r="H104" t="s">
        <v>1756</v>
      </c>
      <c r="I104">
        <v>3</v>
      </c>
      <c r="J104" t="s">
        <v>1470</v>
      </c>
    </row>
    <row r="105" spans="1:10" x14ac:dyDescent="0.2">
      <c r="A105" t="s">
        <v>1264</v>
      </c>
      <c r="B105" t="s">
        <v>551</v>
      </c>
      <c r="C105" t="s">
        <v>1493</v>
      </c>
      <c r="D105">
        <v>3</v>
      </c>
      <c r="E105" s="329">
        <v>100</v>
      </c>
      <c r="F105" t="s">
        <v>1495</v>
      </c>
      <c r="G105">
        <v>1</v>
      </c>
      <c r="H105" t="s">
        <v>1756</v>
      </c>
      <c r="I105">
        <v>7</v>
      </c>
      <c r="J105" t="s">
        <v>1470</v>
      </c>
    </row>
    <row r="106" spans="1:10" x14ac:dyDescent="0.2">
      <c r="A106" t="s">
        <v>579</v>
      </c>
      <c r="B106" t="s">
        <v>578</v>
      </c>
      <c r="C106" t="s">
        <v>1493</v>
      </c>
      <c r="D106">
        <v>3</v>
      </c>
      <c r="E106" s="329">
        <v>144</v>
      </c>
      <c r="F106" t="s">
        <v>1495</v>
      </c>
      <c r="G106">
        <v>1</v>
      </c>
      <c r="H106" t="s">
        <v>1756</v>
      </c>
      <c r="I106">
        <v>4</v>
      </c>
      <c r="J106" t="s">
        <v>1470</v>
      </c>
    </row>
    <row r="107" spans="1:10" x14ac:dyDescent="0.2">
      <c r="A107" t="s">
        <v>576</v>
      </c>
      <c r="B107" t="s">
        <v>575</v>
      </c>
      <c r="C107" t="s">
        <v>1493</v>
      </c>
      <c r="D107">
        <v>3</v>
      </c>
      <c r="E107" s="329">
        <v>100</v>
      </c>
      <c r="F107" t="s">
        <v>1495</v>
      </c>
      <c r="G107">
        <v>1</v>
      </c>
      <c r="H107" t="s">
        <v>1756</v>
      </c>
      <c r="I107">
        <v>4</v>
      </c>
      <c r="J107" t="s">
        <v>1470</v>
      </c>
    </row>
    <row r="108" spans="1:10" x14ac:dyDescent="0.2">
      <c r="A108" t="s">
        <v>177</v>
      </c>
      <c r="B108" t="s">
        <v>176</v>
      </c>
      <c r="C108" t="s">
        <v>1493</v>
      </c>
      <c r="D108">
        <v>3</v>
      </c>
      <c r="E108" s="329">
        <v>140</v>
      </c>
      <c r="F108" t="s">
        <v>1495</v>
      </c>
      <c r="G108">
        <v>1</v>
      </c>
      <c r="H108" t="s">
        <v>1756</v>
      </c>
      <c r="I108">
        <v>2</v>
      </c>
      <c r="J108" t="s">
        <v>1470</v>
      </c>
    </row>
    <row r="109" spans="1:10" x14ac:dyDescent="0.2">
      <c r="A109" t="s">
        <v>1151</v>
      </c>
      <c r="B109" t="s">
        <v>1150</v>
      </c>
      <c r="C109" t="s">
        <v>1493</v>
      </c>
      <c r="D109">
        <v>3</v>
      </c>
      <c r="E109" s="329">
        <v>110</v>
      </c>
      <c r="F109" t="s">
        <v>1495</v>
      </c>
      <c r="G109">
        <v>1</v>
      </c>
      <c r="H109" t="s">
        <v>1756</v>
      </c>
      <c r="I109">
        <v>2</v>
      </c>
      <c r="J109" t="s">
        <v>1470</v>
      </c>
    </row>
    <row r="110" spans="1:10" x14ac:dyDescent="0.2">
      <c r="A110" t="s">
        <v>1209</v>
      </c>
      <c r="B110" t="s">
        <v>1208</v>
      </c>
      <c r="C110" t="s">
        <v>1493</v>
      </c>
      <c r="D110">
        <v>3</v>
      </c>
      <c r="E110" s="329">
        <v>160</v>
      </c>
      <c r="F110" t="s">
        <v>1495</v>
      </c>
      <c r="G110">
        <v>1</v>
      </c>
      <c r="H110" t="s">
        <v>1756</v>
      </c>
      <c r="I110">
        <v>1</v>
      </c>
      <c r="J110" t="s">
        <v>1470</v>
      </c>
    </row>
    <row r="111" spans="1:10" x14ac:dyDescent="0.2">
      <c r="A111" t="s">
        <v>1455</v>
      </c>
      <c r="B111" t="s">
        <v>757</v>
      </c>
      <c r="C111" t="s">
        <v>1493</v>
      </c>
      <c r="D111">
        <v>3</v>
      </c>
      <c r="E111" s="329">
        <v>140</v>
      </c>
      <c r="F111" t="s">
        <v>1495</v>
      </c>
      <c r="G111">
        <v>1</v>
      </c>
      <c r="H111" t="s">
        <v>1756</v>
      </c>
      <c r="I111">
        <v>1</v>
      </c>
      <c r="J111" t="s">
        <v>1470</v>
      </c>
    </row>
    <row r="112" spans="1:10" x14ac:dyDescent="0.2">
      <c r="A112" t="s">
        <v>1073</v>
      </c>
      <c r="B112" t="s">
        <v>31</v>
      </c>
      <c r="C112" t="s">
        <v>1492</v>
      </c>
      <c r="D112">
        <v>2.7</v>
      </c>
      <c r="E112" s="329">
        <v>128</v>
      </c>
      <c r="F112" t="s">
        <v>1495</v>
      </c>
      <c r="G112">
        <v>1</v>
      </c>
      <c r="H112" t="s">
        <v>1756</v>
      </c>
      <c r="I112">
        <v>3</v>
      </c>
      <c r="J112" t="s">
        <v>1470</v>
      </c>
    </row>
    <row r="113" spans="1:10" x14ac:dyDescent="0.2">
      <c r="A113" t="s">
        <v>1076</v>
      </c>
      <c r="B113" t="s">
        <v>83</v>
      </c>
      <c r="C113" t="s">
        <v>1492</v>
      </c>
      <c r="D113">
        <v>2.2000000000000002</v>
      </c>
      <c r="E113" s="329">
        <v>190</v>
      </c>
      <c r="F113" t="s">
        <v>1495</v>
      </c>
      <c r="G113">
        <v>1</v>
      </c>
      <c r="H113" t="s">
        <v>1756</v>
      </c>
      <c r="I113">
        <v>5</v>
      </c>
      <c r="J113" t="s">
        <v>1470</v>
      </c>
    </row>
    <row r="114" spans="1:10" x14ac:dyDescent="0.2">
      <c r="A114" t="s">
        <v>1437</v>
      </c>
      <c r="B114" t="s">
        <v>1436</v>
      </c>
      <c r="C114" t="s">
        <v>1492</v>
      </c>
      <c r="D114">
        <v>1</v>
      </c>
      <c r="E114" s="329">
        <v>136</v>
      </c>
      <c r="F114" t="s">
        <v>1495</v>
      </c>
      <c r="G114">
        <v>1</v>
      </c>
      <c r="H114" t="s">
        <v>1756</v>
      </c>
      <c r="I114">
        <v>1</v>
      </c>
      <c r="J114" t="s">
        <v>1470</v>
      </c>
    </row>
    <row r="115" spans="1:10" x14ac:dyDescent="0.2">
      <c r="A115" t="s">
        <v>81</v>
      </c>
      <c r="B115" t="s">
        <v>37</v>
      </c>
      <c r="C115" t="s">
        <v>1492</v>
      </c>
      <c r="D115">
        <v>0</v>
      </c>
      <c r="E115" s="329">
        <v>100</v>
      </c>
      <c r="F115" t="s">
        <v>1495</v>
      </c>
      <c r="G115">
        <v>1</v>
      </c>
      <c r="H115" t="s">
        <v>1756</v>
      </c>
      <c r="I115">
        <v>0</v>
      </c>
      <c r="J115" t="s">
        <v>1470</v>
      </c>
    </row>
    <row r="116" spans="1:10" x14ac:dyDescent="0.2">
      <c r="A116" t="s">
        <v>156</v>
      </c>
      <c r="B116" t="s">
        <v>37</v>
      </c>
      <c r="C116" t="s">
        <v>1492</v>
      </c>
      <c r="D116">
        <v>0</v>
      </c>
      <c r="E116" s="329">
        <v>100</v>
      </c>
      <c r="F116" t="s">
        <v>1495</v>
      </c>
      <c r="G116">
        <v>1</v>
      </c>
      <c r="H116" t="s">
        <v>1756</v>
      </c>
      <c r="I116">
        <v>0</v>
      </c>
      <c r="J116" t="s">
        <v>1470</v>
      </c>
    </row>
    <row r="117" spans="1:10" x14ac:dyDescent="0.2">
      <c r="A117" t="s">
        <v>809</v>
      </c>
      <c r="B117" t="s">
        <v>37</v>
      </c>
      <c r="C117" t="s">
        <v>1492</v>
      </c>
      <c r="D117">
        <v>0</v>
      </c>
      <c r="E117" s="329">
        <v>100</v>
      </c>
      <c r="F117" t="s">
        <v>1495</v>
      </c>
      <c r="G117">
        <v>1</v>
      </c>
      <c r="H117" t="s">
        <v>1756</v>
      </c>
      <c r="I117">
        <v>0</v>
      </c>
      <c r="J117" t="s">
        <v>1470</v>
      </c>
    </row>
    <row r="118" spans="1:10" x14ac:dyDescent="0.2">
      <c r="A118" t="s">
        <v>612</v>
      </c>
      <c r="B118" t="s">
        <v>132</v>
      </c>
      <c r="C118" t="s">
        <v>1492</v>
      </c>
      <c r="D118">
        <v>0</v>
      </c>
      <c r="E118" s="329">
        <v>130</v>
      </c>
      <c r="F118" t="s">
        <v>1495</v>
      </c>
      <c r="G118">
        <v>1</v>
      </c>
      <c r="H118" t="s">
        <v>1756</v>
      </c>
      <c r="I118">
        <v>0</v>
      </c>
      <c r="J118" t="s">
        <v>1470</v>
      </c>
    </row>
    <row r="119" spans="1:10" x14ac:dyDescent="0.2">
      <c r="A119" t="s">
        <v>133</v>
      </c>
      <c r="B119" t="s">
        <v>132</v>
      </c>
      <c r="C119" t="s">
        <v>1492</v>
      </c>
      <c r="D119">
        <v>0</v>
      </c>
      <c r="E119" s="329">
        <v>130</v>
      </c>
      <c r="F119" t="s">
        <v>1495</v>
      </c>
      <c r="G119">
        <v>1</v>
      </c>
      <c r="H119" t="s">
        <v>1756</v>
      </c>
      <c r="I119">
        <v>0</v>
      </c>
      <c r="J119" t="s">
        <v>1470</v>
      </c>
    </row>
    <row r="120" spans="1:10" x14ac:dyDescent="0.2">
      <c r="A120" t="s">
        <v>64</v>
      </c>
      <c r="B120" t="s">
        <v>56</v>
      </c>
      <c r="C120" t="s">
        <v>1492</v>
      </c>
      <c r="D120">
        <v>0</v>
      </c>
      <c r="E120" s="329">
        <v>160</v>
      </c>
      <c r="F120" t="s">
        <v>1495</v>
      </c>
      <c r="G120">
        <v>1</v>
      </c>
      <c r="H120" t="s">
        <v>1756</v>
      </c>
      <c r="I120">
        <v>0</v>
      </c>
      <c r="J120" t="s">
        <v>1470</v>
      </c>
    </row>
    <row r="121" spans="1:10" x14ac:dyDescent="0.2">
      <c r="A121" t="s">
        <v>112</v>
      </c>
      <c r="B121" t="s">
        <v>111</v>
      </c>
      <c r="C121" t="s">
        <v>1492</v>
      </c>
      <c r="D121">
        <v>0</v>
      </c>
      <c r="E121" s="329">
        <v>160</v>
      </c>
      <c r="F121" t="s">
        <v>1495</v>
      </c>
      <c r="G121">
        <v>1</v>
      </c>
      <c r="H121" t="s">
        <v>1756</v>
      </c>
      <c r="I121">
        <v>0</v>
      </c>
      <c r="J121" t="s">
        <v>1470</v>
      </c>
    </row>
    <row r="122" spans="1:10" x14ac:dyDescent="0.2">
      <c r="A122" t="s">
        <v>136</v>
      </c>
      <c r="B122" t="s">
        <v>135</v>
      </c>
      <c r="C122" t="s">
        <v>1492</v>
      </c>
      <c r="D122">
        <v>0</v>
      </c>
      <c r="E122" s="329">
        <v>170</v>
      </c>
      <c r="F122" t="s">
        <v>1495</v>
      </c>
      <c r="G122">
        <v>1</v>
      </c>
      <c r="H122" t="s">
        <v>1756</v>
      </c>
      <c r="I122">
        <v>0</v>
      </c>
      <c r="J122" t="s">
        <v>1470</v>
      </c>
    </row>
    <row r="123" spans="1:10" x14ac:dyDescent="0.2">
      <c r="A123" t="s">
        <v>183</v>
      </c>
      <c r="B123" t="s">
        <v>182</v>
      </c>
      <c r="C123" t="s">
        <v>1492</v>
      </c>
      <c r="D123">
        <v>0</v>
      </c>
      <c r="E123" s="329">
        <v>120</v>
      </c>
      <c r="F123" t="s">
        <v>1495</v>
      </c>
      <c r="G123">
        <v>1</v>
      </c>
      <c r="H123" t="s">
        <v>1756</v>
      </c>
      <c r="I123">
        <v>0</v>
      </c>
      <c r="J123" t="s">
        <v>1470</v>
      </c>
    </row>
    <row r="124" spans="1:10" x14ac:dyDescent="0.2">
      <c r="A124" t="s">
        <v>403</v>
      </c>
      <c r="B124" t="s">
        <v>182</v>
      </c>
      <c r="C124" t="s">
        <v>1492</v>
      </c>
      <c r="D124">
        <v>0</v>
      </c>
      <c r="E124" s="329">
        <v>120</v>
      </c>
      <c r="F124" t="s">
        <v>1495</v>
      </c>
      <c r="G124">
        <v>1</v>
      </c>
      <c r="H124" t="s">
        <v>1756</v>
      </c>
      <c r="I124">
        <v>0</v>
      </c>
      <c r="J124" t="s">
        <v>1470</v>
      </c>
    </row>
    <row r="125" spans="1:10" x14ac:dyDescent="0.2">
      <c r="A125" t="s">
        <v>457</v>
      </c>
      <c r="B125" t="s">
        <v>83</v>
      </c>
      <c r="C125" t="s">
        <v>1492</v>
      </c>
      <c r="D125">
        <v>0</v>
      </c>
      <c r="E125" s="329">
        <v>190</v>
      </c>
      <c r="F125" t="s">
        <v>1495</v>
      </c>
      <c r="G125">
        <v>1</v>
      </c>
      <c r="H125" t="s">
        <v>1756</v>
      </c>
      <c r="I125">
        <v>0</v>
      </c>
      <c r="J125" t="s">
        <v>1470</v>
      </c>
    </row>
    <row r="126" spans="1:10" x14ac:dyDescent="0.2">
      <c r="A126" t="s">
        <v>497</v>
      </c>
      <c r="B126" t="s">
        <v>111</v>
      </c>
      <c r="C126" t="s">
        <v>1492</v>
      </c>
      <c r="D126">
        <v>0</v>
      </c>
      <c r="E126" s="329">
        <v>160</v>
      </c>
      <c r="F126" t="s">
        <v>1495</v>
      </c>
      <c r="G126">
        <v>1</v>
      </c>
      <c r="H126" t="s">
        <v>1756</v>
      </c>
      <c r="I126">
        <v>0</v>
      </c>
      <c r="J126" t="s">
        <v>1470</v>
      </c>
    </row>
    <row r="127" spans="1:10" x14ac:dyDescent="0.2">
      <c r="A127" t="s">
        <v>840</v>
      </c>
      <c r="B127" t="s">
        <v>83</v>
      </c>
      <c r="C127" t="s">
        <v>1492</v>
      </c>
      <c r="D127">
        <v>0</v>
      </c>
      <c r="E127" s="329">
        <v>190</v>
      </c>
      <c r="F127" t="s">
        <v>1495</v>
      </c>
      <c r="G127">
        <v>1</v>
      </c>
      <c r="H127" t="s">
        <v>1756</v>
      </c>
      <c r="I127">
        <v>0</v>
      </c>
      <c r="J127" t="s">
        <v>1470</v>
      </c>
    </row>
    <row r="128" spans="1:10" x14ac:dyDescent="0.2">
      <c r="A128" t="s">
        <v>852</v>
      </c>
      <c r="B128" t="s">
        <v>383</v>
      </c>
      <c r="C128" t="s">
        <v>1492</v>
      </c>
      <c r="D128">
        <v>0</v>
      </c>
      <c r="E128" s="329">
        <v>160</v>
      </c>
      <c r="F128" t="s">
        <v>1495</v>
      </c>
      <c r="G128">
        <v>1</v>
      </c>
      <c r="H128" t="s">
        <v>1756</v>
      </c>
      <c r="I128">
        <v>0</v>
      </c>
      <c r="J128" t="s">
        <v>1470</v>
      </c>
    </row>
    <row r="129" spans="1:10" x14ac:dyDescent="0.2">
      <c r="A129" t="s">
        <v>1012</v>
      </c>
      <c r="B129" t="s">
        <v>111</v>
      </c>
      <c r="C129" t="s">
        <v>1492</v>
      </c>
      <c r="D129">
        <v>0</v>
      </c>
      <c r="E129" s="329">
        <v>160</v>
      </c>
      <c r="F129" t="s">
        <v>1495</v>
      </c>
      <c r="G129">
        <v>1</v>
      </c>
      <c r="H129" t="s">
        <v>1756</v>
      </c>
      <c r="I129">
        <v>0</v>
      </c>
      <c r="J129" t="s">
        <v>1470</v>
      </c>
    </row>
    <row r="130" spans="1:10" x14ac:dyDescent="0.2">
      <c r="A130" t="s">
        <v>54</v>
      </c>
      <c r="B130" t="s">
        <v>34</v>
      </c>
      <c r="C130" t="s">
        <v>1492</v>
      </c>
      <c r="D130">
        <v>0</v>
      </c>
      <c r="E130" s="329">
        <v>150</v>
      </c>
      <c r="F130" t="s">
        <v>1495</v>
      </c>
      <c r="G130">
        <v>1</v>
      </c>
      <c r="H130" t="s">
        <v>1756</v>
      </c>
      <c r="I130">
        <v>0</v>
      </c>
      <c r="J130" t="s">
        <v>1470</v>
      </c>
    </row>
    <row r="131" spans="1:10" x14ac:dyDescent="0.2">
      <c r="A131" t="s">
        <v>199</v>
      </c>
      <c r="B131" t="s">
        <v>198</v>
      </c>
      <c r="C131" t="s">
        <v>1492</v>
      </c>
      <c r="D131">
        <v>0</v>
      </c>
      <c r="E131" s="329">
        <v>250</v>
      </c>
      <c r="F131" t="s">
        <v>1495</v>
      </c>
      <c r="G131">
        <v>2</v>
      </c>
      <c r="H131" t="s">
        <v>1756</v>
      </c>
      <c r="I131">
        <v>0</v>
      </c>
      <c r="J131" t="s">
        <v>1470</v>
      </c>
    </row>
    <row r="132" spans="1:10" x14ac:dyDescent="0.2">
      <c r="A132" t="s">
        <v>254</v>
      </c>
      <c r="B132" t="s">
        <v>198</v>
      </c>
      <c r="C132" t="s">
        <v>1492</v>
      </c>
      <c r="D132">
        <v>0</v>
      </c>
      <c r="E132" s="329">
        <v>230</v>
      </c>
      <c r="F132" t="s">
        <v>1495</v>
      </c>
      <c r="G132">
        <v>2</v>
      </c>
      <c r="H132" t="s">
        <v>1756</v>
      </c>
      <c r="I132">
        <v>0</v>
      </c>
      <c r="J132" t="s">
        <v>1470</v>
      </c>
    </row>
    <row r="133" spans="1:10" x14ac:dyDescent="0.2">
      <c r="A133" t="s">
        <v>584</v>
      </c>
      <c r="B133" t="s">
        <v>34</v>
      </c>
      <c r="C133" t="s">
        <v>1492</v>
      </c>
      <c r="D133">
        <v>0</v>
      </c>
      <c r="E133" s="329">
        <v>150</v>
      </c>
      <c r="F133" t="s">
        <v>1495</v>
      </c>
      <c r="G133">
        <v>1</v>
      </c>
      <c r="H133" t="s">
        <v>1756</v>
      </c>
      <c r="I133">
        <v>0</v>
      </c>
      <c r="J133" t="s">
        <v>1470</v>
      </c>
    </row>
    <row r="134" spans="1:10" x14ac:dyDescent="0.2">
      <c r="A134" t="s">
        <v>21</v>
      </c>
      <c r="B134" t="s">
        <v>20</v>
      </c>
      <c r="C134" t="s">
        <v>1492</v>
      </c>
      <c r="D134">
        <v>0</v>
      </c>
      <c r="E134" s="329">
        <v>100</v>
      </c>
      <c r="F134" t="s">
        <v>1495</v>
      </c>
      <c r="G134">
        <v>1</v>
      </c>
      <c r="H134" t="s">
        <v>1756</v>
      </c>
      <c r="I134">
        <v>0</v>
      </c>
      <c r="J134" t="s">
        <v>1470</v>
      </c>
    </row>
    <row r="135" spans="1:10" x14ac:dyDescent="0.2">
      <c r="A135" t="s">
        <v>24</v>
      </c>
      <c r="B135" t="s">
        <v>23</v>
      </c>
      <c r="C135" t="s">
        <v>1492</v>
      </c>
      <c r="D135">
        <v>0</v>
      </c>
      <c r="E135" s="329">
        <v>100</v>
      </c>
      <c r="F135" t="s">
        <v>1495</v>
      </c>
      <c r="G135">
        <v>1</v>
      </c>
      <c r="H135" t="s">
        <v>1756</v>
      </c>
      <c r="I135">
        <v>0</v>
      </c>
      <c r="J135" t="s">
        <v>1470</v>
      </c>
    </row>
    <row r="136" spans="1:10" x14ac:dyDescent="0.2">
      <c r="A136" t="s">
        <v>101</v>
      </c>
      <c r="B136" t="s">
        <v>100</v>
      </c>
      <c r="C136" t="s">
        <v>1492</v>
      </c>
      <c r="D136">
        <v>0</v>
      </c>
      <c r="E136" s="329">
        <v>120</v>
      </c>
      <c r="F136" t="s">
        <v>1495</v>
      </c>
      <c r="G136">
        <v>1</v>
      </c>
      <c r="H136" t="s">
        <v>1756</v>
      </c>
      <c r="I136">
        <v>0</v>
      </c>
      <c r="J136" t="s">
        <v>1470</v>
      </c>
    </row>
    <row r="137" spans="1:10" x14ac:dyDescent="0.2">
      <c r="A137" t="s">
        <v>758</v>
      </c>
      <c r="B137" t="s">
        <v>757</v>
      </c>
      <c r="C137" t="s">
        <v>1492</v>
      </c>
      <c r="D137">
        <v>0</v>
      </c>
      <c r="E137" s="329">
        <v>140</v>
      </c>
      <c r="F137" t="s">
        <v>1495</v>
      </c>
      <c r="G137">
        <v>2</v>
      </c>
      <c r="H137" t="s">
        <v>1756</v>
      </c>
      <c r="I137">
        <v>0</v>
      </c>
      <c r="J137" t="s">
        <v>1470</v>
      </c>
    </row>
    <row r="138" spans="1:10" x14ac:dyDescent="0.2">
      <c r="A138" t="s">
        <v>381</v>
      </c>
      <c r="B138" t="s">
        <v>380</v>
      </c>
      <c r="C138" t="s">
        <v>1492</v>
      </c>
      <c r="D138">
        <v>0</v>
      </c>
      <c r="E138" s="329">
        <v>150</v>
      </c>
      <c r="F138" t="s">
        <v>1495</v>
      </c>
      <c r="G138">
        <v>1</v>
      </c>
      <c r="H138" t="s">
        <v>1756</v>
      </c>
      <c r="I138">
        <v>0</v>
      </c>
      <c r="J138" t="s">
        <v>1470</v>
      </c>
    </row>
    <row r="139" spans="1:10" x14ac:dyDescent="0.2">
      <c r="A139" t="s">
        <v>417</v>
      </c>
      <c r="B139" t="s">
        <v>20</v>
      </c>
      <c r="C139" t="s">
        <v>1492</v>
      </c>
      <c r="D139">
        <v>0</v>
      </c>
      <c r="E139" s="329">
        <v>110</v>
      </c>
      <c r="F139" t="s">
        <v>1495</v>
      </c>
      <c r="G139">
        <v>1</v>
      </c>
      <c r="H139" t="s">
        <v>1756</v>
      </c>
      <c r="I139">
        <v>0</v>
      </c>
      <c r="J139" t="s">
        <v>1470</v>
      </c>
    </row>
    <row r="140" spans="1:10" x14ac:dyDescent="0.2">
      <c r="A140" t="s">
        <v>89</v>
      </c>
      <c r="B140" t="s">
        <v>75</v>
      </c>
      <c r="C140" t="s">
        <v>1492</v>
      </c>
      <c r="D140">
        <v>0</v>
      </c>
      <c r="E140" s="329">
        <v>120</v>
      </c>
      <c r="F140" t="s">
        <v>1495</v>
      </c>
      <c r="G140">
        <v>1</v>
      </c>
      <c r="H140" t="s">
        <v>1756</v>
      </c>
      <c r="I140">
        <v>0</v>
      </c>
      <c r="J140" t="s">
        <v>1470</v>
      </c>
    </row>
    <row r="141" spans="1:10" x14ac:dyDescent="0.2">
      <c r="A141" t="s">
        <v>18</v>
      </c>
      <c r="B141" t="s">
        <v>17</v>
      </c>
      <c r="C141" t="s">
        <v>1492</v>
      </c>
      <c r="D141">
        <v>0</v>
      </c>
      <c r="E141" s="329">
        <v>100</v>
      </c>
      <c r="F141" t="s">
        <v>1495</v>
      </c>
      <c r="G141">
        <v>1</v>
      </c>
      <c r="H141" t="s">
        <v>1756</v>
      </c>
      <c r="I141">
        <v>0</v>
      </c>
      <c r="J141" t="s">
        <v>1470</v>
      </c>
    </row>
    <row r="142" spans="1:10" x14ac:dyDescent="0.2">
      <c r="A142" t="s">
        <v>103</v>
      </c>
      <c r="B142" t="s">
        <v>102</v>
      </c>
      <c r="C142" t="s">
        <v>1492</v>
      </c>
      <c r="D142">
        <v>0</v>
      </c>
      <c r="E142" s="329">
        <v>140</v>
      </c>
      <c r="F142" t="s">
        <v>1495</v>
      </c>
      <c r="G142">
        <v>1</v>
      </c>
      <c r="H142" t="s">
        <v>1756</v>
      </c>
      <c r="I142">
        <v>0</v>
      </c>
      <c r="J142" t="s">
        <v>1470</v>
      </c>
    </row>
    <row r="143" spans="1:10" x14ac:dyDescent="0.2">
      <c r="A143" t="s">
        <v>142</v>
      </c>
      <c r="B143" t="s">
        <v>141</v>
      </c>
      <c r="C143" t="s">
        <v>1492</v>
      </c>
      <c r="D143">
        <v>0</v>
      </c>
      <c r="E143" s="329">
        <v>110</v>
      </c>
      <c r="F143" t="s">
        <v>1495</v>
      </c>
      <c r="G143">
        <v>1</v>
      </c>
      <c r="H143" t="s">
        <v>1756</v>
      </c>
      <c r="I143">
        <v>0</v>
      </c>
      <c r="J143" t="s">
        <v>1470</v>
      </c>
    </row>
    <row r="144" spans="1:10" x14ac:dyDescent="0.2">
      <c r="A144" t="s">
        <v>796</v>
      </c>
      <c r="B144" t="s">
        <v>141</v>
      </c>
      <c r="C144" t="s">
        <v>1492</v>
      </c>
      <c r="D144">
        <v>0</v>
      </c>
      <c r="E144" s="329">
        <v>110</v>
      </c>
      <c r="F144" t="s">
        <v>1495</v>
      </c>
      <c r="G144">
        <v>1</v>
      </c>
      <c r="H144" t="s">
        <v>1756</v>
      </c>
      <c r="I144">
        <v>0</v>
      </c>
      <c r="J144" t="s">
        <v>1470</v>
      </c>
    </row>
    <row r="145" spans="1:10" x14ac:dyDescent="0.2">
      <c r="A145" t="s">
        <v>972</v>
      </c>
      <c r="B145" t="s">
        <v>971</v>
      </c>
      <c r="C145" t="s">
        <v>1492</v>
      </c>
      <c r="D145">
        <v>0</v>
      </c>
      <c r="E145" s="329">
        <v>160</v>
      </c>
      <c r="F145" t="s">
        <v>1495</v>
      </c>
      <c r="G145">
        <v>1</v>
      </c>
      <c r="H145" t="s">
        <v>1756</v>
      </c>
      <c r="I145">
        <v>0</v>
      </c>
      <c r="J145" t="s">
        <v>1470</v>
      </c>
    </row>
    <row r="146" spans="1:10" x14ac:dyDescent="0.2">
      <c r="A146" t="s">
        <v>76</v>
      </c>
      <c r="B146" t="s">
        <v>75</v>
      </c>
      <c r="C146" t="s">
        <v>1492</v>
      </c>
      <c r="D146">
        <v>0</v>
      </c>
      <c r="E146" s="329">
        <v>120</v>
      </c>
      <c r="F146" t="s">
        <v>1495</v>
      </c>
      <c r="G146">
        <v>1</v>
      </c>
      <c r="H146" t="s">
        <v>1756</v>
      </c>
      <c r="I146">
        <v>0</v>
      </c>
      <c r="J146" t="s">
        <v>1470</v>
      </c>
    </row>
    <row r="147" spans="1:10" x14ac:dyDescent="0.2">
      <c r="A147" t="s">
        <v>148</v>
      </c>
      <c r="B147" t="s">
        <v>147</v>
      </c>
      <c r="C147" t="s">
        <v>1492</v>
      </c>
      <c r="D147">
        <v>0</v>
      </c>
      <c r="E147" s="329">
        <v>230</v>
      </c>
      <c r="F147" t="s">
        <v>1495</v>
      </c>
      <c r="G147">
        <v>2</v>
      </c>
      <c r="H147" t="s">
        <v>1756</v>
      </c>
      <c r="I147">
        <v>0</v>
      </c>
      <c r="J147" t="s">
        <v>1470</v>
      </c>
    </row>
    <row r="148" spans="1:10" x14ac:dyDescent="0.2">
      <c r="A148" t="s">
        <v>396</v>
      </c>
      <c r="B148" t="s">
        <v>395</v>
      </c>
      <c r="C148" t="s">
        <v>1492</v>
      </c>
      <c r="D148">
        <v>0</v>
      </c>
      <c r="E148" s="329">
        <v>100</v>
      </c>
      <c r="F148" t="s">
        <v>1495</v>
      </c>
      <c r="G148">
        <v>1</v>
      </c>
      <c r="H148" t="s">
        <v>1756</v>
      </c>
      <c r="I148">
        <v>0</v>
      </c>
      <c r="J148" t="s">
        <v>1470</v>
      </c>
    </row>
    <row r="149" spans="1:10" x14ac:dyDescent="0.2">
      <c r="A149" t="s">
        <v>582</v>
      </c>
      <c r="B149" t="s">
        <v>581</v>
      </c>
      <c r="C149" t="s">
        <v>1492</v>
      </c>
      <c r="D149">
        <v>0</v>
      </c>
      <c r="E149" s="329">
        <v>120</v>
      </c>
      <c r="F149" t="s">
        <v>1495</v>
      </c>
      <c r="G149">
        <v>2</v>
      </c>
      <c r="H149" t="s">
        <v>1756</v>
      </c>
      <c r="I149">
        <v>0</v>
      </c>
      <c r="J149" t="s">
        <v>1470</v>
      </c>
    </row>
    <row r="150" spans="1:10" x14ac:dyDescent="0.2">
      <c r="A150" t="s">
        <v>764</v>
      </c>
      <c r="B150" t="s">
        <v>763</v>
      </c>
      <c r="C150" t="s">
        <v>1492</v>
      </c>
      <c r="D150">
        <v>0</v>
      </c>
      <c r="E150" s="329">
        <v>150</v>
      </c>
      <c r="F150" t="s">
        <v>1495</v>
      </c>
      <c r="G150">
        <v>1</v>
      </c>
      <c r="H150" t="s">
        <v>1756</v>
      </c>
      <c r="I150">
        <v>0</v>
      </c>
      <c r="J150" t="s">
        <v>1470</v>
      </c>
    </row>
    <row r="151" spans="1:10" x14ac:dyDescent="0.2">
      <c r="A151" t="s">
        <v>1039</v>
      </c>
      <c r="B151" t="s">
        <v>578</v>
      </c>
      <c r="C151" t="s">
        <v>1492</v>
      </c>
      <c r="D151">
        <v>0</v>
      </c>
      <c r="E151" s="329">
        <v>180</v>
      </c>
      <c r="F151" t="s">
        <v>1495</v>
      </c>
      <c r="G151">
        <v>1</v>
      </c>
      <c r="H151" t="s">
        <v>1756</v>
      </c>
      <c r="I151">
        <v>0</v>
      </c>
      <c r="J151" t="s">
        <v>1470</v>
      </c>
    </row>
    <row r="152" spans="1:10" x14ac:dyDescent="0.2">
      <c r="A152" t="s">
        <v>1077</v>
      </c>
      <c r="B152" t="s">
        <v>129</v>
      </c>
      <c r="C152" t="s">
        <v>1492</v>
      </c>
      <c r="D152">
        <v>0</v>
      </c>
      <c r="E152" s="329">
        <v>100</v>
      </c>
      <c r="F152" t="s">
        <v>1495</v>
      </c>
      <c r="G152">
        <v>1</v>
      </c>
      <c r="H152" t="s">
        <v>1756</v>
      </c>
      <c r="I152">
        <v>0</v>
      </c>
      <c r="J152" t="s">
        <v>1470</v>
      </c>
    </row>
    <row r="153" spans="1:10" x14ac:dyDescent="0.2">
      <c r="A153" t="s">
        <v>154</v>
      </c>
      <c r="B153" t="s">
        <v>153</v>
      </c>
      <c r="C153" t="s">
        <v>1492</v>
      </c>
      <c r="D153">
        <v>0</v>
      </c>
      <c r="E153" s="329">
        <v>160</v>
      </c>
      <c r="F153" t="s">
        <v>1495</v>
      </c>
      <c r="G153">
        <v>1</v>
      </c>
      <c r="H153" t="s">
        <v>1756</v>
      </c>
      <c r="I153">
        <v>0</v>
      </c>
      <c r="J153" t="s">
        <v>1470</v>
      </c>
    </row>
    <row r="154" spans="1:10" x14ac:dyDescent="0.2">
      <c r="A154" t="s">
        <v>166</v>
      </c>
      <c r="B154" t="s">
        <v>165</v>
      </c>
      <c r="C154" t="s">
        <v>1492</v>
      </c>
      <c r="D154">
        <v>0</v>
      </c>
      <c r="E154" s="329">
        <v>112</v>
      </c>
      <c r="F154" t="s">
        <v>1495</v>
      </c>
      <c r="G154">
        <v>1</v>
      </c>
      <c r="H154" t="s">
        <v>1756</v>
      </c>
      <c r="I154">
        <v>0</v>
      </c>
      <c r="J154" t="s">
        <v>1470</v>
      </c>
    </row>
    <row r="155" spans="1:10" x14ac:dyDescent="0.2">
      <c r="A155" t="s">
        <v>444</v>
      </c>
      <c r="B155" t="s">
        <v>443</v>
      </c>
      <c r="C155" t="s">
        <v>1492</v>
      </c>
      <c r="D155">
        <v>0</v>
      </c>
      <c r="E155" s="329">
        <v>130</v>
      </c>
      <c r="F155" t="s">
        <v>1495</v>
      </c>
      <c r="G155">
        <v>1</v>
      </c>
      <c r="H155" t="s">
        <v>1756</v>
      </c>
      <c r="I155">
        <v>0</v>
      </c>
      <c r="J155" t="s">
        <v>1470</v>
      </c>
    </row>
    <row r="156" spans="1:10" x14ac:dyDescent="0.2">
      <c r="A156" t="s">
        <v>43</v>
      </c>
      <c r="B156" t="s">
        <v>42</v>
      </c>
      <c r="C156" t="s">
        <v>1492</v>
      </c>
      <c r="D156">
        <v>0</v>
      </c>
      <c r="E156" s="329">
        <v>105</v>
      </c>
      <c r="F156" t="s">
        <v>1495</v>
      </c>
      <c r="G156">
        <v>1</v>
      </c>
      <c r="H156" t="s">
        <v>1756</v>
      </c>
      <c r="I156">
        <v>0</v>
      </c>
      <c r="J156" t="s">
        <v>1470</v>
      </c>
    </row>
    <row r="157" spans="1:10" x14ac:dyDescent="0.2">
      <c r="A157" t="s">
        <v>174</v>
      </c>
      <c r="B157" t="s">
        <v>173</v>
      </c>
      <c r="C157" t="s">
        <v>1492</v>
      </c>
      <c r="D157">
        <v>0</v>
      </c>
      <c r="E157" s="329">
        <v>110</v>
      </c>
      <c r="F157" t="s">
        <v>1495</v>
      </c>
      <c r="G157">
        <v>1</v>
      </c>
      <c r="H157" t="s">
        <v>1756</v>
      </c>
      <c r="I157">
        <v>0</v>
      </c>
      <c r="J157" t="s">
        <v>1470</v>
      </c>
    </row>
    <row r="158" spans="1:10" x14ac:dyDescent="0.2">
      <c r="A158" t="s">
        <v>243</v>
      </c>
      <c r="B158" t="s">
        <v>242</v>
      </c>
      <c r="C158" t="s">
        <v>1492</v>
      </c>
      <c r="D158">
        <v>0</v>
      </c>
      <c r="E158" s="329">
        <v>110</v>
      </c>
      <c r="F158" t="s">
        <v>1495</v>
      </c>
      <c r="G158">
        <v>1</v>
      </c>
      <c r="H158" t="s">
        <v>1756</v>
      </c>
      <c r="I158">
        <v>0</v>
      </c>
      <c r="J158" t="s">
        <v>1470</v>
      </c>
    </row>
    <row r="159" spans="1:10" x14ac:dyDescent="0.2">
      <c r="A159" t="s">
        <v>447</v>
      </c>
      <c r="B159" t="s">
        <v>446</v>
      </c>
      <c r="C159" t="s">
        <v>1492</v>
      </c>
      <c r="D159">
        <v>0</v>
      </c>
      <c r="E159" s="329">
        <v>120</v>
      </c>
      <c r="F159" t="s">
        <v>1495</v>
      </c>
      <c r="G159">
        <v>1</v>
      </c>
      <c r="H159" t="s">
        <v>1756</v>
      </c>
      <c r="I159">
        <v>0</v>
      </c>
      <c r="J159" t="s">
        <v>1470</v>
      </c>
    </row>
    <row r="160" spans="1:10" x14ac:dyDescent="0.2">
      <c r="A160" t="s">
        <v>515</v>
      </c>
      <c r="B160" t="s">
        <v>514</v>
      </c>
      <c r="C160" t="s">
        <v>1492</v>
      </c>
      <c r="D160">
        <v>0</v>
      </c>
      <c r="E160" s="329">
        <v>130</v>
      </c>
      <c r="F160" t="s">
        <v>1495</v>
      </c>
      <c r="G160">
        <v>1</v>
      </c>
      <c r="H160" t="s">
        <v>1756</v>
      </c>
      <c r="I160">
        <v>0</v>
      </c>
      <c r="J160" t="s">
        <v>1470</v>
      </c>
    </row>
    <row r="161" spans="1:10" x14ac:dyDescent="0.2">
      <c r="A161" t="s">
        <v>533</v>
      </c>
      <c r="B161" t="s">
        <v>532</v>
      </c>
      <c r="C161" t="s">
        <v>1492</v>
      </c>
      <c r="D161">
        <v>0</v>
      </c>
      <c r="E161" s="329">
        <v>170</v>
      </c>
      <c r="F161" t="s">
        <v>1495</v>
      </c>
      <c r="G161">
        <v>1</v>
      </c>
      <c r="H161" t="s">
        <v>1756</v>
      </c>
      <c r="I161">
        <v>0</v>
      </c>
      <c r="J161" t="s">
        <v>1470</v>
      </c>
    </row>
    <row r="162" spans="1:10" x14ac:dyDescent="0.2">
      <c r="A162" t="s">
        <v>633</v>
      </c>
      <c r="B162" t="s">
        <v>632</v>
      </c>
      <c r="C162" t="s">
        <v>1492</v>
      </c>
      <c r="D162">
        <v>0</v>
      </c>
      <c r="E162" s="329">
        <v>160</v>
      </c>
      <c r="F162" t="s">
        <v>1495</v>
      </c>
      <c r="G162">
        <v>1</v>
      </c>
      <c r="H162" t="s">
        <v>1756</v>
      </c>
      <c r="I162">
        <v>0</v>
      </c>
      <c r="J162" t="s">
        <v>1470</v>
      </c>
    </row>
    <row r="163" spans="1:10" x14ac:dyDescent="0.2">
      <c r="A163" t="s">
        <v>699</v>
      </c>
      <c r="B163" t="s">
        <v>698</v>
      </c>
      <c r="C163" t="s">
        <v>1492</v>
      </c>
      <c r="D163">
        <v>0</v>
      </c>
      <c r="E163" s="329">
        <v>105</v>
      </c>
      <c r="F163" t="s">
        <v>1495</v>
      </c>
      <c r="G163">
        <v>1</v>
      </c>
      <c r="H163" t="s">
        <v>1756</v>
      </c>
      <c r="I163">
        <v>0</v>
      </c>
      <c r="J163" t="s">
        <v>1470</v>
      </c>
    </row>
    <row r="164" spans="1:10" x14ac:dyDescent="0.2">
      <c r="A164" t="s">
        <v>755</v>
      </c>
      <c r="B164" t="s">
        <v>754</v>
      </c>
      <c r="C164" t="s">
        <v>1492</v>
      </c>
      <c r="D164">
        <v>0</v>
      </c>
      <c r="E164" s="329">
        <v>160</v>
      </c>
      <c r="F164" t="s">
        <v>1495</v>
      </c>
      <c r="G164">
        <v>1</v>
      </c>
      <c r="H164" t="s">
        <v>1756</v>
      </c>
      <c r="I164">
        <v>0</v>
      </c>
      <c r="J164" t="s">
        <v>1470</v>
      </c>
    </row>
    <row r="165" spans="1:10" x14ac:dyDescent="0.2">
      <c r="A165" t="s">
        <v>1020</v>
      </c>
      <c r="B165" t="s">
        <v>1019</v>
      </c>
      <c r="C165" t="s">
        <v>1492</v>
      </c>
      <c r="D165">
        <v>0</v>
      </c>
      <c r="E165" s="329">
        <v>120</v>
      </c>
      <c r="F165" t="s">
        <v>1495</v>
      </c>
      <c r="G165">
        <v>1</v>
      </c>
      <c r="H165" t="s">
        <v>1756</v>
      </c>
      <c r="I165">
        <v>0</v>
      </c>
      <c r="J165" t="s">
        <v>1470</v>
      </c>
    </row>
    <row r="166" spans="1:10" x14ac:dyDescent="0.2">
      <c r="A166" t="s">
        <v>15</v>
      </c>
      <c r="B166" t="s">
        <v>14</v>
      </c>
      <c r="C166" t="s">
        <v>1492</v>
      </c>
      <c r="D166">
        <v>0</v>
      </c>
      <c r="E166" s="329">
        <v>100</v>
      </c>
      <c r="F166" t="s">
        <v>1495</v>
      </c>
      <c r="G166">
        <v>1</v>
      </c>
      <c r="H166" t="s">
        <v>1756</v>
      </c>
      <c r="I166">
        <v>0</v>
      </c>
      <c r="J166" t="s">
        <v>1470</v>
      </c>
    </row>
    <row r="167" spans="1:10" x14ac:dyDescent="0.2">
      <c r="A167" t="s">
        <v>139</v>
      </c>
      <c r="B167" t="s">
        <v>138</v>
      </c>
      <c r="C167" t="s">
        <v>1492</v>
      </c>
      <c r="D167">
        <v>0</v>
      </c>
      <c r="E167" s="329">
        <v>120</v>
      </c>
      <c r="F167" t="s">
        <v>1495</v>
      </c>
      <c r="G167">
        <v>1</v>
      </c>
      <c r="H167" t="s">
        <v>1756</v>
      </c>
      <c r="I167">
        <v>0</v>
      </c>
      <c r="J167" t="s">
        <v>1470</v>
      </c>
    </row>
    <row r="168" spans="1:10" x14ac:dyDescent="0.2">
      <c r="A168" t="s">
        <v>192</v>
      </c>
      <c r="B168" t="s">
        <v>191</v>
      </c>
      <c r="C168" t="s">
        <v>1492</v>
      </c>
      <c r="D168">
        <v>0</v>
      </c>
      <c r="E168" s="329">
        <v>170</v>
      </c>
      <c r="F168" t="s">
        <v>1495</v>
      </c>
      <c r="G168">
        <v>1</v>
      </c>
      <c r="H168" t="s">
        <v>1756</v>
      </c>
      <c r="I168">
        <v>0</v>
      </c>
      <c r="J168" t="s">
        <v>1470</v>
      </c>
    </row>
    <row r="169" spans="1:10" x14ac:dyDescent="0.2">
      <c r="A169" t="s">
        <v>213</v>
      </c>
      <c r="B169" t="s">
        <v>212</v>
      </c>
      <c r="C169" t="s">
        <v>1492</v>
      </c>
      <c r="D169">
        <v>0</v>
      </c>
      <c r="E169" s="329">
        <v>120</v>
      </c>
      <c r="F169" t="s">
        <v>1495</v>
      </c>
      <c r="G169">
        <v>1</v>
      </c>
      <c r="H169" t="s">
        <v>1756</v>
      </c>
      <c r="I169">
        <v>0</v>
      </c>
      <c r="J169" t="s">
        <v>1470</v>
      </c>
    </row>
    <row r="170" spans="1:10" x14ac:dyDescent="0.2">
      <c r="A170" t="s">
        <v>233</v>
      </c>
      <c r="B170" t="s">
        <v>232</v>
      </c>
      <c r="C170" t="s">
        <v>1492</v>
      </c>
      <c r="D170">
        <v>0</v>
      </c>
      <c r="E170" s="329">
        <v>150</v>
      </c>
      <c r="F170" t="s">
        <v>1495</v>
      </c>
      <c r="G170">
        <v>1</v>
      </c>
      <c r="H170" t="s">
        <v>1756</v>
      </c>
      <c r="I170">
        <v>0</v>
      </c>
      <c r="J170" t="s">
        <v>1470</v>
      </c>
    </row>
    <row r="171" spans="1:10" x14ac:dyDescent="0.2">
      <c r="A171" t="s">
        <v>281</v>
      </c>
      <c r="B171" t="s">
        <v>280</v>
      </c>
      <c r="C171" t="s">
        <v>1492</v>
      </c>
      <c r="D171">
        <v>0</v>
      </c>
      <c r="E171" s="329">
        <v>112</v>
      </c>
      <c r="F171" t="s">
        <v>1495</v>
      </c>
      <c r="G171">
        <v>1</v>
      </c>
      <c r="H171" t="s">
        <v>1756</v>
      </c>
      <c r="I171">
        <v>0</v>
      </c>
      <c r="J171" t="s">
        <v>1470</v>
      </c>
    </row>
    <row r="172" spans="1:10" x14ac:dyDescent="0.2">
      <c r="A172" t="s">
        <v>408</v>
      </c>
      <c r="B172" t="s">
        <v>407</v>
      </c>
      <c r="C172" t="s">
        <v>1492</v>
      </c>
      <c r="D172">
        <v>0</v>
      </c>
      <c r="E172" s="329">
        <v>110</v>
      </c>
      <c r="F172" t="s">
        <v>1495</v>
      </c>
      <c r="G172">
        <v>1</v>
      </c>
      <c r="H172" t="s">
        <v>1756</v>
      </c>
      <c r="I172">
        <v>0</v>
      </c>
      <c r="J172" t="s">
        <v>1470</v>
      </c>
    </row>
    <row r="173" spans="1:10" x14ac:dyDescent="0.2">
      <c r="A173" t="s">
        <v>486</v>
      </c>
      <c r="B173" t="s">
        <v>485</v>
      </c>
      <c r="C173" t="s">
        <v>1492</v>
      </c>
      <c r="D173">
        <v>0</v>
      </c>
      <c r="E173" s="329">
        <v>130</v>
      </c>
      <c r="F173" t="s">
        <v>1495</v>
      </c>
      <c r="G173">
        <v>1</v>
      </c>
      <c r="H173" t="s">
        <v>1756</v>
      </c>
      <c r="I173">
        <v>0</v>
      </c>
      <c r="J173" t="s">
        <v>1470</v>
      </c>
    </row>
    <row r="174" spans="1:10" x14ac:dyDescent="0.2">
      <c r="A174" t="s">
        <v>559</v>
      </c>
      <c r="B174" t="s">
        <v>558</v>
      </c>
      <c r="C174" t="s">
        <v>1492</v>
      </c>
      <c r="D174">
        <v>0</v>
      </c>
      <c r="E174" s="329">
        <v>112</v>
      </c>
      <c r="F174" t="s">
        <v>1495</v>
      </c>
      <c r="G174">
        <v>1</v>
      </c>
      <c r="H174" t="s">
        <v>1756</v>
      </c>
      <c r="I174">
        <v>0</v>
      </c>
      <c r="J174" t="s">
        <v>1470</v>
      </c>
    </row>
    <row r="175" spans="1:10" x14ac:dyDescent="0.2">
      <c r="A175" t="s">
        <v>603</v>
      </c>
      <c r="B175" t="s">
        <v>602</v>
      </c>
      <c r="C175" t="s">
        <v>1492</v>
      </c>
      <c r="D175">
        <v>0</v>
      </c>
      <c r="E175" s="329">
        <v>150</v>
      </c>
      <c r="F175" t="s">
        <v>1495</v>
      </c>
      <c r="G175">
        <v>1</v>
      </c>
      <c r="H175" t="s">
        <v>1756</v>
      </c>
      <c r="I175">
        <v>0</v>
      </c>
      <c r="J175" t="s">
        <v>1470</v>
      </c>
    </row>
    <row r="176" spans="1:10" x14ac:dyDescent="0.2">
      <c r="A176" t="s">
        <v>615</v>
      </c>
      <c r="B176" t="s">
        <v>614</v>
      </c>
      <c r="C176" t="s">
        <v>1492</v>
      </c>
      <c r="D176">
        <v>0</v>
      </c>
      <c r="E176" s="329">
        <v>120</v>
      </c>
      <c r="F176" t="s">
        <v>1495</v>
      </c>
      <c r="G176">
        <v>1</v>
      </c>
      <c r="H176" t="s">
        <v>1756</v>
      </c>
      <c r="I176">
        <v>0</v>
      </c>
      <c r="J176" t="s">
        <v>1470</v>
      </c>
    </row>
    <row r="177" spans="1:10" x14ac:dyDescent="0.2">
      <c r="A177" t="s">
        <v>647</v>
      </c>
      <c r="B177" t="s">
        <v>646</v>
      </c>
      <c r="C177" t="s">
        <v>1492</v>
      </c>
      <c r="D177">
        <v>0</v>
      </c>
      <c r="E177" s="329">
        <v>100</v>
      </c>
      <c r="F177" t="s">
        <v>1495</v>
      </c>
      <c r="G177">
        <v>1</v>
      </c>
      <c r="H177" t="s">
        <v>1756</v>
      </c>
      <c r="I177">
        <v>0</v>
      </c>
      <c r="J177" t="s">
        <v>1470</v>
      </c>
    </row>
    <row r="178" spans="1:10" x14ac:dyDescent="0.2">
      <c r="A178" t="s">
        <v>749</v>
      </c>
      <c r="B178" t="s">
        <v>748</v>
      </c>
      <c r="C178" t="s">
        <v>1492</v>
      </c>
      <c r="D178">
        <v>0</v>
      </c>
      <c r="E178" s="329">
        <v>150</v>
      </c>
      <c r="F178" t="s">
        <v>1495</v>
      </c>
      <c r="G178">
        <v>1</v>
      </c>
      <c r="H178" t="s">
        <v>1756</v>
      </c>
      <c r="I178">
        <v>0</v>
      </c>
      <c r="J178" t="s">
        <v>1470</v>
      </c>
    </row>
    <row r="179" spans="1:10" x14ac:dyDescent="0.2">
      <c r="A179" t="s">
        <v>823</v>
      </c>
      <c r="B179" t="s">
        <v>822</v>
      </c>
      <c r="C179" t="s">
        <v>1492</v>
      </c>
      <c r="D179">
        <v>0</v>
      </c>
      <c r="E179" s="329">
        <v>130</v>
      </c>
      <c r="F179" t="s">
        <v>1495</v>
      </c>
      <c r="G179">
        <v>1</v>
      </c>
      <c r="H179" t="s">
        <v>1756</v>
      </c>
      <c r="I179">
        <v>0</v>
      </c>
      <c r="J179" t="s">
        <v>1470</v>
      </c>
    </row>
    <row r="180" spans="1:10" x14ac:dyDescent="0.2">
      <c r="A180" t="s">
        <v>873</v>
      </c>
      <c r="B180" t="s">
        <v>872</v>
      </c>
      <c r="C180" t="s">
        <v>1492</v>
      </c>
      <c r="D180">
        <v>0</v>
      </c>
      <c r="E180" s="329">
        <v>110</v>
      </c>
      <c r="F180" t="s">
        <v>1495</v>
      </c>
      <c r="G180">
        <v>1</v>
      </c>
      <c r="H180" t="s">
        <v>1756</v>
      </c>
      <c r="I180">
        <v>0</v>
      </c>
      <c r="J180" t="s">
        <v>1470</v>
      </c>
    </row>
    <row r="181" spans="1:10" x14ac:dyDescent="0.2">
      <c r="A181" t="s">
        <v>888</v>
      </c>
      <c r="B181" t="s">
        <v>887</v>
      </c>
      <c r="C181" t="s">
        <v>1492</v>
      </c>
      <c r="D181">
        <v>0</v>
      </c>
      <c r="E181" s="329">
        <v>136</v>
      </c>
      <c r="F181" t="s">
        <v>1495</v>
      </c>
      <c r="G181">
        <v>1</v>
      </c>
      <c r="H181" t="s">
        <v>1756</v>
      </c>
      <c r="I181">
        <v>0</v>
      </c>
      <c r="J181" t="s">
        <v>1470</v>
      </c>
    </row>
    <row r="182" spans="1:10" x14ac:dyDescent="0.2">
      <c r="A182" t="s">
        <v>912</v>
      </c>
      <c r="B182" t="s">
        <v>911</v>
      </c>
      <c r="C182" t="s">
        <v>1492</v>
      </c>
      <c r="D182">
        <v>0</v>
      </c>
      <c r="E182" s="329">
        <v>119</v>
      </c>
      <c r="F182" t="s">
        <v>1495</v>
      </c>
      <c r="G182">
        <v>1</v>
      </c>
      <c r="H182" t="s">
        <v>1756</v>
      </c>
      <c r="I182">
        <v>0</v>
      </c>
      <c r="J182" t="s">
        <v>1470</v>
      </c>
    </row>
    <row r="183" spans="1:10" x14ac:dyDescent="0.2">
      <c r="A183" t="s">
        <v>957</v>
      </c>
      <c r="B183" t="s">
        <v>956</v>
      </c>
      <c r="C183" t="s">
        <v>1492</v>
      </c>
      <c r="D183">
        <v>0</v>
      </c>
      <c r="E183" s="329">
        <v>120</v>
      </c>
      <c r="F183" t="s">
        <v>1495</v>
      </c>
      <c r="G183">
        <v>1</v>
      </c>
      <c r="H183" t="s">
        <v>1756</v>
      </c>
      <c r="I183">
        <v>0</v>
      </c>
      <c r="J183" t="s">
        <v>1470</v>
      </c>
    </row>
    <row r="184" spans="1:10" x14ac:dyDescent="0.2">
      <c r="A184" t="s">
        <v>1085</v>
      </c>
      <c r="B184" t="s">
        <v>1084</v>
      </c>
      <c r="C184" t="s">
        <v>1492</v>
      </c>
      <c r="D184">
        <v>0</v>
      </c>
      <c r="E184" s="329">
        <v>112</v>
      </c>
      <c r="F184" t="s">
        <v>1495</v>
      </c>
      <c r="G184">
        <v>1</v>
      </c>
      <c r="H184" t="s">
        <v>1756</v>
      </c>
      <c r="I184">
        <v>0</v>
      </c>
      <c r="J184" t="s">
        <v>1470</v>
      </c>
    </row>
    <row r="185" spans="1:10" x14ac:dyDescent="0.2">
      <c r="A185" t="s">
        <v>1104</v>
      </c>
      <c r="B185" t="s">
        <v>1103</v>
      </c>
      <c r="C185" t="s">
        <v>1492</v>
      </c>
      <c r="D185">
        <v>0</v>
      </c>
      <c r="E185" s="329">
        <v>112</v>
      </c>
      <c r="F185" t="s">
        <v>1495</v>
      </c>
      <c r="G185">
        <v>1</v>
      </c>
      <c r="H185" t="s">
        <v>1756</v>
      </c>
      <c r="I185">
        <v>0</v>
      </c>
      <c r="J185" t="s">
        <v>1470</v>
      </c>
    </row>
    <row r="186" spans="1:10" x14ac:dyDescent="0.2">
      <c r="A186" t="s">
        <v>1109</v>
      </c>
      <c r="B186" t="s">
        <v>1108</v>
      </c>
      <c r="C186" t="s">
        <v>1492</v>
      </c>
      <c r="D186">
        <v>0</v>
      </c>
      <c r="E186" s="329">
        <v>110</v>
      </c>
      <c r="F186" t="s">
        <v>1495</v>
      </c>
      <c r="G186">
        <v>1</v>
      </c>
      <c r="H186" t="s">
        <v>1756</v>
      </c>
      <c r="I186">
        <v>0</v>
      </c>
      <c r="J186" t="s">
        <v>1470</v>
      </c>
    </row>
    <row r="187" spans="1:10" x14ac:dyDescent="0.2">
      <c r="A187" t="s">
        <v>1131</v>
      </c>
      <c r="B187" t="s">
        <v>162</v>
      </c>
      <c r="C187" t="s">
        <v>1492</v>
      </c>
      <c r="D187">
        <v>0</v>
      </c>
      <c r="E187" s="329">
        <v>120</v>
      </c>
      <c r="F187" t="s">
        <v>1495</v>
      </c>
      <c r="G187">
        <v>1</v>
      </c>
      <c r="H187" t="s">
        <v>1756</v>
      </c>
      <c r="I187">
        <v>0</v>
      </c>
      <c r="J187" t="s">
        <v>1470</v>
      </c>
    </row>
    <row r="188" spans="1:10" x14ac:dyDescent="0.2">
      <c r="A188" t="s">
        <v>1132</v>
      </c>
      <c r="B188" t="s">
        <v>132</v>
      </c>
      <c r="C188" t="s">
        <v>1492</v>
      </c>
      <c r="D188">
        <v>0</v>
      </c>
      <c r="E188" s="329">
        <v>140</v>
      </c>
      <c r="F188" t="s">
        <v>1495</v>
      </c>
      <c r="G188">
        <v>1</v>
      </c>
      <c r="H188" t="s">
        <v>1756</v>
      </c>
      <c r="I188">
        <v>0</v>
      </c>
      <c r="J188" t="s">
        <v>1470</v>
      </c>
    </row>
    <row r="189" spans="1:10" x14ac:dyDescent="0.2">
      <c r="A189" t="s">
        <v>1175</v>
      </c>
      <c r="B189" t="s">
        <v>1174</v>
      </c>
      <c r="C189" t="s">
        <v>1492</v>
      </c>
      <c r="D189">
        <v>0</v>
      </c>
      <c r="E189" s="329">
        <v>136</v>
      </c>
      <c r="F189" t="s">
        <v>1495</v>
      </c>
      <c r="G189">
        <v>1</v>
      </c>
      <c r="H189" t="s">
        <v>1756</v>
      </c>
      <c r="I189">
        <v>0</v>
      </c>
      <c r="J189" t="s">
        <v>1470</v>
      </c>
    </row>
    <row r="190" spans="1:10" x14ac:dyDescent="0.2">
      <c r="A190" t="s">
        <v>1177</v>
      </c>
      <c r="B190" t="s">
        <v>120</v>
      </c>
      <c r="C190" t="s">
        <v>1492</v>
      </c>
      <c r="D190">
        <v>0</v>
      </c>
      <c r="E190" s="329">
        <v>100</v>
      </c>
      <c r="F190" t="s">
        <v>1495</v>
      </c>
      <c r="G190">
        <v>1</v>
      </c>
      <c r="H190" t="s">
        <v>1756</v>
      </c>
      <c r="I190">
        <v>0</v>
      </c>
      <c r="J190" t="s">
        <v>1470</v>
      </c>
    </row>
    <row r="191" spans="1:10" x14ac:dyDescent="0.2">
      <c r="A191" t="s">
        <v>1200</v>
      </c>
      <c r="B191" t="s">
        <v>1199</v>
      </c>
      <c r="C191" t="s">
        <v>1492</v>
      </c>
      <c r="D191">
        <v>0</v>
      </c>
      <c r="E191" s="329">
        <v>112</v>
      </c>
      <c r="F191" t="s">
        <v>1495</v>
      </c>
      <c r="G191">
        <v>1</v>
      </c>
      <c r="H191" t="s">
        <v>1756</v>
      </c>
      <c r="I191">
        <v>0</v>
      </c>
      <c r="J191" t="s">
        <v>1470</v>
      </c>
    </row>
    <row r="192" spans="1:10" x14ac:dyDescent="0.2">
      <c r="A192" t="s">
        <v>1249</v>
      </c>
      <c r="B192" t="s">
        <v>1248</v>
      </c>
      <c r="C192" t="s">
        <v>1492</v>
      </c>
      <c r="D192">
        <v>0</v>
      </c>
      <c r="E192" s="329">
        <v>105</v>
      </c>
      <c r="F192" t="s">
        <v>1495</v>
      </c>
      <c r="G192">
        <v>1</v>
      </c>
      <c r="H192" t="s">
        <v>1756</v>
      </c>
      <c r="I192">
        <v>0</v>
      </c>
      <c r="J192" t="s">
        <v>1470</v>
      </c>
    </row>
    <row r="193" spans="1:10" x14ac:dyDescent="0.2">
      <c r="A193" t="s">
        <v>1260</v>
      </c>
      <c r="B193" t="s">
        <v>1111</v>
      </c>
      <c r="C193" t="s">
        <v>1492</v>
      </c>
      <c r="D193">
        <v>0</v>
      </c>
      <c r="E193" s="329">
        <v>112</v>
      </c>
      <c r="F193" t="s">
        <v>1495</v>
      </c>
      <c r="G193">
        <v>1</v>
      </c>
      <c r="H193" t="s">
        <v>1756</v>
      </c>
      <c r="I193">
        <v>0</v>
      </c>
      <c r="J193" t="s">
        <v>1470</v>
      </c>
    </row>
    <row r="194" spans="1:10" x14ac:dyDescent="0.2">
      <c r="A194" t="s">
        <v>1279</v>
      </c>
      <c r="B194" t="s">
        <v>37</v>
      </c>
      <c r="C194" t="s">
        <v>1492</v>
      </c>
      <c r="D194">
        <v>0</v>
      </c>
      <c r="E194" s="329">
        <v>110</v>
      </c>
      <c r="F194" t="s">
        <v>1495</v>
      </c>
      <c r="G194">
        <v>1</v>
      </c>
      <c r="H194" t="s">
        <v>1756</v>
      </c>
      <c r="I194">
        <v>0</v>
      </c>
      <c r="J194" t="s">
        <v>1470</v>
      </c>
    </row>
    <row r="195" spans="1:10" x14ac:dyDescent="0.2">
      <c r="A195" t="s">
        <v>1282</v>
      </c>
      <c r="B195" t="s">
        <v>1281</v>
      </c>
      <c r="C195" t="s">
        <v>1492</v>
      </c>
      <c r="D195">
        <v>0</v>
      </c>
      <c r="E195" s="329">
        <v>365</v>
      </c>
      <c r="F195" t="s">
        <v>1495</v>
      </c>
      <c r="G195">
        <v>1</v>
      </c>
      <c r="H195" t="s">
        <v>1756</v>
      </c>
      <c r="I195">
        <v>0</v>
      </c>
      <c r="J195" t="s">
        <v>1470</v>
      </c>
    </row>
    <row r="196" spans="1:10" x14ac:dyDescent="0.2">
      <c r="A196" t="s">
        <v>1291</v>
      </c>
      <c r="B196" t="s">
        <v>1290</v>
      </c>
      <c r="C196" t="s">
        <v>1492</v>
      </c>
      <c r="D196">
        <v>0</v>
      </c>
      <c r="E196" s="329">
        <v>120</v>
      </c>
      <c r="F196" t="s">
        <v>1495</v>
      </c>
      <c r="G196">
        <v>1</v>
      </c>
      <c r="H196" t="s">
        <v>1756</v>
      </c>
      <c r="I196">
        <v>0</v>
      </c>
      <c r="J196" t="s">
        <v>1470</v>
      </c>
    </row>
    <row r="197" spans="1:10" x14ac:dyDescent="0.2">
      <c r="A197" t="s">
        <v>1302</v>
      </c>
      <c r="B197" t="s">
        <v>383</v>
      </c>
      <c r="C197" t="s">
        <v>1492</v>
      </c>
      <c r="D197">
        <v>0</v>
      </c>
      <c r="E197" s="329">
        <v>112</v>
      </c>
      <c r="F197" t="s">
        <v>1495</v>
      </c>
      <c r="G197">
        <v>1</v>
      </c>
      <c r="H197" t="s">
        <v>1756</v>
      </c>
      <c r="I197">
        <v>0</v>
      </c>
      <c r="J197" t="s">
        <v>1470</v>
      </c>
    </row>
    <row r="198" spans="1:10" x14ac:dyDescent="0.2">
      <c r="A198" t="s">
        <v>1307</v>
      </c>
      <c r="B198" t="s">
        <v>1208</v>
      </c>
      <c r="C198" t="s">
        <v>1492</v>
      </c>
      <c r="D198">
        <v>0</v>
      </c>
      <c r="E198" s="329">
        <v>112</v>
      </c>
      <c r="F198" t="s">
        <v>1495</v>
      </c>
      <c r="G198">
        <v>1</v>
      </c>
      <c r="H198" t="s">
        <v>1756</v>
      </c>
      <c r="I198">
        <v>0</v>
      </c>
      <c r="J198" t="s">
        <v>1470</v>
      </c>
    </row>
    <row r="199" spans="1:10" x14ac:dyDescent="0.2">
      <c r="A199" t="s">
        <v>1314</v>
      </c>
      <c r="B199" t="s">
        <v>1313</v>
      </c>
      <c r="C199" t="s">
        <v>1492</v>
      </c>
      <c r="D199">
        <v>0</v>
      </c>
      <c r="E199" s="329">
        <v>140</v>
      </c>
      <c r="F199" t="s">
        <v>1495</v>
      </c>
      <c r="G199">
        <v>1</v>
      </c>
      <c r="H199" t="s">
        <v>1756</v>
      </c>
      <c r="I199">
        <v>0</v>
      </c>
      <c r="J199" t="s">
        <v>1470</v>
      </c>
    </row>
    <row r="200" spans="1:10" x14ac:dyDescent="0.2">
      <c r="A200" t="s">
        <v>1339</v>
      </c>
      <c r="B200" t="s">
        <v>31</v>
      </c>
      <c r="C200" t="s">
        <v>1492</v>
      </c>
      <c r="D200">
        <v>0</v>
      </c>
      <c r="E200" s="329">
        <v>160</v>
      </c>
      <c r="F200" t="s">
        <v>1495</v>
      </c>
      <c r="G200">
        <v>1</v>
      </c>
      <c r="H200" t="s">
        <v>1756</v>
      </c>
      <c r="I200">
        <v>0</v>
      </c>
      <c r="J200" t="s">
        <v>1470</v>
      </c>
    </row>
    <row r="201" spans="1:10" x14ac:dyDescent="0.2">
      <c r="A201" t="s">
        <v>1346</v>
      </c>
      <c r="B201" t="s">
        <v>400</v>
      </c>
      <c r="C201" t="s">
        <v>1492</v>
      </c>
      <c r="D201">
        <v>0</v>
      </c>
      <c r="E201" s="329">
        <v>110</v>
      </c>
      <c r="F201" t="s">
        <v>1495</v>
      </c>
      <c r="G201">
        <v>1</v>
      </c>
      <c r="H201" t="s">
        <v>1756</v>
      </c>
      <c r="I201">
        <v>0</v>
      </c>
      <c r="J201" t="s">
        <v>1470</v>
      </c>
    </row>
    <row r="202" spans="1:10" x14ac:dyDescent="0.2">
      <c r="A202" t="s">
        <v>1349</v>
      </c>
      <c r="B202" t="s">
        <v>1348</v>
      </c>
      <c r="C202" t="s">
        <v>1492</v>
      </c>
      <c r="D202">
        <v>0</v>
      </c>
      <c r="E202" s="329">
        <v>120</v>
      </c>
      <c r="F202" t="s">
        <v>1495</v>
      </c>
      <c r="G202">
        <v>1</v>
      </c>
      <c r="H202" t="s">
        <v>1756</v>
      </c>
      <c r="I202">
        <v>0</v>
      </c>
      <c r="J202" t="s">
        <v>1470</v>
      </c>
    </row>
    <row r="203" spans="1:10" x14ac:dyDescent="0.2">
      <c r="A203" t="s">
        <v>1358</v>
      </c>
      <c r="B203" t="s">
        <v>37</v>
      </c>
      <c r="C203" t="s">
        <v>1492</v>
      </c>
      <c r="D203">
        <v>0</v>
      </c>
      <c r="E203" s="329">
        <v>100</v>
      </c>
      <c r="F203" t="s">
        <v>1495</v>
      </c>
      <c r="G203">
        <v>1</v>
      </c>
      <c r="H203" t="s">
        <v>1756</v>
      </c>
      <c r="I203">
        <v>0</v>
      </c>
      <c r="J203" t="s">
        <v>1470</v>
      </c>
    </row>
    <row r="204" spans="1:10" x14ac:dyDescent="0.2">
      <c r="A204" t="s">
        <v>1363</v>
      </c>
      <c r="B204" t="s">
        <v>1362</v>
      </c>
      <c r="C204" t="s">
        <v>1492</v>
      </c>
      <c r="D204">
        <v>0</v>
      </c>
      <c r="E204" s="329">
        <v>102</v>
      </c>
      <c r="F204" t="s">
        <v>1495</v>
      </c>
      <c r="G204">
        <v>1</v>
      </c>
      <c r="H204" t="s">
        <v>1756</v>
      </c>
      <c r="I204">
        <v>0</v>
      </c>
      <c r="J204" t="s">
        <v>1470</v>
      </c>
    </row>
    <row r="205" spans="1:10" x14ac:dyDescent="0.2">
      <c r="A205" t="s">
        <v>1368</v>
      </c>
      <c r="B205" t="s">
        <v>971</v>
      </c>
      <c r="C205" t="s">
        <v>1492</v>
      </c>
      <c r="D205">
        <v>0</v>
      </c>
      <c r="E205" s="329">
        <v>160</v>
      </c>
      <c r="F205" t="s">
        <v>1495</v>
      </c>
      <c r="G205">
        <v>1</v>
      </c>
      <c r="H205" t="s">
        <v>1756</v>
      </c>
      <c r="I205">
        <v>0</v>
      </c>
      <c r="J205" t="s">
        <v>1470</v>
      </c>
    </row>
    <row r="206" spans="1:10" x14ac:dyDescent="0.2">
      <c r="A206" t="s">
        <v>1372</v>
      </c>
      <c r="B206" t="s">
        <v>383</v>
      </c>
      <c r="C206" t="s">
        <v>1492</v>
      </c>
      <c r="D206">
        <v>0</v>
      </c>
      <c r="E206" s="329">
        <v>160</v>
      </c>
      <c r="F206" t="s">
        <v>1495</v>
      </c>
      <c r="G206">
        <v>1</v>
      </c>
      <c r="H206" t="s">
        <v>1756</v>
      </c>
      <c r="I206">
        <v>0</v>
      </c>
      <c r="J206" t="s">
        <v>1470</v>
      </c>
    </row>
    <row r="207" spans="1:10" x14ac:dyDescent="0.2">
      <c r="A207" t="s">
        <v>1380</v>
      </c>
      <c r="B207" t="s">
        <v>135</v>
      </c>
      <c r="C207" t="s">
        <v>1492</v>
      </c>
      <c r="D207">
        <v>0</v>
      </c>
      <c r="E207" s="329">
        <v>160</v>
      </c>
      <c r="F207" t="s">
        <v>1495</v>
      </c>
      <c r="G207">
        <v>1</v>
      </c>
      <c r="H207" t="s">
        <v>1756</v>
      </c>
      <c r="I207">
        <v>0</v>
      </c>
      <c r="J207" t="s">
        <v>1470</v>
      </c>
    </row>
    <row r="208" spans="1:10" x14ac:dyDescent="0.2">
      <c r="A208" t="s">
        <v>1419</v>
      </c>
      <c r="B208" t="s">
        <v>120</v>
      </c>
      <c r="C208" t="s">
        <v>1492</v>
      </c>
      <c r="D208">
        <v>0</v>
      </c>
      <c r="E208" s="329">
        <v>100</v>
      </c>
      <c r="F208" t="s">
        <v>1495</v>
      </c>
      <c r="G208">
        <v>1</v>
      </c>
      <c r="H208" t="s">
        <v>1756</v>
      </c>
      <c r="I208">
        <v>0</v>
      </c>
      <c r="J208" t="s">
        <v>1470</v>
      </c>
    </row>
    <row r="209" spans="1:10" x14ac:dyDescent="0.2">
      <c r="A209" t="s">
        <v>1439</v>
      </c>
      <c r="B209" t="s">
        <v>607</v>
      </c>
      <c r="C209" t="s">
        <v>1492</v>
      </c>
      <c r="D209">
        <v>0</v>
      </c>
      <c r="E209" s="329">
        <v>100</v>
      </c>
      <c r="F209" t="s">
        <v>1495</v>
      </c>
      <c r="G209">
        <v>1</v>
      </c>
      <c r="H209" t="s">
        <v>1756</v>
      </c>
      <c r="I209">
        <v>0</v>
      </c>
      <c r="J209" t="s">
        <v>1470</v>
      </c>
    </row>
    <row r="210" spans="1:10" x14ac:dyDescent="0.2">
      <c r="A210" t="s">
        <v>433</v>
      </c>
      <c r="B210" t="s">
        <v>432</v>
      </c>
      <c r="C210" t="s">
        <v>1494</v>
      </c>
      <c r="D210">
        <v>4.5</v>
      </c>
      <c r="E210" s="329">
        <v>16</v>
      </c>
      <c r="F210" t="s">
        <v>1496</v>
      </c>
      <c r="G210">
        <v>1</v>
      </c>
      <c r="H210" t="s">
        <v>1756</v>
      </c>
      <c r="I210">
        <v>6</v>
      </c>
      <c r="J210" t="s">
        <v>1470</v>
      </c>
    </row>
    <row r="211" spans="1:10" x14ac:dyDescent="0.2">
      <c r="A211" t="s">
        <v>92</v>
      </c>
      <c r="B211" t="s">
        <v>91</v>
      </c>
      <c r="C211" t="s">
        <v>1494</v>
      </c>
      <c r="D211">
        <v>4.2</v>
      </c>
      <c r="E211" s="329">
        <v>20</v>
      </c>
      <c r="F211" t="s">
        <v>1496</v>
      </c>
      <c r="G211">
        <v>1</v>
      </c>
      <c r="H211" t="s">
        <v>1756</v>
      </c>
      <c r="I211">
        <v>5</v>
      </c>
      <c r="J211" t="s">
        <v>1470</v>
      </c>
    </row>
    <row r="212" spans="1:10" x14ac:dyDescent="0.2">
      <c r="A212" t="s">
        <v>843</v>
      </c>
      <c r="B212" t="s">
        <v>842</v>
      </c>
      <c r="C212" t="s">
        <v>1493</v>
      </c>
      <c r="D212">
        <v>3.8</v>
      </c>
      <c r="E212" s="329">
        <v>16</v>
      </c>
      <c r="F212" t="s">
        <v>1496</v>
      </c>
      <c r="G212">
        <v>1</v>
      </c>
      <c r="H212" t="s">
        <v>1756</v>
      </c>
      <c r="I212">
        <v>5</v>
      </c>
      <c r="J212" t="s">
        <v>1470</v>
      </c>
    </row>
    <row r="213" spans="1:10" x14ac:dyDescent="0.2">
      <c r="A213" t="s">
        <v>1074</v>
      </c>
      <c r="B213" t="s">
        <v>432</v>
      </c>
      <c r="C213" t="s">
        <v>1492</v>
      </c>
      <c r="D213">
        <v>0</v>
      </c>
      <c r="E213" s="329">
        <v>16</v>
      </c>
      <c r="F213" t="s">
        <v>1496</v>
      </c>
      <c r="G213">
        <v>1</v>
      </c>
      <c r="H213" t="s">
        <v>1756</v>
      </c>
      <c r="I213">
        <v>0</v>
      </c>
      <c r="J213" t="s">
        <v>1470</v>
      </c>
    </row>
    <row r="214" spans="1:10" x14ac:dyDescent="0.2">
      <c r="A214" t="s">
        <v>653</v>
      </c>
      <c r="B214" t="s">
        <v>652</v>
      </c>
      <c r="C214" t="s">
        <v>1492</v>
      </c>
      <c r="D214">
        <v>0</v>
      </c>
      <c r="E214" s="329">
        <v>20</v>
      </c>
      <c r="F214" t="s">
        <v>1496</v>
      </c>
      <c r="G214">
        <v>1</v>
      </c>
      <c r="H214" t="s">
        <v>1756</v>
      </c>
      <c r="I214">
        <v>0</v>
      </c>
      <c r="J214" t="s">
        <v>1470</v>
      </c>
    </row>
    <row r="215" spans="1:10" x14ac:dyDescent="0.2">
      <c r="A215" t="s">
        <v>275</v>
      </c>
      <c r="B215" t="s">
        <v>274</v>
      </c>
      <c r="C215" t="s">
        <v>1494</v>
      </c>
      <c r="D215">
        <v>5</v>
      </c>
      <c r="E215" s="329">
        <v>48</v>
      </c>
      <c r="F215" t="s">
        <v>1497</v>
      </c>
      <c r="G215">
        <v>1</v>
      </c>
      <c r="H215" t="s">
        <v>1756</v>
      </c>
      <c r="I215">
        <v>3</v>
      </c>
      <c r="J215" t="s">
        <v>1470</v>
      </c>
    </row>
    <row r="216" spans="1:10" x14ac:dyDescent="0.2">
      <c r="A216" t="s">
        <v>518</v>
      </c>
      <c r="B216" t="s">
        <v>517</v>
      </c>
      <c r="C216" t="s">
        <v>1494</v>
      </c>
      <c r="D216">
        <v>5</v>
      </c>
      <c r="E216" s="329">
        <v>45</v>
      </c>
      <c r="F216" t="s">
        <v>1497</v>
      </c>
      <c r="G216">
        <v>2</v>
      </c>
      <c r="H216" t="s">
        <v>1756</v>
      </c>
      <c r="I216">
        <v>2</v>
      </c>
      <c r="J216" t="s">
        <v>1470</v>
      </c>
    </row>
    <row r="217" spans="1:10" x14ac:dyDescent="0.2">
      <c r="A217" t="s">
        <v>1115</v>
      </c>
      <c r="B217" t="s">
        <v>1114</v>
      </c>
      <c r="C217" t="s">
        <v>1494</v>
      </c>
      <c r="D217">
        <v>5</v>
      </c>
      <c r="E217" s="329">
        <v>45</v>
      </c>
      <c r="F217" t="s">
        <v>1497</v>
      </c>
      <c r="G217">
        <v>2</v>
      </c>
      <c r="H217" t="s">
        <v>1756</v>
      </c>
      <c r="I217">
        <v>2</v>
      </c>
      <c r="J217" t="s">
        <v>1470</v>
      </c>
    </row>
    <row r="218" spans="1:10" x14ac:dyDescent="0.2">
      <c r="A218" t="s">
        <v>801</v>
      </c>
      <c r="B218" t="s">
        <v>800</v>
      </c>
      <c r="C218" t="s">
        <v>1494</v>
      </c>
      <c r="D218">
        <v>5</v>
      </c>
      <c r="E218" s="329">
        <v>49</v>
      </c>
      <c r="F218" t="s">
        <v>1497</v>
      </c>
      <c r="G218">
        <v>1</v>
      </c>
      <c r="H218" t="s">
        <v>1756</v>
      </c>
      <c r="I218">
        <v>1</v>
      </c>
      <c r="J218" t="s">
        <v>1470</v>
      </c>
    </row>
    <row r="219" spans="1:10" x14ac:dyDescent="0.2">
      <c r="A219" t="s">
        <v>1322</v>
      </c>
      <c r="B219" t="s">
        <v>1321</v>
      </c>
      <c r="C219" t="s">
        <v>1494</v>
      </c>
      <c r="D219">
        <v>5</v>
      </c>
      <c r="E219" s="329">
        <v>31</v>
      </c>
      <c r="F219" t="s">
        <v>1497</v>
      </c>
      <c r="G219">
        <v>1</v>
      </c>
      <c r="H219" t="s">
        <v>1756</v>
      </c>
      <c r="I219">
        <v>1</v>
      </c>
      <c r="J219" t="s">
        <v>1470</v>
      </c>
    </row>
    <row r="220" spans="1:10" x14ac:dyDescent="0.2">
      <c r="A220" t="s">
        <v>1212</v>
      </c>
      <c r="B220" t="s">
        <v>1211</v>
      </c>
      <c r="C220" t="s">
        <v>1494</v>
      </c>
      <c r="D220">
        <v>4.5</v>
      </c>
      <c r="E220" s="329">
        <v>37</v>
      </c>
      <c r="F220" t="s">
        <v>1497</v>
      </c>
      <c r="G220">
        <v>1</v>
      </c>
      <c r="H220" t="s">
        <v>1756</v>
      </c>
      <c r="I220">
        <v>6</v>
      </c>
      <c r="J220" t="s">
        <v>1470</v>
      </c>
    </row>
    <row r="221" spans="1:10" x14ac:dyDescent="0.2">
      <c r="A221" t="s">
        <v>926</v>
      </c>
      <c r="B221" t="s">
        <v>925</v>
      </c>
      <c r="C221" t="s">
        <v>1494</v>
      </c>
      <c r="D221">
        <v>4.3</v>
      </c>
      <c r="E221" s="329">
        <v>45</v>
      </c>
      <c r="F221" t="s">
        <v>1497</v>
      </c>
      <c r="G221">
        <v>2</v>
      </c>
      <c r="H221" t="s">
        <v>1756</v>
      </c>
      <c r="I221">
        <v>6</v>
      </c>
      <c r="J221" t="s">
        <v>1470</v>
      </c>
    </row>
    <row r="222" spans="1:10" x14ac:dyDescent="0.2">
      <c r="A222" t="s">
        <v>87</v>
      </c>
      <c r="B222" t="s">
        <v>86</v>
      </c>
      <c r="C222" t="s">
        <v>1494</v>
      </c>
      <c r="D222">
        <v>4.3</v>
      </c>
      <c r="E222" s="329">
        <v>25</v>
      </c>
      <c r="F222" t="s">
        <v>1497</v>
      </c>
      <c r="G222">
        <v>1</v>
      </c>
      <c r="H222" t="s">
        <v>1756</v>
      </c>
      <c r="I222">
        <v>4</v>
      </c>
      <c r="J222" t="s">
        <v>1470</v>
      </c>
    </row>
    <row r="223" spans="1:10" x14ac:dyDescent="0.2">
      <c r="A223" t="s">
        <v>597</v>
      </c>
      <c r="B223" t="s">
        <v>596</v>
      </c>
      <c r="C223" t="s">
        <v>1494</v>
      </c>
      <c r="D223">
        <v>4</v>
      </c>
      <c r="E223" s="329">
        <v>40</v>
      </c>
      <c r="F223" t="s">
        <v>1497</v>
      </c>
      <c r="G223">
        <v>1</v>
      </c>
      <c r="H223" t="s">
        <v>1756</v>
      </c>
      <c r="I223">
        <v>1</v>
      </c>
      <c r="J223" t="s">
        <v>1470</v>
      </c>
    </row>
    <row r="224" spans="1:10" x14ac:dyDescent="0.2">
      <c r="A224" t="s">
        <v>773</v>
      </c>
      <c r="B224" t="s">
        <v>772</v>
      </c>
      <c r="C224" t="s">
        <v>1493</v>
      </c>
      <c r="D224">
        <v>3</v>
      </c>
      <c r="E224" s="329">
        <v>28</v>
      </c>
      <c r="F224" t="s">
        <v>1497</v>
      </c>
      <c r="G224">
        <v>1</v>
      </c>
      <c r="H224" t="s">
        <v>1756</v>
      </c>
      <c r="I224">
        <v>5</v>
      </c>
      <c r="J224" t="s">
        <v>1470</v>
      </c>
    </row>
    <row r="225" spans="1:10" x14ac:dyDescent="0.2">
      <c r="A225" t="s">
        <v>1027</v>
      </c>
      <c r="B225" t="s">
        <v>1026</v>
      </c>
      <c r="C225" t="s">
        <v>1492</v>
      </c>
      <c r="D225">
        <v>2</v>
      </c>
      <c r="E225" s="329">
        <v>31</v>
      </c>
      <c r="F225" t="s">
        <v>1497</v>
      </c>
      <c r="G225">
        <v>2</v>
      </c>
      <c r="H225" t="s">
        <v>1756</v>
      </c>
      <c r="I225">
        <v>2</v>
      </c>
      <c r="J225" t="s">
        <v>1470</v>
      </c>
    </row>
    <row r="226" spans="1:10" x14ac:dyDescent="0.2">
      <c r="A226" t="s">
        <v>1188</v>
      </c>
      <c r="B226" t="s">
        <v>716</v>
      </c>
      <c r="C226" t="s">
        <v>1492</v>
      </c>
      <c r="D226">
        <v>2</v>
      </c>
      <c r="E226" s="329">
        <v>45</v>
      </c>
      <c r="F226" t="s">
        <v>1497</v>
      </c>
      <c r="G226">
        <v>1</v>
      </c>
      <c r="H226" t="s">
        <v>1756</v>
      </c>
      <c r="I226">
        <v>1</v>
      </c>
      <c r="J226" t="s">
        <v>1470</v>
      </c>
    </row>
    <row r="227" spans="1:10" x14ac:dyDescent="0.2">
      <c r="A227" t="s">
        <v>1124</v>
      </c>
      <c r="B227" t="s">
        <v>1123</v>
      </c>
      <c r="C227" t="s">
        <v>1492</v>
      </c>
      <c r="D227">
        <v>1.5</v>
      </c>
      <c r="E227" s="329">
        <v>36</v>
      </c>
      <c r="F227" t="s">
        <v>1497</v>
      </c>
      <c r="G227">
        <v>1</v>
      </c>
      <c r="H227" t="s">
        <v>1756</v>
      </c>
      <c r="I227">
        <v>2</v>
      </c>
      <c r="J227" t="s">
        <v>1470</v>
      </c>
    </row>
    <row r="228" spans="1:10" x14ac:dyDescent="0.2">
      <c r="A228" t="s">
        <v>378</v>
      </c>
      <c r="B228" t="s">
        <v>377</v>
      </c>
      <c r="C228" t="s">
        <v>1492</v>
      </c>
      <c r="D228">
        <v>0</v>
      </c>
      <c r="E228" s="329">
        <v>40</v>
      </c>
      <c r="F228" t="s">
        <v>1497</v>
      </c>
      <c r="G228">
        <v>2</v>
      </c>
      <c r="H228" t="s">
        <v>1756</v>
      </c>
      <c r="I228">
        <v>0</v>
      </c>
      <c r="J228" t="s">
        <v>1470</v>
      </c>
    </row>
    <row r="229" spans="1:10" x14ac:dyDescent="0.2">
      <c r="A229" t="s">
        <v>618</v>
      </c>
      <c r="B229" t="s">
        <v>617</v>
      </c>
      <c r="C229" t="s">
        <v>1492</v>
      </c>
      <c r="D229">
        <v>0</v>
      </c>
      <c r="E229" s="329">
        <v>45</v>
      </c>
      <c r="F229" t="s">
        <v>1497</v>
      </c>
      <c r="G229">
        <v>2</v>
      </c>
      <c r="H229" t="s">
        <v>1756</v>
      </c>
      <c r="I229">
        <v>0</v>
      </c>
      <c r="J229" t="s">
        <v>1470</v>
      </c>
    </row>
    <row r="230" spans="1:10" x14ac:dyDescent="0.2">
      <c r="A230" t="s">
        <v>737</v>
      </c>
      <c r="B230" t="s">
        <v>736</v>
      </c>
      <c r="C230" t="s">
        <v>1492</v>
      </c>
      <c r="D230">
        <v>0</v>
      </c>
      <c r="E230" s="329">
        <v>35</v>
      </c>
      <c r="F230" t="s">
        <v>1497</v>
      </c>
      <c r="G230">
        <v>2</v>
      </c>
      <c r="H230" t="s">
        <v>1756</v>
      </c>
      <c r="I230">
        <v>0</v>
      </c>
      <c r="J230" t="s">
        <v>1470</v>
      </c>
    </row>
    <row r="231" spans="1:10" x14ac:dyDescent="0.2">
      <c r="A231" t="s">
        <v>832</v>
      </c>
      <c r="B231" t="s">
        <v>831</v>
      </c>
      <c r="C231" t="s">
        <v>1492</v>
      </c>
      <c r="D231">
        <v>0</v>
      </c>
      <c r="E231" s="329">
        <v>35</v>
      </c>
      <c r="F231" t="s">
        <v>1497</v>
      </c>
      <c r="G231">
        <v>2</v>
      </c>
      <c r="H231" t="s">
        <v>1756</v>
      </c>
      <c r="I231">
        <v>0</v>
      </c>
      <c r="J231" t="s">
        <v>1470</v>
      </c>
    </row>
    <row r="232" spans="1:10" x14ac:dyDescent="0.2">
      <c r="A232" t="s">
        <v>169</v>
      </c>
      <c r="B232" t="s">
        <v>168</v>
      </c>
      <c r="C232" t="s">
        <v>1492</v>
      </c>
      <c r="D232">
        <v>0</v>
      </c>
      <c r="E232" s="329">
        <v>50</v>
      </c>
      <c r="F232" t="s">
        <v>1497</v>
      </c>
      <c r="G232">
        <v>2</v>
      </c>
      <c r="H232" t="s">
        <v>1756</v>
      </c>
      <c r="I232">
        <v>0</v>
      </c>
      <c r="J232" t="s">
        <v>1470</v>
      </c>
    </row>
    <row r="233" spans="1:10" x14ac:dyDescent="0.2">
      <c r="A233" t="s">
        <v>807</v>
      </c>
      <c r="B233" t="s">
        <v>806</v>
      </c>
      <c r="C233" t="s">
        <v>1492</v>
      </c>
      <c r="D233">
        <v>0</v>
      </c>
      <c r="E233" s="329">
        <v>35</v>
      </c>
      <c r="F233" t="s">
        <v>1497</v>
      </c>
      <c r="G233">
        <v>2</v>
      </c>
      <c r="H233" t="s">
        <v>1756</v>
      </c>
      <c r="I233">
        <v>0</v>
      </c>
      <c r="J233" t="s">
        <v>1470</v>
      </c>
    </row>
    <row r="234" spans="1:10" x14ac:dyDescent="0.2">
      <c r="A234" t="s">
        <v>963</v>
      </c>
      <c r="B234" t="s">
        <v>962</v>
      </c>
      <c r="C234" t="s">
        <v>1492</v>
      </c>
      <c r="D234">
        <v>0</v>
      </c>
      <c r="E234" s="329">
        <v>45</v>
      </c>
      <c r="F234" t="s">
        <v>1497</v>
      </c>
      <c r="G234">
        <v>2</v>
      </c>
      <c r="H234" t="s">
        <v>1756</v>
      </c>
      <c r="I234">
        <v>0</v>
      </c>
      <c r="J234" t="s">
        <v>1470</v>
      </c>
    </row>
    <row r="235" spans="1:10" x14ac:dyDescent="0.2">
      <c r="A235" t="s">
        <v>897</v>
      </c>
      <c r="B235" t="s">
        <v>896</v>
      </c>
      <c r="C235" t="s">
        <v>1492</v>
      </c>
      <c r="D235">
        <v>0</v>
      </c>
      <c r="E235" s="329">
        <v>45</v>
      </c>
      <c r="F235" t="s">
        <v>1497</v>
      </c>
      <c r="G235">
        <v>1</v>
      </c>
      <c r="H235" t="s">
        <v>1756</v>
      </c>
      <c r="I235">
        <v>0</v>
      </c>
      <c r="J235" t="s">
        <v>1470</v>
      </c>
    </row>
    <row r="236" spans="1:10" x14ac:dyDescent="0.2">
      <c r="A236" t="s">
        <v>940</v>
      </c>
      <c r="B236" t="s">
        <v>939</v>
      </c>
      <c r="C236" t="s">
        <v>1492</v>
      </c>
      <c r="D236">
        <v>0</v>
      </c>
      <c r="E236" s="329">
        <v>45</v>
      </c>
      <c r="F236" t="s">
        <v>1497</v>
      </c>
      <c r="G236">
        <v>1</v>
      </c>
      <c r="H236" t="s">
        <v>1756</v>
      </c>
      <c r="I236">
        <v>0</v>
      </c>
      <c r="J236" t="s">
        <v>1470</v>
      </c>
    </row>
    <row r="237" spans="1:10" x14ac:dyDescent="0.2">
      <c r="A237" t="s">
        <v>536</v>
      </c>
      <c r="B237" t="s">
        <v>535</v>
      </c>
      <c r="C237" t="s">
        <v>1492</v>
      </c>
      <c r="D237">
        <v>0</v>
      </c>
      <c r="E237" s="329">
        <v>48</v>
      </c>
      <c r="F237" t="s">
        <v>1497</v>
      </c>
      <c r="G237">
        <v>1</v>
      </c>
      <c r="H237" t="s">
        <v>1756</v>
      </c>
      <c r="I237">
        <v>0</v>
      </c>
      <c r="J237" t="s">
        <v>1470</v>
      </c>
    </row>
    <row r="238" spans="1:10" x14ac:dyDescent="0.2">
      <c r="A238" t="s">
        <v>835</v>
      </c>
      <c r="B238" t="s">
        <v>834</v>
      </c>
      <c r="C238" t="s">
        <v>1492</v>
      </c>
      <c r="D238">
        <v>0</v>
      </c>
      <c r="E238" s="329">
        <v>21</v>
      </c>
      <c r="F238" t="s">
        <v>1497</v>
      </c>
      <c r="G238">
        <v>1</v>
      </c>
      <c r="H238" t="s">
        <v>1756</v>
      </c>
      <c r="I238">
        <v>0</v>
      </c>
      <c r="J238" t="s">
        <v>1470</v>
      </c>
    </row>
    <row r="239" spans="1:10" x14ac:dyDescent="0.2">
      <c r="A239" t="s">
        <v>870</v>
      </c>
      <c r="B239" t="s">
        <v>869</v>
      </c>
      <c r="C239" t="s">
        <v>1492</v>
      </c>
      <c r="D239">
        <v>0</v>
      </c>
      <c r="E239" s="329">
        <v>50</v>
      </c>
      <c r="F239" t="s">
        <v>1497</v>
      </c>
      <c r="G239">
        <v>1</v>
      </c>
      <c r="H239" t="s">
        <v>1756</v>
      </c>
      <c r="I239">
        <v>0</v>
      </c>
      <c r="J239" t="s">
        <v>1470</v>
      </c>
    </row>
    <row r="240" spans="1:10" x14ac:dyDescent="0.2">
      <c r="A240" t="s">
        <v>1148</v>
      </c>
      <c r="B240" t="s">
        <v>1147</v>
      </c>
      <c r="C240" t="s">
        <v>1492</v>
      </c>
      <c r="D240">
        <v>0</v>
      </c>
      <c r="E240" s="329">
        <v>42</v>
      </c>
      <c r="F240" t="s">
        <v>1497</v>
      </c>
      <c r="G240">
        <v>1</v>
      </c>
      <c r="H240" t="s">
        <v>1756</v>
      </c>
      <c r="I240">
        <v>0</v>
      </c>
      <c r="J240" t="s">
        <v>1470</v>
      </c>
    </row>
    <row r="241" spans="1:10" x14ac:dyDescent="0.2">
      <c r="A241" t="s">
        <v>1203</v>
      </c>
      <c r="B241" t="s">
        <v>1202</v>
      </c>
      <c r="C241" t="s">
        <v>1492</v>
      </c>
      <c r="D241">
        <v>0</v>
      </c>
      <c r="E241" s="329">
        <v>30</v>
      </c>
      <c r="F241" t="s">
        <v>1497</v>
      </c>
      <c r="G241">
        <v>1</v>
      </c>
      <c r="H241" t="s">
        <v>1756</v>
      </c>
      <c r="I241">
        <v>0</v>
      </c>
      <c r="J241" t="s">
        <v>1470</v>
      </c>
    </row>
    <row r="242" spans="1:10" x14ac:dyDescent="0.2">
      <c r="A242" t="s">
        <v>1295</v>
      </c>
      <c r="B242" t="s">
        <v>569</v>
      </c>
      <c r="C242" t="s">
        <v>1492</v>
      </c>
      <c r="D242">
        <v>0</v>
      </c>
      <c r="E242" s="329">
        <v>48</v>
      </c>
      <c r="F242" t="s">
        <v>1497</v>
      </c>
      <c r="G242">
        <v>1</v>
      </c>
      <c r="H242" t="s">
        <v>1756</v>
      </c>
      <c r="I242">
        <v>0</v>
      </c>
      <c r="J242" t="s">
        <v>1470</v>
      </c>
    </row>
    <row r="243" spans="1:10" x14ac:dyDescent="0.2">
      <c r="A243" t="s">
        <v>1352</v>
      </c>
      <c r="B243" t="s">
        <v>1351</v>
      </c>
      <c r="C243" t="s">
        <v>1492</v>
      </c>
      <c r="D243">
        <v>0</v>
      </c>
      <c r="E243" s="329">
        <v>32</v>
      </c>
      <c r="F243" t="s">
        <v>1497</v>
      </c>
      <c r="G243">
        <v>1</v>
      </c>
      <c r="H243" t="s">
        <v>1756</v>
      </c>
      <c r="I243">
        <v>0</v>
      </c>
      <c r="J243" t="s">
        <v>1470</v>
      </c>
    </row>
    <row r="244" spans="1:10" x14ac:dyDescent="0.2">
      <c r="A244" t="s">
        <v>1445</v>
      </c>
      <c r="B244" t="s">
        <v>1444</v>
      </c>
      <c r="C244" t="s">
        <v>1492</v>
      </c>
      <c r="D244">
        <v>0</v>
      </c>
      <c r="E244" s="329">
        <v>50</v>
      </c>
      <c r="F244" t="s">
        <v>1497</v>
      </c>
      <c r="G244">
        <v>1</v>
      </c>
      <c r="H244" t="s">
        <v>1756</v>
      </c>
      <c r="I244">
        <v>0</v>
      </c>
      <c r="J244" t="s">
        <v>1470</v>
      </c>
    </row>
    <row r="245" spans="1:10" x14ac:dyDescent="0.2">
      <c r="A245" t="s">
        <v>318</v>
      </c>
      <c r="B245" t="s">
        <v>108</v>
      </c>
      <c r="C245" t="s">
        <v>1494</v>
      </c>
      <c r="D245">
        <v>5</v>
      </c>
      <c r="E245" s="329">
        <v>76</v>
      </c>
      <c r="F245" t="s">
        <v>1498</v>
      </c>
      <c r="G245">
        <v>1</v>
      </c>
      <c r="H245" t="s">
        <v>1756</v>
      </c>
      <c r="I245">
        <v>6</v>
      </c>
      <c r="J245" t="s">
        <v>1470</v>
      </c>
    </row>
    <row r="246" spans="1:10" x14ac:dyDescent="0.2">
      <c r="A246" t="s">
        <v>920</v>
      </c>
      <c r="B246" t="s">
        <v>919</v>
      </c>
      <c r="C246" t="s">
        <v>1494</v>
      </c>
      <c r="D246">
        <v>5</v>
      </c>
      <c r="E246" s="329">
        <v>90</v>
      </c>
      <c r="F246" t="s">
        <v>1498</v>
      </c>
      <c r="G246">
        <v>1</v>
      </c>
      <c r="H246" t="s">
        <v>1756</v>
      </c>
      <c r="I246">
        <v>6</v>
      </c>
      <c r="J246" t="s">
        <v>1470</v>
      </c>
    </row>
    <row r="247" spans="1:10" x14ac:dyDescent="0.2">
      <c r="A247" t="s">
        <v>1186</v>
      </c>
      <c r="B247" t="s">
        <v>1185</v>
      </c>
      <c r="C247" t="s">
        <v>1494</v>
      </c>
      <c r="D247">
        <v>5</v>
      </c>
      <c r="E247" s="329">
        <v>66</v>
      </c>
      <c r="F247" t="s">
        <v>1498</v>
      </c>
      <c r="G247">
        <v>1</v>
      </c>
      <c r="H247" t="s">
        <v>1756</v>
      </c>
      <c r="I247">
        <v>5</v>
      </c>
      <c r="J247" t="s">
        <v>1470</v>
      </c>
    </row>
    <row r="248" spans="1:10" x14ac:dyDescent="0.2">
      <c r="A248" t="s">
        <v>269</v>
      </c>
      <c r="B248" t="s">
        <v>268</v>
      </c>
      <c r="C248" t="s">
        <v>1494</v>
      </c>
      <c r="D248">
        <v>5</v>
      </c>
      <c r="E248" s="329">
        <v>85</v>
      </c>
      <c r="F248" t="s">
        <v>1498</v>
      </c>
      <c r="G248">
        <v>2</v>
      </c>
      <c r="H248" t="s">
        <v>1756</v>
      </c>
      <c r="I248">
        <v>4</v>
      </c>
      <c r="J248" t="s">
        <v>1470</v>
      </c>
    </row>
    <row r="249" spans="1:10" x14ac:dyDescent="0.2">
      <c r="A249" t="s">
        <v>960</v>
      </c>
      <c r="B249" t="s">
        <v>959</v>
      </c>
      <c r="C249" t="s">
        <v>1494</v>
      </c>
      <c r="D249">
        <v>5</v>
      </c>
      <c r="E249" s="329">
        <v>84</v>
      </c>
      <c r="F249" t="s">
        <v>1498</v>
      </c>
      <c r="G249">
        <v>1</v>
      </c>
      <c r="H249" t="s">
        <v>1756</v>
      </c>
      <c r="I249">
        <v>4</v>
      </c>
      <c r="J249" t="s">
        <v>1470</v>
      </c>
    </row>
    <row r="250" spans="1:10" x14ac:dyDescent="0.2">
      <c r="A250" t="s">
        <v>109</v>
      </c>
      <c r="B250" t="s">
        <v>108</v>
      </c>
      <c r="C250" t="s">
        <v>1494</v>
      </c>
      <c r="D250">
        <v>5</v>
      </c>
      <c r="E250" s="329">
        <v>76</v>
      </c>
      <c r="F250" t="s">
        <v>1498</v>
      </c>
      <c r="G250">
        <v>1</v>
      </c>
      <c r="H250" t="s">
        <v>1756</v>
      </c>
      <c r="I250">
        <v>3</v>
      </c>
      <c r="J250" t="s">
        <v>1470</v>
      </c>
    </row>
    <row r="251" spans="1:10" x14ac:dyDescent="0.2">
      <c r="A251" t="s">
        <v>405</v>
      </c>
      <c r="B251" t="s">
        <v>108</v>
      </c>
      <c r="C251" t="s">
        <v>1494</v>
      </c>
      <c r="D251">
        <v>5</v>
      </c>
      <c r="E251" s="329">
        <v>80</v>
      </c>
      <c r="F251" t="s">
        <v>1498</v>
      </c>
      <c r="G251">
        <v>1</v>
      </c>
      <c r="H251" t="s">
        <v>1756</v>
      </c>
      <c r="I251">
        <v>3</v>
      </c>
      <c r="J251" t="s">
        <v>1470</v>
      </c>
    </row>
    <row r="252" spans="1:10" x14ac:dyDescent="0.2">
      <c r="A252" t="s">
        <v>373</v>
      </c>
      <c r="B252" t="s">
        <v>372</v>
      </c>
      <c r="C252" t="s">
        <v>1494</v>
      </c>
      <c r="D252">
        <v>5</v>
      </c>
      <c r="E252" s="329">
        <v>80</v>
      </c>
      <c r="F252" t="s">
        <v>1498</v>
      </c>
      <c r="G252">
        <v>1</v>
      </c>
      <c r="H252" t="s">
        <v>1756</v>
      </c>
      <c r="I252">
        <v>3</v>
      </c>
      <c r="J252" t="s">
        <v>1470</v>
      </c>
    </row>
    <row r="253" spans="1:10" x14ac:dyDescent="0.2">
      <c r="A253" t="s">
        <v>1033</v>
      </c>
      <c r="B253" t="s">
        <v>1032</v>
      </c>
      <c r="C253" t="s">
        <v>1494</v>
      </c>
      <c r="D253">
        <v>5</v>
      </c>
      <c r="E253" s="329">
        <v>84</v>
      </c>
      <c r="F253" t="s">
        <v>1498</v>
      </c>
      <c r="G253">
        <v>1</v>
      </c>
      <c r="H253" t="s">
        <v>1756</v>
      </c>
      <c r="I253">
        <v>3</v>
      </c>
      <c r="J253" t="s">
        <v>1470</v>
      </c>
    </row>
    <row r="254" spans="1:10" x14ac:dyDescent="0.2">
      <c r="A254" t="s">
        <v>720</v>
      </c>
      <c r="B254" t="s">
        <v>719</v>
      </c>
      <c r="C254" t="s">
        <v>1494</v>
      </c>
      <c r="D254">
        <v>5</v>
      </c>
      <c r="E254" s="329">
        <v>85</v>
      </c>
      <c r="F254" t="s">
        <v>1498</v>
      </c>
      <c r="G254">
        <v>1</v>
      </c>
      <c r="H254" t="s">
        <v>1756</v>
      </c>
      <c r="I254">
        <v>3</v>
      </c>
      <c r="J254" t="s">
        <v>1470</v>
      </c>
    </row>
    <row r="255" spans="1:10" x14ac:dyDescent="0.2">
      <c r="A255" t="s">
        <v>1224</v>
      </c>
      <c r="B255" t="s">
        <v>114</v>
      </c>
      <c r="C255" t="s">
        <v>1494</v>
      </c>
      <c r="D255">
        <v>5</v>
      </c>
      <c r="E255" s="329">
        <v>90</v>
      </c>
      <c r="F255" t="s">
        <v>1498</v>
      </c>
      <c r="G255">
        <v>1</v>
      </c>
      <c r="H255" t="s">
        <v>1756</v>
      </c>
      <c r="I255">
        <v>3</v>
      </c>
      <c r="J255" t="s">
        <v>1470</v>
      </c>
    </row>
    <row r="256" spans="1:10" x14ac:dyDescent="0.2">
      <c r="A256" t="s">
        <v>1432</v>
      </c>
      <c r="B256" t="s">
        <v>1431</v>
      </c>
      <c r="C256" t="s">
        <v>1494</v>
      </c>
      <c r="D256">
        <v>5</v>
      </c>
      <c r="E256" s="329">
        <v>75</v>
      </c>
      <c r="F256" t="s">
        <v>1498</v>
      </c>
      <c r="G256">
        <v>1</v>
      </c>
      <c r="H256" t="s">
        <v>1756</v>
      </c>
      <c r="I256">
        <v>3</v>
      </c>
      <c r="J256" t="s">
        <v>1470</v>
      </c>
    </row>
    <row r="257" spans="1:10" x14ac:dyDescent="0.2">
      <c r="A257" t="s">
        <v>779</v>
      </c>
      <c r="B257" t="s">
        <v>778</v>
      </c>
      <c r="C257" t="s">
        <v>1494</v>
      </c>
      <c r="D257">
        <v>5</v>
      </c>
      <c r="E257" s="329">
        <v>65</v>
      </c>
      <c r="F257" t="s">
        <v>1498</v>
      </c>
      <c r="G257">
        <v>2</v>
      </c>
      <c r="H257" t="s">
        <v>1756</v>
      </c>
      <c r="I257">
        <v>2</v>
      </c>
      <c r="J257" t="s">
        <v>1470</v>
      </c>
    </row>
    <row r="258" spans="1:10" x14ac:dyDescent="0.2">
      <c r="A258" t="s">
        <v>527</v>
      </c>
      <c r="B258" t="s">
        <v>526</v>
      </c>
      <c r="C258" t="s">
        <v>1494</v>
      </c>
      <c r="D258">
        <v>5</v>
      </c>
      <c r="E258" s="329">
        <v>85</v>
      </c>
      <c r="F258" t="s">
        <v>1498</v>
      </c>
      <c r="G258">
        <v>2</v>
      </c>
      <c r="H258" t="s">
        <v>1756</v>
      </c>
      <c r="I258">
        <v>2</v>
      </c>
      <c r="J258" t="s">
        <v>1470</v>
      </c>
    </row>
    <row r="259" spans="1:10" x14ac:dyDescent="0.2">
      <c r="A259" t="s">
        <v>681</v>
      </c>
      <c r="B259" t="s">
        <v>680</v>
      </c>
      <c r="C259" t="s">
        <v>1494</v>
      </c>
      <c r="D259">
        <v>5</v>
      </c>
      <c r="E259" s="329">
        <v>64</v>
      </c>
      <c r="F259" t="s">
        <v>1498</v>
      </c>
      <c r="G259">
        <v>2</v>
      </c>
      <c r="H259" t="s">
        <v>1756</v>
      </c>
      <c r="I259">
        <v>2</v>
      </c>
      <c r="J259" t="s">
        <v>1470</v>
      </c>
    </row>
    <row r="260" spans="1:10" x14ac:dyDescent="0.2">
      <c r="A260" t="s">
        <v>981</v>
      </c>
      <c r="B260" t="s">
        <v>980</v>
      </c>
      <c r="C260" t="s">
        <v>1494</v>
      </c>
      <c r="D260">
        <v>5</v>
      </c>
      <c r="E260" s="329">
        <v>59</v>
      </c>
      <c r="F260" t="s">
        <v>1498</v>
      </c>
      <c r="G260">
        <v>2</v>
      </c>
      <c r="H260" t="s">
        <v>1756</v>
      </c>
      <c r="I260">
        <v>2</v>
      </c>
      <c r="J260" t="s">
        <v>1470</v>
      </c>
    </row>
    <row r="261" spans="1:10" x14ac:dyDescent="0.2">
      <c r="A261" t="s">
        <v>1037</v>
      </c>
      <c r="B261" t="s">
        <v>1036</v>
      </c>
      <c r="C261" t="s">
        <v>1494</v>
      </c>
      <c r="D261">
        <v>5</v>
      </c>
      <c r="E261" s="329">
        <v>80</v>
      </c>
      <c r="F261" t="s">
        <v>1498</v>
      </c>
      <c r="G261">
        <v>2</v>
      </c>
      <c r="H261" t="s">
        <v>1756</v>
      </c>
      <c r="I261">
        <v>2</v>
      </c>
      <c r="J261" t="s">
        <v>1470</v>
      </c>
    </row>
    <row r="262" spans="1:10" x14ac:dyDescent="0.2">
      <c r="A262" t="s">
        <v>202</v>
      </c>
      <c r="B262" t="s">
        <v>201</v>
      </c>
      <c r="C262" t="s">
        <v>1494</v>
      </c>
      <c r="D262">
        <v>5</v>
      </c>
      <c r="E262" s="329">
        <v>84</v>
      </c>
      <c r="F262" t="s">
        <v>1498</v>
      </c>
      <c r="G262">
        <v>1</v>
      </c>
      <c r="H262" t="s">
        <v>1756</v>
      </c>
      <c r="I262">
        <v>2</v>
      </c>
      <c r="J262" t="s">
        <v>1470</v>
      </c>
    </row>
    <row r="263" spans="1:10" x14ac:dyDescent="0.2">
      <c r="A263" t="s">
        <v>627</v>
      </c>
      <c r="B263" t="s">
        <v>626</v>
      </c>
      <c r="C263" t="s">
        <v>1494</v>
      </c>
      <c r="D263">
        <v>5</v>
      </c>
      <c r="E263" s="329">
        <v>90</v>
      </c>
      <c r="F263" t="s">
        <v>1498</v>
      </c>
      <c r="G263">
        <v>1</v>
      </c>
      <c r="H263" t="s">
        <v>1756</v>
      </c>
      <c r="I263">
        <v>2</v>
      </c>
      <c r="J263" t="s">
        <v>1470</v>
      </c>
    </row>
    <row r="264" spans="1:10" x14ac:dyDescent="0.2">
      <c r="A264" t="s">
        <v>752</v>
      </c>
      <c r="B264" t="s">
        <v>751</v>
      </c>
      <c r="C264" t="s">
        <v>1494</v>
      </c>
      <c r="D264">
        <v>5</v>
      </c>
      <c r="E264" s="329">
        <v>64</v>
      </c>
      <c r="F264" t="s">
        <v>1498</v>
      </c>
      <c r="G264">
        <v>1</v>
      </c>
      <c r="H264" t="s">
        <v>1756</v>
      </c>
      <c r="I264">
        <v>2</v>
      </c>
      <c r="J264" t="s">
        <v>1470</v>
      </c>
    </row>
    <row r="265" spans="1:10" x14ac:dyDescent="0.2">
      <c r="A265" t="s">
        <v>1065</v>
      </c>
      <c r="B265" t="s">
        <v>1064</v>
      </c>
      <c r="C265" t="s">
        <v>1494</v>
      </c>
      <c r="D265">
        <v>5</v>
      </c>
      <c r="E265" s="329">
        <v>80</v>
      </c>
      <c r="F265" t="s">
        <v>1498</v>
      </c>
      <c r="G265">
        <v>1</v>
      </c>
      <c r="H265" t="s">
        <v>1756</v>
      </c>
      <c r="I265">
        <v>2</v>
      </c>
      <c r="J265" t="s">
        <v>1470</v>
      </c>
    </row>
    <row r="266" spans="1:10" x14ac:dyDescent="0.2">
      <c r="A266" t="s">
        <v>1141</v>
      </c>
      <c r="B266" t="s">
        <v>1140</v>
      </c>
      <c r="C266" t="s">
        <v>1494</v>
      </c>
      <c r="D266">
        <v>5</v>
      </c>
      <c r="E266" s="329">
        <v>75</v>
      </c>
      <c r="F266" t="s">
        <v>1498</v>
      </c>
      <c r="G266">
        <v>2</v>
      </c>
      <c r="H266" t="s">
        <v>1756</v>
      </c>
      <c r="I266">
        <v>2</v>
      </c>
      <c r="J266" t="s">
        <v>1470</v>
      </c>
    </row>
    <row r="267" spans="1:10" x14ac:dyDescent="0.2">
      <c r="A267" t="s">
        <v>1288</v>
      </c>
      <c r="B267" t="s">
        <v>1287</v>
      </c>
      <c r="C267" t="s">
        <v>1494</v>
      </c>
      <c r="D267">
        <v>5</v>
      </c>
      <c r="E267" s="329">
        <v>80</v>
      </c>
      <c r="F267" t="s">
        <v>1498</v>
      </c>
      <c r="G267">
        <v>1</v>
      </c>
      <c r="H267" t="s">
        <v>1756</v>
      </c>
      <c r="I267">
        <v>2</v>
      </c>
      <c r="J267" t="s">
        <v>1470</v>
      </c>
    </row>
    <row r="268" spans="1:10" x14ac:dyDescent="0.2">
      <c r="A268" t="s">
        <v>1306</v>
      </c>
      <c r="B268" t="s">
        <v>1032</v>
      </c>
      <c r="C268" t="s">
        <v>1494</v>
      </c>
      <c r="D268">
        <v>5</v>
      </c>
      <c r="E268" s="329">
        <v>84</v>
      </c>
      <c r="F268" t="s">
        <v>1498</v>
      </c>
      <c r="G268">
        <v>1</v>
      </c>
      <c r="H268" t="s">
        <v>1756</v>
      </c>
      <c r="I268">
        <v>2</v>
      </c>
      <c r="J268" t="s">
        <v>1470</v>
      </c>
    </row>
    <row r="269" spans="1:10" x14ac:dyDescent="0.2">
      <c r="A269" t="s">
        <v>1375</v>
      </c>
      <c r="B269" t="s">
        <v>1374</v>
      </c>
      <c r="C269" t="s">
        <v>1494</v>
      </c>
      <c r="D269">
        <v>5</v>
      </c>
      <c r="E269" s="329">
        <v>56</v>
      </c>
      <c r="F269" t="s">
        <v>1498</v>
      </c>
      <c r="G269">
        <v>1</v>
      </c>
      <c r="H269" t="s">
        <v>1756</v>
      </c>
      <c r="I269">
        <v>2</v>
      </c>
      <c r="J269" t="s">
        <v>1470</v>
      </c>
    </row>
    <row r="270" spans="1:10" x14ac:dyDescent="0.2">
      <c r="A270" t="s">
        <v>570</v>
      </c>
      <c r="B270" t="s">
        <v>569</v>
      </c>
      <c r="C270" t="s">
        <v>1494</v>
      </c>
      <c r="D270">
        <v>5</v>
      </c>
      <c r="E270" s="329">
        <v>64</v>
      </c>
      <c r="F270" t="s">
        <v>1498</v>
      </c>
      <c r="G270">
        <v>1</v>
      </c>
      <c r="H270" t="s">
        <v>1756</v>
      </c>
      <c r="I270">
        <v>1</v>
      </c>
      <c r="J270" t="s">
        <v>1470</v>
      </c>
    </row>
    <row r="271" spans="1:10" x14ac:dyDescent="0.2">
      <c r="A271" t="s">
        <v>293</v>
      </c>
      <c r="B271" t="s">
        <v>292</v>
      </c>
      <c r="C271" t="s">
        <v>1494</v>
      </c>
      <c r="D271">
        <v>5</v>
      </c>
      <c r="E271" s="329">
        <v>80</v>
      </c>
      <c r="F271" t="s">
        <v>1498</v>
      </c>
      <c r="G271">
        <v>1</v>
      </c>
      <c r="H271" t="s">
        <v>1756</v>
      </c>
      <c r="I271">
        <v>1</v>
      </c>
      <c r="J271" t="s">
        <v>1470</v>
      </c>
    </row>
    <row r="272" spans="1:10" x14ac:dyDescent="0.2">
      <c r="A272" t="s">
        <v>951</v>
      </c>
      <c r="B272" t="s">
        <v>950</v>
      </c>
      <c r="C272" t="s">
        <v>1494</v>
      </c>
      <c r="D272">
        <v>5</v>
      </c>
      <c r="E272" s="329">
        <v>72</v>
      </c>
      <c r="F272" t="s">
        <v>1498</v>
      </c>
      <c r="G272">
        <v>1</v>
      </c>
      <c r="H272" t="s">
        <v>1756</v>
      </c>
      <c r="I272">
        <v>1</v>
      </c>
      <c r="J272" t="s">
        <v>1470</v>
      </c>
    </row>
    <row r="273" spans="1:10" x14ac:dyDescent="0.2">
      <c r="A273" t="s">
        <v>290</v>
      </c>
      <c r="B273" t="s">
        <v>289</v>
      </c>
      <c r="C273" t="s">
        <v>1494</v>
      </c>
      <c r="D273">
        <v>5</v>
      </c>
      <c r="E273" s="329">
        <v>88</v>
      </c>
      <c r="F273" t="s">
        <v>1498</v>
      </c>
      <c r="G273">
        <v>1</v>
      </c>
      <c r="H273" t="s">
        <v>1756</v>
      </c>
      <c r="I273">
        <v>1</v>
      </c>
      <c r="J273" t="s">
        <v>1470</v>
      </c>
    </row>
    <row r="274" spans="1:10" x14ac:dyDescent="0.2">
      <c r="A274" t="s">
        <v>186</v>
      </c>
      <c r="B274" t="s">
        <v>185</v>
      </c>
      <c r="C274" t="s">
        <v>1494</v>
      </c>
      <c r="D274">
        <v>5</v>
      </c>
      <c r="E274" s="329">
        <v>70</v>
      </c>
      <c r="F274" t="s">
        <v>1498</v>
      </c>
      <c r="G274">
        <v>1</v>
      </c>
      <c r="H274" t="s">
        <v>1756</v>
      </c>
      <c r="I274">
        <v>1</v>
      </c>
      <c r="J274" t="s">
        <v>1470</v>
      </c>
    </row>
    <row r="275" spans="1:10" x14ac:dyDescent="0.2">
      <c r="A275" t="s">
        <v>794</v>
      </c>
      <c r="B275" t="s">
        <v>793</v>
      </c>
      <c r="C275" t="s">
        <v>1494</v>
      </c>
      <c r="D275">
        <v>5</v>
      </c>
      <c r="E275" s="329">
        <v>55</v>
      </c>
      <c r="F275" t="s">
        <v>1498</v>
      </c>
      <c r="G275">
        <v>1</v>
      </c>
      <c r="H275" t="s">
        <v>1756</v>
      </c>
      <c r="I275">
        <v>1</v>
      </c>
      <c r="J275" t="s">
        <v>1470</v>
      </c>
    </row>
    <row r="276" spans="1:10" x14ac:dyDescent="0.2">
      <c r="A276" t="s">
        <v>909</v>
      </c>
      <c r="B276" t="s">
        <v>908</v>
      </c>
      <c r="C276" t="s">
        <v>1494</v>
      </c>
      <c r="D276">
        <v>5</v>
      </c>
      <c r="E276" s="329">
        <v>90</v>
      </c>
      <c r="F276" t="s">
        <v>1498</v>
      </c>
      <c r="G276">
        <v>1</v>
      </c>
      <c r="H276" t="s">
        <v>1756</v>
      </c>
      <c r="I276">
        <v>1</v>
      </c>
      <c r="J276" t="s">
        <v>1470</v>
      </c>
    </row>
    <row r="277" spans="1:10" x14ac:dyDescent="0.2">
      <c r="A277" t="s">
        <v>1054</v>
      </c>
      <c r="B277" t="s">
        <v>1053</v>
      </c>
      <c r="C277" t="s">
        <v>1494</v>
      </c>
      <c r="D277">
        <v>5</v>
      </c>
      <c r="E277" s="329">
        <v>88</v>
      </c>
      <c r="F277" t="s">
        <v>1498</v>
      </c>
      <c r="G277">
        <v>1</v>
      </c>
      <c r="H277" t="s">
        <v>1756</v>
      </c>
      <c r="I277">
        <v>1</v>
      </c>
      <c r="J277" t="s">
        <v>1470</v>
      </c>
    </row>
    <row r="278" spans="1:10" x14ac:dyDescent="0.2">
      <c r="A278" t="s">
        <v>1112</v>
      </c>
      <c r="B278" t="s">
        <v>1111</v>
      </c>
      <c r="C278" t="s">
        <v>1494</v>
      </c>
      <c r="D278">
        <v>5</v>
      </c>
      <c r="E278" s="329">
        <v>84</v>
      </c>
      <c r="F278" t="s">
        <v>1498</v>
      </c>
      <c r="G278">
        <v>1</v>
      </c>
      <c r="H278" t="s">
        <v>1756</v>
      </c>
      <c r="I278">
        <v>1</v>
      </c>
      <c r="J278" t="s">
        <v>1470</v>
      </c>
    </row>
    <row r="279" spans="1:10" x14ac:dyDescent="0.2">
      <c r="A279" t="s">
        <v>1135</v>
      </c>
      <c r="B279" t="s">
        <v>1134</v>
      </c>
      <c r="C279" t="s">
        <v>1494</v>
      </c>
      <c r="D279">
        <v>5</v>
      </c>
      <c r="E279" s="329">
        <v>77</v>
      </c>
      <c r="F279" t="s">
        <v>1498</v>
      </c>
      <c r="G279">
        <v>1</v>
      </c>
      <c r="H279" t="s">
        <v>1756</v>
      </c>
      <c r="I279">
        <v>1</v>
      </c>
      <c r="J279" t="s">
        <v>1470</v>
      </c>
    </row>
    <row r="280" spans="1:10" x14ac:dyDescent="0.2">
      <c r="A280" t="s">
        <v>1156</v>
      </c>
      <c r="B280" t="s">
        <v>37</v>
      </c>
      <c r="C280" t="s">
        <v>1494</v>
      </c>
      <c r="D280">
        <v>5</v>
      </c>
      <c r="E280" s="329">
        <v>98</v>
      </c>
      <c r="F280" t="s">
        <v>1498</v>
      </c>
      <c r="G280">
        <v>1</v>
      </c>
      <c r="H280" t="s">
        <v>1756</v>
      </c>
      <c r="I280">
        <v>1</v>
      </c>
      <c r="J280" t="s">
        <v>1470</v>
      </c>
    </row>
    <row r="281" spans="1:10" x14ac:dyDescent="0.2">
      <c r="A281" t="s">
        <v>1266</v>
      </c>
      <c r="B281" t="s">
        <v>292</v>
      </c>
      <c r="C281" t="s">
        <v>1494</v>
      </c>
      <c r="D281">
        <v>5</v>
      </c>
      <c r="E281" s="329">
        <v>80</v>
      </c>
      <c r="F281" t="s">
        <v>1498</v>
      </c>
      <c r="G281">
        <v>1</v>
      </c>
      <c r="H281" t="s">
        <v>1756</v>
      </c>
      <c r="I281">
        <v>1</v>
      </c>
      <c r="J281" t="s">
        <v>1470</v>
      </c>
    </row>
    <row r="282" spans="1:10" x14ac:dyDescent="0.2">
      <c r="A282" t="s">
        <v>1285</v>
      </c>
      <c r="B282" t="s">
        <v>1284</v>
      </c>
      <c r="C282" t="s">
        <v>1494</v>
      </c>
      <c r="D282">
        <v>5</v>
      </c>
      <c r="E282" s="329">
        <v>54</v>
      </c>
      <c r="F282" t="s">
        <v>1498</v>
      </c>
      <c r="G282">
        <v>1</v>
      </c>
      <c r="H282" t="s">
        <v>1756</v>
      </c>
      <c r="I282">
        <v>1</v>
      </c>
      <c r="J282" t="s">
        <v>1470</v>
      </c>
    </row>
    <row r="283" spans="1:10" x14ac:dyDescent="0.2">
      <c r="A283" t="s">
        <v>1434</v>
      </c>
      <c r="B283" t="s">
        <v>1327</v>
      </c>
      <c r="C283" t="s">
        <v>1494</v>
      </c>
      <c r="D283">
        <v>5</v>
      </c>
      <c r="E283" s="329">
        <v>80</v>
      </c>
      <c r="F283" t="s">
        <v>1498</v>
      </c>
      <c r="G283">
        <v>1</v>
      </c>
      <c r="H283" t="s">
        <v>1756</v>
      </c>
      <c r="I283">
        <v>1</v>
      </c>
      <c r="J283" t="s">
        <v>1470</v>
      </c>
    </row>
    <row r="284" spans="1:10" x14ac:dyDescent="0.2">
      <c r="A284" t="s">
        <v>121</v>
      </c>
      <c r="B284" t="s">
        <v>120</v>
      </c>
      <c r="C284" t="s">
        <v>1494</v>
      </c>
      <c r="D284">
        <v>4.9000000000000004</v>
      </c>
      <c r="E284" s="329">
        <v>80</v>
      </c>
      <c r="F284" t="s">
        <v>1498</v>
      </c>
      <c r="G284">
        <v>1</v>
      </c>
      <c r="H284" t="s">
        <v>1756</v>
      </c>
      <c r="I284">
        <v>7</v>
      </c>
      <c r="J284" t="s">
        <v>1470</v>
      </c>
    </row>
    <row r="285" spans="1:10" x14ac:dyDescent="0.2">
      <c r="A285" t="s">
        <v>98</v>
      </c>
      <c r="B285" t="s">
        <v>97</v>
      </c>
      <c r="C285" t="s">
        <v>1494</v>
      </c>
      <c r="D285">
        <v>4.9000000000000004</v>
      </c>
      <c r="E285" s="329">
        <v>60</v>
      </c>
      <c r="F285" t="s">
        <v>1498</v>
      </c>
      <c r="G285">
        <v>1</v>
      </c>
      <c r="H285" t="s">
        <v>1756</v>
      </c>
      <c r="I285">
        <v>7</v>
      </c>
      <c r="J285" t="s">
        <v>1470</v>
      </c>
    </row>
    <row r="286" spans="1:10" x14ac:dyDescent="0.2">
      <c r="A286" t="s">
        <v>299</v>
      </c>
      <c r="B286" t="s">
        <v>298</v>
      </c>
      <c r="C286" t="s">
        <v>1494</v>
      </c>
      <c r="D286">
        <v>4.8</v>
      </c>
      <c r="E286" s="329">
        <v>66</v>
      </c>
      <c r="F286" t="s">
        <v>1498</v>
      </c>
      <c r="G286">
        <v>1</v>
      </c>
      <c r="H286" t="s">
        <v>1756</v>
      </c>
      <c r="I286">
        <v>5</v>
      </c>
      <c r="J286" t="s">
        <v>1470</v>
      </c>
    </row>
    <row r="287" spans="1:10" x14ac:dyDescent="0.2">
      <c r="A287" t="s">
        <v>1099</v>
      </c>
      <c r="B287" t="s">
        <v>37</v>
      </c>
      <c r="C287" t="s">
        <v>1494</v>
      </c>
      <c r="D287">
        <v>4.8</v>
      </c>
      <c r="E287" s="329">
        <v>96</v>
      </c>
      <c r="F287" t="s">
        <v>1498</v>
      </c>
      <c r="G287">
        <v>1</v>
      </c>
      <c r="H287" t="s">
        <v>1756</v>
      </c>
      <c r="I287">
        <v>5</v>
      </c>
      <c r="J287" t="s">
        <v>1470</v>
      </c>
    </row>
    <row r="288" spans="1:10" x14ac:dyDescent="0.2">
      <c r="A288" t="s">
        <v>1270</v>
      </c>
      <c r="B288" t="s">
        <v>352</v>
      </c>
      <c r="C288" t="s">
        <v>1494</v>
      </c>
      <c r="D288">
        <v>4.8</v>
      </c>
      <c r="E288" s="329">
        <v>70</v>
      </c>
      <c r="F288" t="s">
        <v>1498</v>
      </c>
      <c r="G288">
        <v>1</v>
      </c>
      <c r="H288" t="s">
        <v>1756</v>
      </c>
      <c r="I288">
        <v>5</v>
      </c>
      <c r="J288" t="s">
        <v>1470</v>
      </c>
    </row>
    <row r="289" spans="1:10" x14ac:dyDescent="0.2">
      <c r="A289" t="s">
        <v>885</v>
      </c>
      <c r="B289" t="s">
        <v>884</v>
      </c>
      <c r="C289" t="s">
        <v>1494</v>
      </c>
      <c r="D289">
        <v>4.8</v>
      </c>
      <c r="E289" s="329">
        <v>91</v>
      </c>
      <c r="F289" t="s">
        <v>1498</v>
      </c>
      <c r="G289">
        <v>1</v>
      </c>
      <c r="H289" t="s">
        <v>1756</v>
      </c>
      <c r="I289">
        <v>4</v>
      </c>
      <c r="J289" t="s">
        <v>1470</v>
      </c>
    </row>
    <row r="290" spans="1:10" x14ac:dyDescent="0.2">
      <c r="A290" t="s">
        <v>124</v>
      </c>
      <c r="B290" t="s">
        <v>123</v>
      </c>
      <c r="C290" t="s">
        <v>1494</v>
      </c>
      <c r="D290">
        <v>4.7</v>
      </c>
      <c r="E290" s="329">
        <v>65</v>
      </c>
      <c r="F290" t="s">
        <v>1498</v>
      </c>
      <c r="G290">
        <v>2</v>
      </c>
      <c r="H290" t="s">
        <v>1756</v>
      </c>
      <c r="I290">
        <v>6</v>
      </c>
      <c r="J290" t="s">
        <v>1470</v>
      </c>
    </row>
    <row r="291" spans="1:10" x14ac:dyDescent="0.2">
      <c r="A291" t="s">
        <v>401</v>
      </c>
      <c r="B291" t="s">
        <v>400</v>
      </c>
      <c r="C291" t="s">
        <v>1494</v>
      </c>
      <c r="D291">
        <v>4.7</v>
      </c>
      <c r="E291" s="329">
        <v>77</v>
      </c>
      <c r="F291" t="s">
        <v>1498</v>
      </c>
      <c r="G291">
        <v>1</v>
      </c>
      <c r="H291" t="s">
        <v>1756</v>
      </c>
      <c r="I291">
        <v>3</v>
      </c>
      <c r="J291" t="s">
        <v>1470</v>
      </c>
    </row>
    <row r="292" spans="1:10" x14ac:dyDescent="0.2">
      <c r="A292" t="s">
        <v>711</v>
      </c>
      <c r="B292" t="s">
        <v>710</v>
      </c>
      <c r="C292" t="s">
        <v>1494</v>
      </c>
      <c r="D292">
        <v>4.5</v>
      </c>
      <c r="E292" s="329">
        <v>95</v>
      </c>
      <c r="F292" t="s">
        <v>1498</v>
      </c>
      <c r="G292">
        <v>1</v>
      </c>
      <c r="H292" t="s">
        <v>1756</v>
      </c>
      <c r="I292">
        <v>4</v>
      </c>
      <c r="J292" t="s">
        <v>1470</v>
      </c>
    </row>
    <row r="293" spans="1:10" x14ac:dyDescent="0.2">
      <c r="A293" t="s">
        <v>398</v>
      </c>
      <c r="B293" t="s">
        <v>150</v>
      </c>
      <c r="C293" t="s">
        <v>1494</v>
      </c>
      <c r="D293">
        <v>4.5</v>
      </c>
      <c r="E293" s="329">
        <v>90</v>
      </c>
      <c r="F293" t="s">
        <v>1498</v>
      </c>
      <c r="G293">
        <v>1</v>
      </c>
      <c r="H293" t="s">
        <v>1756</v>
      </c>
      <c r="I293">
        <v>2</v>
      </c>
      <c r="J293" t="s">
        <v>1470</v>
      </c>
    </row>
    <row r="294" spans="1:10" x14ac:dyDescent="0.2">
      <c r="A294" t="s">
        <v>761</v>
      </c>
      <c r="B294" t="s">
        <v>760</v>
      </c>
      <c r="C294" t="s">
        <v>1494</v>
      </c>
      <c r="D294">
        <v>4.5</v>
      </c>
      <c r="E294" s="329">
        <v>66</v>
      </c>
      <c r="F294" t="s">
        <v>1498</v>
      </c>
      <c r="G294">
        <v>1</v>
      </c>
      <c r="H294" t="s">
        <v>1756</v>
      </c>
      <c r="I294">
        <v>2</v>
      </c>
      <c r="J294" t="s">
        <v>1470</v>
      </c>
    </row>
    <row r="295" spans="1:10" x14ac:dyDescent="0.2">
      <c r="A295" t="s">
        <v>260</v>
      </c>
      <c r="B295" t="s">
        <v>259</v>
      </c>
      <c r="C295" t="s">
        <v>1494</v>
      </c>
      <c r="D295">
        <v>4.5</v>
      </c>
      <c r="E295" s="329">
        <v>70</v>
      </c>
      <c r="F295" t="s">
        <v>1498</v>
      </c>
      <c r="G295">
        <v>1</v>
      </c>
      <c r="H295" t="s">
        <v>1756</v>
      </c>
      <c r="I295">
        <v>2</v>
      </c>
      <c r="J295" t="s">
        <v>1470</v>
      </c>
    </row>
    <row r="296" spans="1:10" x14ac:dyDescent="0.2">
      <c r="A296" t="s">
        <v>743</v>
      </c>
      <c r="B296" t="s">
        <v>742</v>
      </c>
      <c r="C296" t="s">
        <v>1494</v>
      </c>
      <c r="D296">
        <v>4.5</v>
      </c>
      <c r="E296" s="329">
        <v>70</v>
      </c>
      <c r="F296" t="s">
        <v>1498</v>
      </c>
      <c r="G296">
        <v>1</v>
      </c>
      <c r="H296" t="s">
        <v>1756</v>
      </c>
      <c r="I296">
        <v>2</v>
      </c>
      <c r="J296" t="s">
        <v>1470</v>
      </c>
    </row>
    <row r="297" spans="1:10" x14ac:dyDescent="0.2">
      <c r="A297" t="s">
        <v>1262</v>
      </c>
      <c r="B297" t="s">
        <v>1059</v>
      </c>
      <c r="C297" t="s">
        <v>1494</v>
      </c>
      <c r="D297">
        <v>4.5</v>
      </c>
      <c r="E297" s="329">
        <v>70</v>
      </c>
      <c r="F297" t="s">
        <v>1498</v>
      </c>
      <c r="G297">
        <v>1</v>
      </c>
      <c r="H297" t="s">
        <v>1756</v>
      </c>
      <c r="I297">
        <v>2</v>
      </c>
      <c r="J297" t="s">
        <v>1470</v>
      </c>
    </row>
    <row r="298" spans="1:10" x14ac:dyDescent="0.2">
      <c r="A298" t="s">
        <v>1400</v>
      </c>
      <c r="B298" t="s">
        <v>226</v>
      </c>
      <c r="C298" t="s">
        <v>1494</v>
      </c>
      <c r="D298">
        <v>4.5</v>
      </c>
      <c r="E298" s="329">
        <v>80</v>
      </c>
      <c r="F298" t="s">
        <v>1498</v>
      </c>
      <c r="G298">
        <v>1</v>
      </c>
      <c r="H298" t="s">
        <v>1756</v>
      </c>
      <c r="I298">
        <v>2</v>
      </c>
      <c r="J298" t="s">
        <v>1470</v>
      </c>
    </row>
    <row r="299" spans="1:10" x14ac:dyDescent="0.2">
      <c r="A299" t="s">
        <v>469</v>
      </c>
      <c r="B299" t="s">
        <v>468</v>
      </c>
      <c r="C299" t="s">
        <v>1494</v>
      </c>
      <c r="D299">
        <v>4.4000000000000004</v>
      </c>
      <c r="E299" s="329">
        <v>72</v>
      </c>
      <c r="F299" t="s">
        <v>1498</v>
      </c>
      <c r="G299">
        <v>1</v>
      </c>
      <c r="H299" t="s">
        <v>1756</v>
      </c>
      <c r="I299">
        <v>7</v>
      </c>
      <c r="J299" t="s">
        <v>1470</v>
      </c>
    </row>
    <row r="300" spans="1:10" x14ac:dyDescent="0.2">
      <c r="A300" t="s">
        <v>335</v>
      </c>
      <c r="B300" t="s">
        <v>334</v>
      </c>
      <c r="C300" t="s">
        <v>1494</v>
      </c>
      <c r="D300">
        <v>4.4000000000000004</v>
      </c>
      <c r="E300" s="329">
        <v>96</v>
      </c>
      <c r="F300" t="s">
        <v>1498</v>
      </c>
      <c r="G300">
        <v>1</v>
      </c>
      <c r="H300" t="s">
        <v>1756</v>
      </c>
      <c r="I300">
        <v>7</v>
      </c>
      <c r="J300" t="s">
        <v>1470</v>
      </c>
    </row>
    <row r="301" spans="1:10" x14ac:dyDescent="0.2">
      <c r="A301" t="s">
        <v>635</v>
      </c>
      <c r="B301" t="s">
        <v>7</v>
      </c>
      <c r="C301" t="s">
        <v>1494</v>
      </c>
      <c r="D301">
        <v>4.4000000000000004</v>
      </c>
      <c r="E301" s="329">
        <v>56</v>
      </c>
      <c r="F301" t="s">
        <v>1498</v>
      </c>
      <c r="G301">
        <v>1</v>
      </c>
      <c r="H301" t="s">
        <v>1756</v>
      </c>
      <c r="I301">
        <v>5</v>
      </c>
      <c r="J301" t="s">
        <v>1470</v>
      </c>
    </row>
    <row r="302" spans="1:10" x14ac:dyDescent="0.2">
      <c r="A302" t="s">
        <v>945</v>
      </c>
      <c r="B302" t="s">
        <v>637</v>
      </c>
      <c r="C302" t="s">
        <v>1494</v>
      </c>
      <c r="D302">
        <v>4.3</v>
      </c>
      <c r="E302" s="329">
        <v>77</v>
      </c>
      <c r="F302" t="s">
        <v>1498</v>
      </c>
      <c r="G302">
        <v>1</v>
      </c>
      <c r="H302" t="s">
        <v>1756</v>
      </c>
      <c r="I302">
        <v>3</v>
      </c>
      <c r="J302" t="s">
        <v>1470</v>
      </c>
    </row>
    <row r="303" spans="1:10" x14ac:dyDescent="0.2">
      <c r="A303" t="s">
        <v>1412</v>
      </c>
      <c r="B303" t="s">
        <v>1411</v>
      </c>
      <c r="C303" t="s">
        <v>1494</v>
      </c>
      <c r="D303">
        <v>4.3</v>
      </c>
      <c r="E303" s="329">
        <v>77</v>
      </c>
      <c r="F303" t="s">
        <v>1498</v>
      </c>
      <c r="G303">
        <v>1</v>
      </c>
      <c r="H303" t="s">
        <v>1756</v>
      </c>
      <c r="I303">
        <v>3</v>
      </c>
      <c r="J303" t="s">
        <v>1470</v>
      </c>
    </row>
    <row r="304" spans="1:10" x14ac:dyDescent="0.2">
      <c r="A304" t="s">
        <v>731</v>
      </c>
      <c r="B304" t="s">
        <v>730</v>
      </c>
      <c r="C304" t="s">
        <v>1494</v>
      </c>
      <c r="D304">
        <v>4.2</v>
      </c>
      <c r="E304" s="329">
        <v>96</v>
      </c>
      <c r="F304" t="s">
        <v>1498</v>
      </c>
      <c r="G304">
        <v>1</v>
      </c>
      <c r="H304" t="s">
        <v>1756</v>
      </c>
      <c r="I304">
        <v>6</v>
      </c>
      <c r="J304" t="s">
        <v>1470</v>
      </c>
    </row>
    <row r="305" spans="1:10" x14ac:dyDescent="0.2">
      <c r="A305" t="s">
        <v>1336</v>
      </c>
      <c r="B305" t="s">
        <v>730</v>
      </c>
      <c r="C305" t="s">
        <v>1494</v>
      </c>
      <c r="D305">
        <v>4.2</v>
      </c>
      <c r="E305" s="329">
        <v>96</v>
      </c>
      <c r="F305" t="s">
        <v>1498</v>
      </c>
      <c r="G305">
        <v>1</v>
      </c>
      <c r="H305" t="s">
        <v>1756</v>
      </c>
      <c r="I305">
        <v>6</v>
      </c>
      <c r="J305" t="s">
        <v>1470</v>
      </c>
    </row>
    <row r="306" spans="1:10" x14ac:dyDescent="0.2">
      <c r="A306" t="s">
        <v>948</v>
      </c>
      <c r="B306" t="s">
        <v>947</v>
      </c>
      <c r="C306" t="s">
        <v>1494</v>
      </c>
      <c r="D306">
        <v>4.2</v>
      </c>
      <c r="E306" s="329">
        <v>66</v>
      </c>
      <c r="F306" t="s">
        <v>1498</v>
      </c>
      <c r="G306">
        <v>1</v>
      </c>
      <c r="H306" t="s">
        <v>1756</v>
      </c>
      <c r="I306">
        <v>5</v>
      </c>
      <c r="J306" t="s">
        <v>1470</v>
      </c>
    </row>
    <row r="307" spans="1:10" x14ac:dyDescent="0.2">
      <c r="A307" t="s">
        <v>696</v>
      </c>
      <c r="B307" t="s">
        <v>695</v>
      </c>
      <c r="C307" t="s">
        <v>1494</v>
      </c>
      <c r="D307">
        <v>4.2</v>
      </c>
      <c r="E307" s="329">
        <v>90</v>
      </c>
      <c r="F307" t="s">
        <v>1498</v>
      </c>
      <c r="G307">
        <v>1</v>
      </c>
      <c r="H307" t="s">
        <v>1756</v>
      </c>
      <c r="I307">
        <v>5</v>
      </c>
      <c r="J307" t="s">
        <v>1470</v>
      </c>
    </row>
    <row r="308" spans="1:10" x14ac:dyDescent="0.2">
      <c r="A308" t="s">
        <v>937</v>
      </c>
      <c r="B308" t="s">
        <v>936</v>
      </c>
      <c r="C308" t="s">
        <v>1494</v>
      </c>
      <c r="D308">
        <v>4</v>
      </c>
      <c r="E308" s="329">
        <v>70</v>
      </c>
      <c r="F308" t="s">
        <v>1498</v>
      </c>
      <c r="G308">
        <v>1</v>
      </c>
      <c r="H308" t="s">
        <v>1756</v>
      </c>
      <c r="I308">
        <v>6</v>
      </c>
      <c r="J308" t="s">
        <v>1470</v>
      </c>
    </row>
    <row r="309" spans="1:10" x14ac:dyDescent="0.2">
      <c r="A309" t="s">
        <v>1378</v>
      </c>
      <c r="B309" t="s">
        <v>1377</v>
      </c>
      <c r="C309" t="s">
        <v>1494</v>
      </c>
      <c r="D309">
        <v>4</v>
      </c>
      <c r="E309" s="329">
        <v>96</v>
      </c>
      <c r="F309" t="s">
        <v>1498</v>
      </c>
      <c r="G309">
        <v>1</v>
      </c>
      <c r="H309" t="s">
        <v>1756</v>
      </c>
      <c r="I309">
        <v>5</v>
      </c>
      <c r="J309" t="s">
        <v>1470</v>
      </c>
    </row>
    <row r="310" spans="1:10" x14ac:dyDescent="0.2">
      <c r="A310" t="s">
        <v>1230</v>
      </c>
      <c r="B310" t="s">
        <v>1229</v>
      </c>
      <c r="C310" t="s">
        <v>1494</v>
      </c>
      <c r="D310">
        <v>4</v>
      </c>
      <c r="E310" s="329">
        <v>84</v>
      </c>
      <c r="F310" t="s">
        <v>1498</v>
      </c>
      <c r="G310">
        <v>2</v>
      </c>
      <c r="H310" t="s">
        <v>1756</v>
      </c>
      <c r="I310">
        <v>4</v>
      </c>
      <c r="J310" t="s">
        <v>1470</v>
      </c>
    </row>
    <row r="311" spans="1:10" x14ac:dyDescent="0.2">
      <c r="A311" t="s">
        <v>326</v>
      </c>
      <c r="B311" t="s">
        <v>325</v>
      </c>
      <c r="C311" t="s">
        <v>1494</v>
      </c>
      <c r="D311">
        <v>4</v>
      </c>
      <c r="E311" s="329">
        <v>59</v>
      </c>
      <c r="F311" t="s">
        <v>1498</v>
      </c>
      <c r="G311">
        <v>1</v>
      </c>
      <c r="H311" t="s">
        <v>1756</v>
      </c>
      <c r="I311">
        <v>3</v>
      </c>
      <c r="J311" t="s">
        <v>1470</v>
      </c>
    </row>
    <row r="312" spans="1:10" x14ac:dyDescent="0.2">
      <c r="A312" t="s">
        <v>307</v>
      </c>
      <c r="B312" t="s">
        <v>298</v>
      </c>
      <c r="C312" t="s">
        <v>1494</v>
      </c>
      <c r="D312">
        <v>4</v>
      </c>
      <c r="E312" s="329">
        <v>66</v>
      </c>
      <c r="F312" t="s">
        <v>1498</v>
      </c>
      <c r="G312">
        <v>1</v>
      </c>
      <c r="H312" t="s">
        <v>1756</v>
      </c>
      <c r="I312">
        <v>1</v>
      </c>
      <c r="J312" t="s">
        <v>1470</v>
      </c>
    </row>
    <row r="313" spans="1:10" x14ac:dyDescent="0.2">
      <c r="A313" t="s">
        <v>1337</v>
      </c>
      <c r="B313" t="s">
        <v>950</v>
      </c>
      <c r="C313" t="s">
        <v>1494</v>
      </c>
      <c r="D313">
        <v>4</v>
      </c>
      <c r="E313" s="329">
        <v>72</v>
      </c>
      <c r="F313" t="s">
        <v>1498</v>
      </c>
      <c r="G313">
        <v>1</v>
      </c>
      <c r="H313" t="s">
        <v>1756</v>
      </c>
      <c r="I313">
        <v>1</v>
      </c>
      <c r="J313" t="s">
        <v>1470</v>
      </c>
    </row>
    <row r="314" spans="1:10" x14ac:dyDescent="0.2">
      <c r="A314" t="s">
        <v>1366</v>
      </c>
      <c r="B314" t="s">
        <v>1365</v>
      </c>
      <c r="C314" t="s">
        <v>1494</v>
      </c>
      <c r="D314">
        <v>4</v>
      </c>
      <c r="E314" s="329">
        <v>60</v>
      </c>
      <c r="F314" t="s">
        <v>1498</v>
      </c>
      <c r="G314">
        <v>1</v>
      </c>
      <c r="H314" t="s">
        <v>1756</v>
      </c>
      <c r="I314">
        <v>1</v>
      </c>
      <c r="J314" t="s">
        <v>1470</v>
      </c>
    </row>
    <row r="315" spans="1:10" x14ac:dyDescent="0.2">
      <c r="A315" t="s">
        <v>1060</v>
      </c>
      <c r="B315" t="s">
        <v>1059</v>
      </c>
      <c r="C315" t="s">
        <v>1493</v>
      </c>
      <c r="D315">
        <v>3.8</v>
      </c>
      <c r="E315" s="329">
        <v>70</v>
      </c>
      <c r="F315" t="s">
        <v>1498</v>
      </c>
      <c r="G315">
        <v>1</v>
      </c>
      <c r="H315" t="s">
        <v>1756</v>
      </c>
      <c r="I315">
        <v>6</v>
      </c>
      <c r="J315" t="s">
        <v>1470</v>
      </c>
    </row>
    <row r="316" spans="1:10" x14ac:dyDescent="0.2">
      <c r="A316" t="s">
        <v>1129</v>
      </c>
      <c r="B316" t="s">
        <v>860</v>
      </c>
      <c r="C316" t="s">
        <v>1493</v>
      </c>
      <c r="D316">
        <v>3.8</v>
      </c>
      <c r="E316" s="329">
        <v>63</v>
      </c>
      <c r="F316" t="s">
        <v>1498</v>
      </c>
      <c r="G316">
        <v>1</v>
      </c>
      <c r="H316" t="s">
        <v>1756</v>
      </c>
      <c r="I316">
        <v>4</v>
      </c>
      <c r="J316" t="s">
        <v>1470</v>
      </c>
    </row>
    <row r="317" spans="1:10" x14ac:dyDescent="0.2">
      <c r="A317" t="s">
        <v>310</v>
      </c>
      <c r="B317" t="s">
        <v>309</v>
      </c>
      <c r="C317" t="s">
        <v>1493</v>
      </c>
      <c r="D317">
        <v>3.7</v>
      </c>
      <c r="E317" s="329">
        <v>84</v>
      </c>
      <c r="F317" t="s">
        <v>1498</v>
      </c>
      <c r="G317">
        <v>1</v>
      </c>
      <c r="H317" t="s">
        <v>1756</v>
      </c>
      <c r="I317">
        <v>3</v>
      </c>
      <c r="J317" t="s">
        <v>1470</v>
      </c>
    </row>
    <row r="318" spans="1:10" x14ac:dyDescent="0.2">
      <c r="A318" t="s">
        <v>1328</v>
      </c>
      <c r="B318" t="s">
        <v>1327</v>
      </c>
      <c r="C318" t="s">
        <v>1493</v>
      </c>
      <c r="D318">
        <v>3.6</v>
      </c>
      <c r="E318" s="329">
        <v>68</v>
      </c>
      <c r="F318" t="s">
        <v>1498</v>
      </c>
      <c r="G318">
        <v>1</v>
      </c>
      <c r="H318" t="s">
        <v>1756</v>
      </c>
      <c r="I318">
        <v>5</v>
      </c>
      <c r="J318" t="s">
        <v>1470</v>
      </c>
    </row>
    <row r="319" spans="1:10" x14ac:dyDescent="0.2">
      <c r="A319" t="s">
        <v>1387</v>
      </c>
      <c r="B319" t="s">
        <v>37</v>
      </c>
      <c r="C319" t="s">
        <v>1493</v>
      </c>
      <c r="D319">
        <v>3.6</v>
      </c>
      <c r="E319" s="329">
        <v>76</v>
      </c>
      <c r="F319" t="s">
        <v>1498</v>
      </c>
      <c r="G319">
        <v>1</v>
      </c>
      <c r="H319" t="s">
        <v>1756</v>
      </c>
      <c r="I319">
        <v>5</v>
      </c>
      <c r="J319" t="s">
        <v>1470</v>
      </c>
    </row>
    <row r="320" spans="1:10" x14ac:dyDescent="0.2">
      <c r="A320" t="s">
        <v>995</v>
      </c>
      <c r="B320" t="s">
        <v>994</v>
      </c>
      <c r="C320" t="s">
        <v>1493</v>
      </c>
      <c r="D320">
        <v>3.5</v>
      </c>
      <c r="E320" s="329">
        <v>65</v>
      </c>
      <c r="F320" t="s">
        <v>1498</v>
      </c>
      <c r="G320">
        <v>2</v>
      </c>
      <c r="H320" t="s">
        <v>1756</v>
      </c>
      <c r="I320">
        <v>4</v>
      </c>
      <c r="J320" t="s">
        <v>1470</v>
      </c>
    </row>
    <row r="321" spans="1:10" x14ac:dyDescent="0.2">
      <c r="A321" t="s">
        <v>329</v>
      </c>
      <c r="B321" t="s">
        <v>328</v>
      </c>
      <c r="C321" t="s">
        <v>1493</v>
      </c>
      <c r="D321">
        <v>3.5</v>
      </c>
      <c r="E321" s="329">
        <v>80</v>
      </c>
      <c r="F321" t="s">
        <v>1498</v>
      </c>
      <c r="G321">
        <v>1</v>
      </c>
      <c r="H321" t="s">
        <v>1756</v>
      </c>
      <c r="I321">
        <v>2</v>
      </c>
      <c r="J321" t="s">
        <v>1470</v>
      </c>
    </row>
    <row r="322" spans="1:10" x14ac:dyDescent="0.2">
      <c r="A322" t="s">
        <v>1010</v>
      </c>
      <c r="B322" t="s">
        <v>1009</v>
      </c>
      <c r="C322" t="s">
        <v>1493</v>
      </c>
      <c r="D322">
        <v>3.4</v>
      </c>
      <c r="E322" s="329">
        <v>54</v>
      </c>
      <c r="F322" t="s">
        <v>1498</v>
      </c>
      <c r="G322">
        <v>1</v>
      </c>
      <c r="H322" t="s">
        <v>1756</v>
      </c>
      <c r="I322">
        <v>7</v>
      </c>
      <c r="J322" t="s">
        <v>1470</v>
      </c>
    </row>
    <row r="323" spans="1:10" x14ac:dyDescent="0.2">
      <c r="A323" t="s">
        <v>670</v>
      </c>
      <c r="B323" t="s">
        <v>37</v>
      </c>
      <c r="C323" t="s">
        <v>1493</v>
      </c>
      <c r="D323">
        <v>3.2</v>
      </c>
      <c r="E323" s="329">
        <v>72</v>
      </c>
      <c r="F323" t="s">
        <v>1498</v>
      </c>
      <c r="G323">
        <v>1</v>
      </c>
      <c r="H323" t="s">
        <v>1756</v>
      </c>
      <c r="I323">
        <v>5</v>
      </c>
      <c r="J323" t="s">
        <v>1470</v>
      </c>
    </row>
    <row r="324" spans="1:10" x14ac:dyDescent="0.2">
      <c r="A324" t="s">
        <v>668</v>
      </c>
      <c r="B324" t="s">
        <v>667</v>
      </c>
      <c r="C324" t="s">
        <v>1493</v>
      </c>
      <c r="D324">
        <v>3</v>
      </c>
      <c r="E324" s="329">
        <v>64</v>
      </c>
      <c r="F324" t="s">
        <v>1498</v>
      </c>
      <c r="G324">
        <v>1</v>
      </c>
      <c r="H324" t="s">
        <v>1756</v>
      </c>
      <c r="I324">
        <v>6</v>
      </c>
      <c r="J324" t="s">
        <v>1470</v>
      </c>
    </row>
    <row r="325" spans="1:10" x14ac:dyDescent="0.2">
      <c r="A325" t="s">
        <v>975</v>
      </c>
      <c r="B325" t="s">
        <v>974</v>
      </c>
      <c r="C325" t="s">
        <v>1493</v>
      </c>
      <c r="D325">
        <v>3</v>
      </c>
      <c r="E325" s="329">
        <v>96</v>
      </c>
      <c r="F325" t="s">
        <v>1498</v>
      </c>
      <c r="G325">
        <v>1</v>
      </c>
      <c r="H325" t="s">
        <v>1756</v>
      </c>
      <c r="I325">
        <v>5</v>
      </c>
      <c r="J325" t="s">
        <v>1470</v>
      </c>
    </row>
    <row r="326" spans="1:10" x14ac:dyDescent="0.2">
      <c r="A326" t="s">
        <v>1417</v>
      </c>
      <c r="B326" t="s">
        <v>1416</v>
      </c>
      <c r="C326" t="s">
        <v>1493</v>
      </c>
      <c r="D326">
        <v>3</v>
      </c>
      <c r="E326" s="329">
        <v>80</v>
      </c>
      <c r="F326" t="s">
        <v>1498</v>
      </c>
      <c r="G326">
        <v>1</v>
      </c>
      <c r="H326" t="s">
        <v>1756</v>
      </c>
      <c r="I326">
        <v>4</v>
      </c>
      <c r="J326" t="s">
        <v>1470</v>
      </c>
    </row>
    <row r="327" spans="1:10" x14ac:dyDescent="0.2">
      <c r="A327" t="s">
        <v>423</v>
      </c>
      <c r="B327" t="s">
        <v>422</v>
      </c>
      <c r="C327" t="s">
        <v>1493</v>
      </c>
      <c r="D327">
        <v>3</v>
      </c>
      <c r="E327" s="329">
        <v>72</v>
      </c>
      <c r="F327" t="s">
        <v>1498</v>
      </c>
      <c r="G327">
        <v>2</v>
      </c>
      <c r="H327" t="s">
        <v>1756</v>
      </c>
      <c r="I327">
        <v>2</v>
      </c>
      <c r="J327" t="s">
        <v>1470</v>
      </c>
    </row>
    <row r="328" spans="1:10" x14ac:dyDescent="0.2">
      <c r="A328" t="s">
        <v>1167</v>
      </c>
      <c r="B328" t="s">
        <v>468</v>
      </c>
      <c r="C328" t="s">
        <v>1493</v>
      </c>
      <c r="D328">
        <v>3</v>
      </c>
      <c r="E328" s="329">
        <v>72</v>
      </c>
      <c r="F328" t="s">
        <v>1498</v>
      </c>
      <c r="G328">
        <v>1</v>
      </c>
      <c r="H328" t="s">
        <v>1756</v>
      </c>
      <c r="I328">
        <v>1</v>
      </c>
      <c r="J328" t="s">
        <v>1470</v>
      </c>
    </row>
    <row r="329" spans="1:10" x14ac:dyDescent="0.2">
      <c r="A329" t="s">
        <v>227</v>
      </c>
      <c r="B329" t="s">
        <v>226</v>
      </c>
      <c r="C329" t="s">
        <v>1492</v>
      </c>
      <c r="D329">
        <v>2.7</v>
      </c>
      <c r="E329" s="329">
        <v>80</v>
      </c>
      <c r="F329" t="s">
        <v>1498</v>
      </c>
      <c r="G329">
        <v>1</v>
      </c>
      <c r="H329" t="s">
        <v>1756</v>
      </c>
      <c r="I329">
        <v>3</v>
      </c>
      <c r="J329" t="s">
        <v>1470</v>
      </c>
    </row>
    <row r="330" spans="1:10" x14ac:dyDescent="0.2">
      <c r="A330" t="s">
        <v>1048</v>
      </c>
      <c r="B330" t="s">
        <v>1047</v>
      </c>
      <c r="C330" t="s">
        <v>1492</v>
      </c>
      <c r="D330">
        <v>2.7</v>
      </c>
      <c r="E330" s="329">
        <v>77</v>
      </c>
      <c r="F330" t="s">
        <v>1498</v>
      </c>
      <c r="G330">
        <v>1</v>
      </c>
      <c r="H330" t="s">
        <v>1756</v>
      </c>
      <c r="I330">
        <v>3</v>
      </c>
      <c r="J330" t="s">
        <v>1470</v>
      </c>
    </row>
    <row r="331" spans="1:10" x14ac:dyDescent="0.2">
      <c r="A331" t="s">
        <v>829</v>
      </c>
      <c r="B331" t="s">
        <v>828</v>
      </c>
      <c r="C331" t="s">
        <v>1492</v>
      </c>
      <c r="D331">
        <v>2.5</v>
      </c>
      <c r="E331" s="329">
        <v>56</v>
      </c>
      <c r="F331" t="s">
        <v>1498</v>
      </c>
      <c r="G331">
        <v>1</v>
      </c>
      <c r="H331" t="s">
        <v>1756</v>
      </c>
      <c r="I331">
        <v>6</v>
      </c>
      <c r="J331" t="s">
        <v>1470</v>
      </c>
    </row>
    <row r="332" spans="1:10" x14ac:dyDescent="0.2">
      <c r="A332" t="s">
        <v>978</v>
      </c>
      <c r="B332" t="s">
        <v>977</v>
      </c>
      <c r="C332" t="s">
        <v>1492</v>
      </c>
      <c r="D332">
        <v>2.4</v>
      </c>
      <c r="E332" s="329">
        <v>64</v>
      </c>
      <c r="F332" t="s">
        <v>1498</v>
      </c>
      <c r="G332">
        <v>1</v>
      </c>
      <c r="H332" t="s">
        <v>1756</v>
      </c>
      <c r="I332">
        <v>5</v>
      </c>
      <c r="J332" t="s">
        <v>1470</v>
      </c>
    </row>
    <row r="333" spans="1:10" x14ac:dyDescent="0.2">
      <c r="A333" t="s">
        <v>460</v>
      </c>
      <c r="B333" t="s">
        <v>459</v>
      </c>
      <c r="C333" t="s">
        <v>1492</v>
      </c>
      <c r="D333">
        <v>2</v>
      </c>
      <c r="E333" s="329">
        <v>65</v>
      </c>
      <c r="F333" t="s">
        <v>1498</v>
      </c>
      <c r="G333">
        <v>1</v>
      </c>
      <c r="H333" t="s">
        <v>1756</v>
      </c>
      <c r="I333">
        <v>2</v>
      </c>
      <c r="J333" t="s">
        <v>1470</v>
      </c>
    </row>
    <row r="334" spans="1:10" x14ac:dyDescent="0.2">
      <c r="A334" t="s">
        <v>717</v>
      </c>
      <c r="B334" t="s">
        <v>716</v>
      </c>
      <c r="C334" t="s">
        <v>1492</v>
      </c>
      <c r="D334">
        <v>2</v>
      </c>
      <c r="E334" s="329">
        <v>65</v>
      </c>
      <c r="F334" t="s">
        <v>1498</v>
      </c>
      <c r="G334">
        <v>1</v>
      </c>
      <c r="H334" t="s">
        <v>1756</v>
      </c>
      <c r="I334">
        <v>1</v>
      </c>
      <c r="J334" t="s">
        <v>1470</v>
      </c>
    </row>
    <row r="335" spans="1:10" x14ac:dyDescent="0.2">
      <c r="A335" t="s">
        <v>562</v>
      </c>
      <c r="B335" t="s">
        <v>561</v>
      </c>
      <c r="C335" t="s">
        <v>1492</v>
      </c>
      <c r="D335">
        <v>1</v>
      </c>
      <c r="E335" s="329">
        <v>80</v>
      </c>
      <c r="F335" t="s">
        <v>1498</v>
      </c>
      <c r="G335">
        <v>2</v>
      </c>
      <c r="H335" t="s">
        <v>1756</v>
      </c>
      <c r="I335">
        <v>2</v>
      </c>
      <c r="J335" t="s">
        <v>1470</v>
      </c>
    </row>
    <row r="336" spans="1:10" x14ac:dyDescent="0.2">
      <c r="A336" t="s">
        <v>115</v>
      </c>
      <c r="B336" t="s">
        <v>114</v>
      </c>
      <c r="C336" t="s">
        <v>1492</v>
      </c>
      <c r="D336">
        <v>1</v>
      </c>
      <c r="E336" s="329">
        <v>90</v>
      </c>
      <c r="F336" t="s">
        <v>1498</v>
      </c>
      <c r="G336">
        <v>1</v>
      </c>
      <c r="H336" t="s">
        <v>1756</v>
      </c>
      <c r="I336">
        <v>1</v>
      </c>
      <c r="J336" t="s">
        <v>1470</v>
      </c>
    </row>
    <row r="337" spans="1:10" x14ac:dyDescent="0.2">
      <c r="A337" t="s">
        <v>1090</v>
      </c>
      <c r="B337" t="s">
        <v>1089</v>
      </c>
      <c r="C337" t="s">
        <v>1492</v>
      </c>
      <c r="D337">
        <v>1</v>
      </c>
      <c r="E337" s="329">
        <v>80</v>
      </c>
      <c r="F337" t="s">
        <v>1498</v>
      </c>
      <c r="G337">
        <v>1</v>
      </c>
      <c r="H337" t="s">
        <v>1756</v>
      </c>
      <c r="I337">
        <v>1</v>
      </c>
      <c r="J337" t="s">
        <v>1470</v>
      </c>
    </row>
    <row r="338" spans="1:10" x14ac:dyDescent="0.2">
      <c r="A338" t="s">
        <v>1300</v>
      </c>
      <c r="B338" t="s">
        <v>1299</v>
      </c>
      <c r="C338" t="s">
        <v>1492</v>
      </c>
      <c r="D338">
        <v>1</v>
      </c>
      <c r="E338" s="329">
        <v>64</v>
      </c>
      <c r="F338" t="s">
        <v>1498</v>
      </c>
      <c r="G338">
        <v>1</v>
      </c>
      <c r="H338" t="s">
        <v>1756</v>
      </c>
      <c r="I338">
        <v>1</v>
      </c>
      <c r="J338" t="s">
        <v>1470</v>
      </c>
    </row>
    <row r="339" spans="1:10" x14ac:dyDescent="0.2">
      <c r="A339" t="s">
        <v>567</v>
      </c>
      <c r="B339" t="s">
        <v>132</v>
      </c>
      <c r="C339" t="s">
        <v>1492</v>
      </c>
      <c r="D339">
        <v>0</v>
      </c>
      <c r="E339" s="329">
        <v>90</v>
      </c>
      <c r="F339" t="s">
        <v>1498</v>
      </c>
      <c r="G339">
        <v>1</v>
      </c>
      <c r="H339" t="s">
        <v>1756</v>
      </c>
      <c r="I339">
        <v>0</v>
      </c>
      <c r="J339" t="s">
        <v>1470</v>
      </c>
    </row>
    <row r="340" spans="1:10" x14ac:dyDescent="0.2">
      <c r="A340" t="s">
        <v>817</v>
      </c>
      <c r="B340" t="s">
        <v>132</v>
      </c>
      <c r="C340" t="s">
        <v>1492</v>
      </c>
      <c r="D340">
        <v>0</v>
      </c>
      <c r="E340" s="329">
        <v>90</v>
      </c>
      <c r="F340" t="s">
        <v>1498</v>
      </c>
      <c r="G340">
        <v>1</v>
      </c>
      <c r="H340" t="s">
        <v>1756</v>
      </c>
      <c r="I340">
        <v>0</v>
      </c>
      <c r="J340" t="s">
        <v>1470</v>
      </c>
    </row>
    <row r="341" spans="1:10" x14ac:dyDescent="0.2">
      <c r="A341" t="s">
        <v>12</v>
      </c>
      <c r="B341" t="s">
        <v>11</v>
      </c>
      <c r="C341" t="s">
        <v>1492</v>
      </c>
      <c r="D341">
        <v>0</v>
      </c>
      <c r="E341" s="329">
        <v>75</v>
      </c>
      <c r="F341" t="s">
        <v>1498</v>
      </c>
      <c r="G341">
        <v>1</v>
      </c>
      <c r="H341" t="s">
        <v>1756</v>
      </c>
      <c r="I341">
        <v>0</v>
      </c>
      <c r="J341" t="s">
        <v>1470</v>
      </c>
    </row>
    <row r="342" spans="1:10" x14ac:dyDescent="0.2">
      <c r="A342" t="s">
        <v>59</v>
      </c>
      <c r="B342" t="s">
        <v>11</v>
      </c>
      <c r="C342" t="s">
        <v>1492</v>
      </c>
      <c r="D342">
        <v>0</v>
      </c>
      <c r="E342" s="329">
        <v>80</v>
      </c>
      <c r="F342" t="s">
        <v>1498</v>
      </c>
      <c r="G342">
        <v>1</v>
      </c>
      <c r="H342" t="s">
        <v>1756</v>
      </c>
      <c r="I342">
        <v>0</v>
      </c>
      <c r="J342" t="s">
        <v>1470</v>
      </c>
    </row>
    <row r="343" spans="1:10" x14ac:dyDescent="0.2">
      <c r="A343" t="s">
        <v>767</v>
      </c>
      <c r="B343" t="s">
        <v>766</v>
      </c>
      <c r="C343" t="s">
        <v>1492</v>
      </c>
      <c r="D343">
        <v>0</v>
      </c>
      <c r="E343" s="329">
        <v>63</v>
      </c>
      <c r="F343" t="s">
        <v>1498</v>
      </c>
      <c r="G343">
        <v>1</v>
      </c>
      <c r="H343" t="s">
        <v>1756</v>
      </c>
      <c r="I343">
        <v>0</v>
      </c>
      <c r="J343" t="s">
        <v>1470</v>
      </c>
    </row>
    <row r="344" spans="1:10" x14ac:dyDescent="0.2">
      <c r="A344" t="s">
        <v>684</v>
      </c>
      <c r="B344" t="s">
        <v>683</v>
      </c>
      <c r="C344" t="s">
        <v>1492</v>
      </c>
      <c r="D344">
        <v>0</v>
      </c>
      <c r="E344" s="329">
        <v>80</v>
      </c>
      <c r="F344" t="s">
        <v>1498</v>
      </c>
      <c r="G344">
        <v>1</v>
      </c>
      <c r="H344" t="s">
        <v>1756</v>
      </c>
      <c r="I344">
        <v>0</v>
      </c>
      <c r="J344" t="s">
        <v>1470</v>
      </c>
    </row>
    <row r="345" spans="1:10" x14ac:dyDescent="0.2">
      <c r="A345" t="s">
        <v>332</v>
      </c>
      <c r="B345" t="s">
        <v>331</v>
      </c>
      <c r="C345" t="s">
        <v>1492</v>
      </c>
      <c r="D345">
        <v>0</v>
      </c>
      <c r="E345" s="329">
        <v>80</v>
      </c>
      <c r="F345" t="s">
        <v>1498</v>
      </c>
      <c r="G345">
        <v>2</v>
      </c>
      <c r="H345" t="s">
        <v>1756</v>
      </c>
      <c r="I345">
        <v>0</v>
      </c>
      <c r="J345" t="s">
        <v>1470</v>
      </c>
    </row>
    <row r="346" spans="1:10" x14ac:dyDescent="0.2">
      <c r="A346" t="s">
        <v>206</v>
      </c>
      <c r="B346" t="s">
        <v>205</v>
      </c>
      <c r="C346" t="s">
        <v>1492</v>
      </c>
      <c r="D346">
        <v>0</v>
      </c>
      <c r="E346" s="329">
        <v>60</v>
      </c>
      <c r="F346" t="s">
        <v>1498</v>
      </c>
      <c r="G346">
        <v>2</v>
      </c>
      <c r="H346" t="s">
        <v>1756</v>
      </c>
      <c r="I346">
        <v>0</v>
      </c>
      <c r="J346" t="s">
        <v>1470</v>
      </c>
    </row>
    <row r="347" spans="1:10" x14ac:dyDescent="0.2">
      <c r="A347" t="s">
        <v>8</v>
      </c>
      <c r="B347" t="s">
        <v>7</v>
      </c>
      <c r="C347" t="s">
        <v>1492</v>
      </c>
      <c r="D347">
        <v>0</v>
      </c>
      <c r="E347" s="329">
        <v>75</v>
      </c>
      <c r="F347" t="s">
        <v>1498</v>
      </c>
      <c r="G347">
        <v>1</v>
      </c>
      <c r="H347" t="s">
        <v>1756</v>
      </c>
      <c r="I347">
        <v>0</v>
      </c>
      <c r="J347" t="s">
        <v>1470</v>
      </c>
    </row>
    <row r="348" spans="1:10" x14ac:dyDescent="0.2">
      <c r="A348" t="s">
        <v>46</v>
      </c>
      <c r="B348" t="s">
        <v>45</v>
      </c>
      <c r="C348" t="s">
        <v>1492</v>
      </c>
      <c r="D348">
        <v>0</v>
      </c>
      <c r="E348" s="329">
        <v>80</v>
      </c>
      <c r="F348" t="s">
        <v>1498</v>
      </c>
      <c r="G348">
        <v>1</v>
      </c>
      <c r="H348" t="s">
        <v>1756</v>
      </c>
      <c r="I348">
        <v>0</v>
      </c>
      <c r="J348" t="s">
        <v>1470</v>
      </c>
    </row>
    <row r="349" spans="1:10" x14ac:dyDescent="0.2">
      <c r="A349" t="s">
        <v>106</v>
      </c>
      <c r="B349" t="s">
        <v>105</v>
      </c>
      <c r="C349" t="s">
        <v>1492</v>
      </c>
      <c r="D349">
        <v>0</v>
      </c>
      <c r="E349" s="329">
        <v>90</v>
      </c>
      <c r="F349" t="s">
        <v>1498</v>
      </c>
      <c r="G349">
        <v>1</v>
      </c>
      <c r="H349" t="s">
        <v>1756</v>
      </c>
      <c r="I349">
        <v>0</v>
      </c>
      <c r="J349" t="s">
        <v>1470</v>
      </c>
    </row>
    <row r="350" spans="1:10" x14ac:dyDescent="0.2">
      <c r="A350" t="s">
        <v>127</v>
      </c>
      <c r="B350" t="s">
        <v>126</v>
      </c>
      <c r="C350" t="s">
        <v>1492</v>
      </c>
      <c r="D350">
        <v>0</v>
      </c>
      <c r="E350" s="329">
        <v>55</v>
      </c>
      <c r="F350" t="s">
        <v>1498</v>
      </c>
      <c r="G350">
        <v>2</v>
      </c>
      <c r="H350" t="s">
        <v>1756</v>
      </c>
      <c r="I350">
        <v>0</v>
      </c>
      <c r="J350" t="s">
        <v>1470</v>
      </c>
    </row>
    <row r="351" spans="1:10" x14ac:dyDescent="0.2">
      <c r="A351" t="s">
        <v>151</v>
      </c>
      <c r="B351" t="s">
        <v>150</v>
      </c>
      <c r="C351" t="s">
        <v>1492</v>
      </c>
      <c r="D351">
        <v>0</v>
      </c>
      <c r="E351" s="329">
        <v>90</v>
      </c>
      <c r="F351" t="s">
        <v>1498</v>
      </c>
      <c r="G351">
        <v>1</v>
      </c>
      <c r="H351" t="s">
        <v>1756</v>
      </c>
      <c r="I351">
        <v>0</v>
      </c>
      <c r="J351" t="s">
        <v>1470</v>
      </c>
    </row>
    <row r="352" spans="1:10" x14ac:dyDescent="0.2">
      <c r="A352" t="s">
        <v>305</v>
      </c>
      <c r="B352" t="s">
        <v>304</v>
      </c>
      <c r="C352" t="s">
        <v>1492</v>
      </c>
      <c r="D352">
        <v>0</v>
      </c>
      <c r="E352" s="329">
        <v>85</v>
      </c>
      <c r="F352" t="s">
        <v>1498</v>
      </c>
      <c r="G352">
        <v>2</v>
      </c>
      <c r="H352" t="s">
        <v>1756</v>
      </c>
      <c r="I352">
        <v>0</v>
      </c>
      <c r="J352" t="s">
        <v>1470</v>
      </c>
    </row>
    <row r="353" spans="1:10" x14ac:dyDescent="0.2">
      <c r="A353" t="s">
        <v>316</v>
      </c>
      <c r="B353" t="s">
        <v>315</v>
      </c>
      <c r="C353" t="s">
        <v>1492</v>
      </c>
      <c r="D353">
        <v>0</v>
      </c>
      <c r="E353" s="329">
        <v>60</v>
      </c>
      <c r="F353" t="s">
        <v>1498</v>
      </c>
      <c r="G353">
        <v>2</v>
      </c>
      <c r="H353" t="s">
        <v>1756</v>
      </c>
      <c r="I353">
        <v>0</v>
      </c>
      <c r="J353" t="s">
        <v>1470</v>
      </c>
    </row>
    <row r="354" spans="1:10" x14ac:dyDescent="0.2">
      <c r="A354" t="s">
        <v>323</v>
      </c>
      <c r="B354" t="s">
        <v>322</v>
      </c>
      <c r="C354" t="s">
        <v>1492</v>
      </c>
      <c r="D354">
        <v>0</v>
      </c>
      <c r="E354" s="329">
        <v>80</v>
      </c>
      <c r="F354" t="s">
        <v>1498</v>
      </c>
      <c r="G354">
        <v>1</v>
      </c>
      <c r="H354" t="s">
        <v>1756</v>
      </c>
      <c r="I354">
        <v>0</v>
      </c>
      <c r="J354" t="s">
        <v>1470</v>
      </c>
    </row>
    <row r="355" spans="1:10" x14ac:dyDescent="0.2">
      <c r="A355" t="s">
        <v>347</v>
      </c>
      <c r="B355" t="s">
        <v>346</v>
      </c>
      <c r="C355" t="s">
        <v>1492</v>
      </c>
      <c r="D355">
        <v>0</v>
      </c>
      <c r="E355" s="329">
        <v>60</v>
      </c>
      <c r="F355" t="s">
        <v>1498</v>
      </c>
      <c r="G355">
        <v>2</v>
      </c>
      <c r="H355" t="s">
        <v>1756</v>
      </c>
      <c r="I355">
        <v>0</v>
      </c>
      <c r="J355" t="s">
        <v>1470</v>
      </c>
    </row>
    <row r="356" spans="1:10" x14ac:dyDescent="0.2">
      <c r="A356" t="s">
        <v>390</v>
      </c>
      <c r="B356" t="s">
        <v>389</v>
      </c>
      <c r="C356" t="s">
        <v>1492</v>
      </c>
      <c r="D356">
        <v>0</v>
      </c>
      <c r="E356" s="329">
        <v>55</v>
      </c>
      <c r="F356" t="s">
        <v>1498</v>
      </c>
      <c r="G356">
        <v>2</v>
      </c>
      <c r="H356" t="s">
        <v>1756</v>
      </c>
      <c r="I356">
        <v>0</v>
      </c>
      <c r="J356" t="s">
        <v>1470</v>
      </c>
    </row>
    <row r="357" spans="1:10" x14ac:dyDescent="0.2">
      <c r="A357" t="s">
        <v>966</v>
      </c>
      <c r="B357" t="s">
        <v>965</v>
      </c>
      <c r="C357" t="s">
        <v>1492</v>
      </c>
      <c r="D357">
        <v>0</v>
      </c>
      <c r="E357" s="329">
        <v>85</v>
      </c>
      <c r="F357" t="s">
        <v>1498</v>
      </c>
      <c r="G357">
        <v>2</v>
      </c>
      <c r="H357" t="s">
        <v>1756</v>
      </c>
      <c r="I357">
        <v>0</v>
      </c>
      <c r="J357" t="s">
        <v>1470</v>
      </c>
    </row>
    <row r="358" spans="1:10" x14ac:dyDescent="0.2">
      <c r="A358" t="s">
        <v>145</v>
      </c>
      <c r="B358" t="s">
        <v>144</v>
      </c>
      <c r="C358" t="s">
        <v>1492</v>
      </c>
      <c r="D358">
        <v>0</v>
      </c>
      <c r="E358" s="329">
        <v>55</v>
      </c>
      <c r="F358" t="s">
        <v>1498</v>
      </c>
      <c r="G358">
        <v>2</v>
      </c>
      <c r="H358" t="s">
        <v>1756</v>
      </c>
      <c r="I358">
        <v>0</v>
      </c>
      <c r="J358" t="s">
        <v>1470</v>
      </c>
    </row>
    <row r="359" spans="1:10" x14ac:dyDescent="0.2">
      <c r="A359" t="s">
        <v>180</v>
      </c>
      <c r="B359" t="s">
        <v>179</v>
      </c>
      <c r="C359" t="s">
        <v>1492</v>
      </c>
      <c r="D359">
        <v>0</v>
      </c>
      <c r="E359" s="329">
        <v>80</v>
      </c>
      <c r="F359" t="s">
        <v>1498</v>
      </c>
      <c r="G359">
        <v>2</v>
      </c>
      <c r="H359" t="s">
        <v>1756</v>
      </c>
      <c r="I359">
        <v>0</v>
      </c>
      <c r="J359" t="s">
        <v>1470</v>
      </c>
    </row>
    <row r="360" spans="1:10" x14ac:dyDescent="0.2">
      <c r="A360" t="s">
        <v>194</v>
      </c>
      <c r="B360" t="s">
        <v>45</v>
      </c>
      <c r="C360" t="s">
        <v>1492</v>
      </c>
      <c r="D360">
        <v>0</v>
      </c>
      <c r="E360" s="329">
        <v>80</v>
      </c>
      <c r="F360" t="s">
        <v>1498</v>
      </c>
      <c r="G360">
        <v>1</v>
      </c>
      <c r="H360" t="s">
        <v>1756</v>
      </c>
      <c r="I360">
        <v>0</v>
      </c>
      <c r="J360" t="s">
        <v>1470</v>
      </c>
    </row>
    <row r="361" spans="1:10" x14ac:dyDescent="0.2">
      <c r="A361" t="s">
        <v>237</v>
      </c>
      <c r="B361" t="s">
        <v>236</v>
      </c>
      <c r="C361" t="s">
        <v>1492</v>
      </c>
      <c r="D361">
        <v>0</v>
      </c>
      <c r="E361" s="329">
        <v>80</v>
      </c>
      <c r="F361" t="s">
        <v>1498</v>
      </c>
      <c r="G361">
        <v>2</v>
      </c>
      <c r="H361" t="s">
        <v>1756</v>
      </c>
      <c r="I361">
        <v>0</v>
      </c>
      <c r="J361" t="s">
        <v>1470</v>
      </c>
    </row>
    <row r="362" spans="1:10" x14ac:dyDescent="0.2">
      <c r="A362" t="s">
        <v>240</v>
      </c>
      <c r="B362" t="s">
        <v>239</v>
      </c>
      <c r="C362" t="s">
        <v>1492</v>
      </c>
      <c r="D362">
        <v>0</v>
      </c>
      <c r="E362" s="329">
        <v>75</v>
      </c>
      <c r="F362" t="s">
        <v>1498</v>
      </c>
      <c r="G362">
        <v>1</v>
      </c>
      <c r="H362" t="s">
        <v>1756</v>
      </c>
      <c r="I362">
        <v>0</v>
      </c>
      <c r="J362" t="s">
        <v>1470</v>
      </c>
    </row>
    <row r="363" spans="1:10" x14ac:dyDescent="0.2">
      <c r="A363" t="s">
        <v>370</v>
      </c>
      <c r="B363" t="s">
        <v>369</v>
      </c>
      <c r="C363" t="s">
        <v>1492</v>
      </c>
      <c r="D363">
        <v>0</v>
      </c>
      <c r="E363" s="329">
        <v>90</v>
      </c>
      <c r="F363" t="s">
        <v>1498</v>
      </c>
      <c r="G363">
        <v>2</v>
      </c>
      <c r="H363" t="s">
        <v>1756</v>
      </c>
      <c r="I363">
        <v>0</v>
      </c>
      <c r="J363" t="s">
        <v>1470</v>
      </c>
    </row>
    <row r="364" spans="1:10" x14ac:dyDescent="0.2">
      <c r="A364" t="s">
        <v>392</v>
      </c>
      <c r="B364" t="s">
        <v>322</v>
      </c>
      <c r="C364" t="s">
        <v>1492</v>
      </c>
      <c r="D364">
        <v>0</v>
      </c>
      <c r="E364" s="329">
        <v>80</v>
      </c>
      <c r="F364" t="s">
        <v>1498</v>
      </c>
      <c r="G364">
        <v>1</v>
      </c>
      <c r="H364" t="s">
        <v>1756</v>
      </c>
      <c r="I364">
        <v>0</v>
      </c>
      <c r="J364" t="s">
        <v>1470</v>
      </c>
    </row>
    <row r="365" spans="1:10" x14ac:dyDescent="0.2">
      <c r="A365" t="s">
        <v>500</v>
      </c>
      <c r="B365" t="s">
        <v>499</v>
      </c>
      <c r="C365" t="s">
        <v>1492</v>
      </c>
      <c r="D365">
        <v>0</v>
      </c>
      <c r="E365" s="329">
        <v>52</v>
      </c>
      <c r="F365" t="s">
        <v>1498</v>
      </c>
      <c r="G365">
        <v>2</v>
      </c>
      <c r="H365" t="s">
        <v>1756</v>
      </c>
      <c r="I365">
        <v>0</v>
      </c>
      <c r="J365" t="s">
        <v>1470</v>
      </c>
    </row>
    <row r="366" spans="1:10" x14ac:dyDescent="0.2">
      <c r="A366" t="s">
        <v>542</v>
      </c>
      <c r="B366" t="s">
        <v>541</v>
      </c>
      <c r="C366" t="s">
        <v>1492</v>
      </c>
      <c r="D366">
        <v>0</v>
      </c>
      <c r="E366" s="329">
        <v>80</v>
      </c>
      <c r="F366" t="s">
        <v>1498</v>
      </c>
      <c r="G366">
        <v>2</v>
      </c>
      <c r="H366" t="s">
        <v>1756</v>
      </c>
      <c r="I366">
        <v>0</v>
      </c>
      <c r="J366" t="s">
        <v>1470</v>
      </c>
    </row>
    <row r="367" spans="1:10" x14ac:dyDescent="0.2">
      <c r="A367" t="s">
        <v>565</v>
      </c>
      <c r="B367" t="s">
        <v>564</v>
      </c>
      <c r="C367" t="s">
        <v>1492</v>
      </c>
      <c r="D367">
        <v>0</v>
      </c>
      <c r="E367" s="329">
        <v>52</v>
      </c>
      <c r="F367" t="s">
        <v>1498</v>
      </c>
      <c r="G367">
        <v>2</v>
      </c>
      <c r="H367" t="s">
        <v>1756</v>
      </c>
      <c r="I367">
        <v>0</v>
      </c>
      <c r="J367" t="s">
        <v>1470</v>
      </c>
    </row>
    <row r="368" spans="1:10" x14ac:dyDescent="0.2">
      <c r="A368" t="s">
        <v>573</v>
      </c>
      <c r="B368" t="s">
        <v>572</v>
      </c>
      <c r="C368" t="s">
        <v>1492</v>
      </c>
      <c r="D368">
        <v>0</v>
      </c>
      <c r="E368" s="329">
        <v>90</v>
      </c>
      <c r="F368" t="s">
        <v>1498</v>
      </c>
      <c r="G368">
        <v>1</v>
      </c>
      <c r="H368" t="s">
        <v>1756</v>
      </c>
      <c r="I368">
        <v>0</v>
      </c>
      <c r="J368" t="s">
        <v>1470</v>
      </c>
    </row>
    <row r="369" spans="1:10" x14ac:dyDescent="0.2">
      <c r="A369" t="s">
        <v>656</v>
      </c>
      <c r="B369" t="s">
        <v>655</v>
      </c>
      <c r="C369" t="s">
        <v>1492</v>
      </c>
      <c r="D369">
        <v>0</v>
      </c>
      <c r="E369" s="329">
        <v>55</v>
      </c>
      <c r="F369" t="s">
        <v>1498</v>
      </c>
      <c r="G369">
        <v>2</v>
      </c>
      <c r="H369" t="s">
        <v>1756</v>
      </c>
      <c r="I369">
        <v>0</v>
      </c>
      <c r="J369" t="s">
        <v>1470</v>
      </c>
    </row>
    <row r="370" spans="1:10" x14ac:dyDescent="0.2">
      <c r="A370" t="s">
        <v>687</v>
      </c>
      <c r="B370" t="s">
        <v>686</v>
      </c>
      <c r="C370" t="s">
        <v>1492</v>
      </c>
      <c r="D370">
        <v>0</v>
      </c>
      <c r="E370" s="329">
        <v>55</v>
      </c>
      <c r="F370" t="s">
        <v>1498</v>
      </c>
      <c r="G370">
        <v>2</v>
      </c>
      <c r="H370" t="s">
        <v>1756</v>
      </c>
      <c r="I370">
        <v>0</v>
      </c>
      <c r="J370" t="s">
        <v>1470</v>
      </c>
    </row>
    <row r="371" spans="1:10" x14ac:dyDescent="0.2">
      <c r="A371" t="s">
        <v>705</v>
      </c>
      <c r="B371" t="s">
        <v>704</v>
      </c>
      <c r="C371" t="s">
        <v>1492</v>
      </c>
      <c r="D371">
        <v>0</v>
      </c>
      <c r="E371" s="329">
        <v>60</v>
      </c>
      <c r="F371" t="s">
        <v>1498</v>
      </c>
      <c r="G371">
        <v>2</v>
      </c>
      <c r="H371" t="s">
        <v>1756</v>
      </c>
      <c r="I371">
        <v>0</v>
      </c>
      <c r="J371" t="s">
        <v>1470</v>
      </c>
    </row>
    <row r="372" spans="1:10" x14ac:dyDescent="0.2">
      <c r="A372" t="s">
        <v>723</v>
      </c>
      <c r="B372" t="s">
        <v>722</v>
      </c>
      <c r="C372" t="s">
        <v>1492</v>
      </c>
      <c r="D372">
        <v>0</v>
      </c>
      <c r="E372" s="329">
        <v>70</v>
      </c>
      <c r="F372" t="s">
        <v>1498</v>
      </c>
      <c r="G372">
        <v>1</v>
      </c>
      <c r="H372" t="s">
        <v>1756</v>
      </c>
      <c r="I372">
        <v>0</v>
      </c>
      <c r="J372" t="s">
        <v>1470</v>
      </c>
    </row>
    <row r="373" spans="1:10" x14ac:dyDescent="0.2">
      <c r="A373" t="s">
        <v>728</v>
      </c>
      <c r="B373" t="s">
        <v>727</v>
      </c>
      <c r="C373" t="s">
        <v>1492</v>
      </c>
      <c r="D373">
        <v>0</v>
      </c>
      <c r="E373" s="329">
        <v>60</v>
      </c>
      <c r="F373" t="s">
        <v>1498</v>
      </c>
      <c r="G373">
        <v>2</v>
      </c>
      <c r="H373" t="s">
        <v>1756</v>
      </c>
      <c r="I373">
        <v>0</v>
      </c>
      <c r="J373" t="s">
        <v>1470</v>
      </c>
    </row>
    <row r="374" spans="1:10" x14ac:dyDescent="0.2">
      <c r="A374" t="s">
        <v>782</v>
      </c>
      <c r="B374" t="s">
        <v>781</v>
      </c>
      <c r="C374" t="s">
        <v>1492</v>
      </c>
      <c r="D374">
        <v>0</v>
      </c>
      <c r="E374" s="329">
        <v>75</v>
      </c>
      <c r="F374" t="s">
        <v>1498</v>
      </c>
      <c r="G374">
        <v>2</v>
      </c>
      <c r="H374" t="s">
        <v>1756</v>
      </c>
      <c r="I374">
        <v>0</v>
      </c>
      <c r="J374" t="s">
        <v>1470</v>
      </c>
    </row>
    <row r="375" spans="1:10" x14ac:dyDescent="0.2">
      <c r="A375" t="s">
        <v>820</v>
      </c>
      <c r="B375" t="s">
        <v>819</v>
      </c>
      <c r="C375" t="s">
        <v>1492</v>
      </c>
      <c r="D375">
        <v>0</v>
      </c>
      <c r="E375" s="329">
        <v>63</v>
      </c>
      <c r="F375" t="s">
        <v>1498</v>
      </c>
      <c r="G375">
        <v>2</v>
      </c>
      <c r="H375" t="s">
        <v>1756</v>
      </c>
      <c r="I375">
        <v>0</v>
      </c>
      <c r="J375" t="s">
        <v>1470</v>
      </c>
    </row>
    <row r="376" spans="1:10" x14ac:dyDescent="0.2">
      <c r="A376" t="s">
        <v>901</v>
      </c>
      <c r="B376" t="s">
        <v>900</v>
      </c>
      <c r="C376" t="s">
        <v>1492</v>
      </c>
      <c r="D376">
        <v>0</v>
      </c>
      <c r="E376" s="329">
        <v>52</v>
      </c>
      <c r="F376" t="s">
        <v>1498</v>
      </c>
      <c r="G376">
        <v>1</v>
      </c>
      <c r="H376" t="s">
        <v>1756</v>
      </c>
      <c r="I376">
        <v>0</v>
      </c>
      <c r="J376" t="s">
        <v>1470</v>
      </c>
    </row>
    <row r="377" spans="1:10" x14ac:dyDescent="0.2">
      <c r="A377" t="s">
        <v>934</v>
      </c>
      <c r="B377" t="s">
        <v>722</v>
      </c>
      <c r="C377" t="s">
        <v>1492</v>
      </c>
      <c r="D377">
        <v>0</v>
      </c>
      <c r="E377" s="329">
        <v>70</v>
      </c>
      <c r="F377" t="s">
        <v>1498</v>
      </c>
      <c r="G377">
        <v>1</v>
      </c>
      <c r="H377" t="s">
        <v>1756</v>
      </c>
      <c r="I377">
        <v>0</v>
      </c>
      <c r="J377" t="s">
        <v>1470</v>
      </c>
    </row>
    <row r="378" spans="1:10" x14ac:dyDescent="0.2">
      <c r="A378" t="s">
        <v>954</v>
      </c>
      <c r="B378" t="s">
        <v>953</v>
      </c>
      <c r="C378" t="s">
        <v>1492</v>
      </c>
      <c r="D378">
        <v>0</v>
      </c>
      <c r="E378" s="329">
        <v>52</v>
      </c>
      <c r="F378" t="s">
        <v>1498</v>
      </c>
      <c r="G378">
        <v>2</v>
      </c>
      <c r="H378" t="s">
        <v>1756</v>
      </c>
      <c r="I378">
        <v>0</v>
      </c>
      <c r="J378" t="s">
        <v>1470</v>
      </c>
    </row>
    <row r="379" spans="1:10" x14ac:dyDescent="0.2">
      <c r="A379" t="s">
        <v>693</v>
      </c>
      <c r="B379" t="s">
        <v>692</v>
      </c>
      <c r="C379" t="s">
        <v>1492</v>
      </c>
      <c r="D379">
        <v>0</v>
      </c>
      <c r="E379" s="329">
        <v>65</v>
      </c>
      <c r="F379" t="s">
        <v>1498</v>
      </c>
      <c r="G379">
        <v>1</v>
      </c>
      <c r="H379" t="s">
        <v>1756</v>
      </c>
      <c r="I379">
        <v>0</v>
      </c>
      <c r="J379" t="s">
        <v>1470</v>
      </c>
    </row>
    <row r="380" spans="1:10" x14ac:dyDescent="0.2">
      <c r="A380" t="s">
        <v>62</v>
      </c>
      <c r="B380" t="s">
        <v>61</v>
      </c>
      <c r="C380" t="s">
        <v>1492</v>
      </c>
      <c r="D380">
        <v>0</v>
      </c>
      <c r="E380" s="329">
        <v>55</v>
      </c>
      <c r="F380" t="s">
        <v>1498</v>
      </c>
      <c r="G380">
        <v>1</v>
      </c>
      <c r="H380" t="s">
        <v>1756</v>
      </c>
      <c r="I380">
        <v>0</v>
      </c>
      <c r="J380" t="s">
        <v>1470</v>
      </c>
    </row>
    <row r="381" spans="1:10" x14ac:dyDescent="0.2">
      <c r="A381" t="s">
        <v>266</v>
      </c>
      <c r="B381" t="s">
        <v>265</v>
      </c>
      <c r="C381" t="s">
        <v>1492</v>
      </c>
      <c r="D381">
        <v>0</v>
      </c>
      <c r="E381" s="329">
        <v>96</v>
      </c>
      <c r="F381" t="s">
        <v>1498</v>
      </c>
      <c r="G381">
        <v>1</v>
      </c>
      <c r="H381" t="s">
        <v>1756</v>
      </c>
      <c r="I381">
        <v>0</v>
      </c>
      <c r="J381" t="s">
        <v>1470</v>
      </c>
    </row>
    <row r="382" spans="1:10" x14ac:dyDescent="0.2">
      <c r="A382" t="s">
        <v>644</v>
      </c>
      <c r="B382" t="s">
        <v>643</v>
      </c>
      <c r="C382" t="s">
        <v>1492</v>
      </c>
      <c r="D382">
        <v>0</v>
      </c>
      <c r="E382" s="329">
        <v>84</v>
      </c>
      <c r="F382" t="s">
        <v>1498</v>
      </c>
      <c r="G382">
        <v>1</v>
      </c>
      <c r="H382" t="s">
        <v>1756</v>
      </c>
      <c r="I382">
        <v>0</v>
      </c>
      <c r="J382" t="s">
        <v>1470</v>
      </c>
    </row>
    <row r="383" spans="1:10" x14ac:dyDescent="0.2">
      <c r="A383" t="s">
        <v>734</v>
      </c>
      <c r="B383" t="s">
        <v>733</v>
      </c>
      <c r="C383" t="s">
        <v>1492</v>
      </c>
      <c r="D383">
        <v>0</v>
      </c>
      <c r="E383" s="329">
        <v>80</v>
      </c>
      <c r="F383" t="s">
        <v>1498</v>
      </c>
      <c r="G383">
        <v>1</v>
      </c>
      <c r="H383" t="s">
        <v>1756</v>
      </c>
      <c r="I383">
        <v>0</v>
      </c>
      <c r="J383" t="s">
        <v>1470</v>
      </c>
    </row>
    <row r="384" spans="1:10" x14ac:dyDescent="0.2">
      <c r="A384" t="s">
        <v>27</v>
      </c>
      <c r="B384" t="s">
        <v>26</v>
      </c>
      <c r="C384" t="s">
        <v>1492</v>
      </c>
      <c r="D384">
        <v>0</v>
      </c>
      <c r="E384" s="329">
        <v>60</v>
      </c>
      <c r="F384" t="s">
        <v>1498</v>
      </c>
      <c r="G384">
        <v>1</v>
      </c>
      <c r="H384" t="s">
        <v>1756</v>
      </c>
      <c r="I384">
        <v>0</v>
      </c>
      <c r="J384" t="s">
        <v>1470</v>
      </c>
    </row>
    <row r="385" spans="1:10" x14ac:dyDescent="0.2">
      <c r="A385" t="s">
        <v>224</v>
      </c>
      <c r="B385" t="s">
        <v>223</v>
      </c>
      <c r="C385" t="s">
        <v>1492</v>
      </c>
      <c r="D385">
        <v>0</v>
      </c>
      <c r="E385" s="329">
        <v>90</v>
      </c>
      <c r="F385" t="s">
        <v>1498</v>
      </c>
      <c r="G385">
        <v>1</v>
      </c>
      <c r="H385" t="s">
        <v>1756</v>
      </c>
      <c r="I385">
        <v>0</v>
      </c>
      <c r="J385" t="s">
        <v>1470</v>
      </c>
    </row>
    <row r="386" spans="1:10" x14ac:dyDescent="0.2">
      <c r="A386" t="s">
        <v>230</v>
      </c>
      <c r="B386" t="s">
        <v>229</v>
      </c>
      <c r="C386" t="s">
        <v>1492</v>
      </c>
      <c r="D386">
        <v>0</v>
      </c>
      <c r="E386" s="329">
        <v>70</v>
      </c>
      <c r="F386" t="s">
        <v>1498</v>
      </c>
      <c r="G386">
        <v>1</v>
      </c>
      <c r="H386" t="s">
        <v>1756</v>
      </c>
      <c r="I386">
        <v>0</v>
      </c>
      <c r="J386" t="s">
        <v>1470</v>
      </c>
    </row>
    <row r="387" spans="1:10" x14ac:dyDescent="0.2">
      <c r="A387" t="s">
        <v>367</v>
      </c>
      <c r="B387" t="s">
        <v>366</v>
      </c>
      <c r="C387" t="s">
        <v>1492</v>
      </c>
      <c r="D387">
        <v>0</v>
      </c>
      <c r="E387" s="329">
        <v>84</v>
      </c>
      <c r="F387" t="s">
        <v>1498</v>
      </c>
      <c r="G387">
        <v>1</v>
      </c>
      <c r="H387" t="s">
        <v>1756</v>
      </c>
      <c r="I387">
        <v>0</v>
      </c>
      <c r="J387" t="s">
        <v>1470</v>
      </c>
    </row>
    <row r="388" spans="1:10" x14ac:dyDescent="0.2">
      <c r="A388" t="s">
        <v>450</v>
      </c>
      <c r="B388" t="s">
        <v>449</v>
      </c>
      <c r="C388" t="s">
        <v>1492</v>
      </c>
      <c r="D388">
        <v>0</v>
      </c>
      <c r="E388" s="329">
        <v>80</v>
      </c>
      <c r="F388" t="s">
        <v>1498</v>
      </c>
      <c r="G388">
        <v>1</v>
      </c>
      <c r="H388" t="s">
        <v>1756</v>
      </c>
      <c r="I388">
        <v>0</v>
      </c>
      <c r="J388" t="s">
        <v>1470</v>
      </c>
    </row>
    <row r="389" spans="1:10" x14ac:dyDescent="0.2">
      <c r="A389" t="s">
        <v>665</v>
      </c>
      <c r="B389" t="s">
        <v>664</v>
      </c>
      <c r="C389" t="s">
        <v>1492</v>
      </c>
      <c r="D389">
        <v>0</v>
      </c>
      <c r="E389" s="329">
        <v>80</v>
      </c>
      <c r="F389" t="s">
        <v>1498</v>
      </c>
      <c r="G389">
        <v>1</v>
      </c>
      <c r="H389" t="s">
        <v>1756</v>
      </c>
      <c r="I389">
        <v>0</v>
      </c>
      <c r="J389" t="s">
        <v>1470</v>
      </c>
    </row>
    <row r="390" spans="1:10" x14ac:dyDescent="0.2">
      <c r="A390" t="s">
        <v>690</v>
      </c>
      <c r="B390" t="s">
        <v>689</v>
      </c>
      <c r="C390" t="s">
        <v>1492</v>
      </c>
      <c r="D390">
        <v>0</v>
      </c>
      <c r="E390" s="329">
        <v>80</v>
      </c>
      <c r="F390" t="s">
        <v>1498</v>
      </c>
      <c r="G390">
        <v>1</v>
      </c>
      <c r="H390" t="s">
        <v>1756</v>
      </c>
      <c r="I390">
        <v>0</v>
      </c>
      <c r="J390" t="s">
        <v>1470</v>
      </c>
    </row>
    <row r="391" spans="1:10" x14ac:dyDescent="0.2">
      <c r="A391" t="s">
        <v>987</v>
      </c>
      <c r="B391" t="s">
        <v>986</v>
      </c>
      <c r="C391" t="s">
        <v>1492</v>
      </c>
      <c r="D391">
        <v>0</v>
      </c>
      <c r="E391" s="329">
        <v>98</v>
      </c>
      <c r="F391" t="s">
        <v>1498</v>
      </c>
      <c r="G391">
        <v>1</v>
      </c>
      <c r="H391" t="s">
        <v>1756</v>
      </c>
      <c r="I391">
        <v>0</v>
      </c>
      <c r="J391" t="s">
        <v>1470</v>
      </c>
    </row>
    <row r="392" spans="1:10" x14ac:dyDescent="0.2">
      <c r="A392" t="s">
        <v>1045</v>
      </c>
      <c r="B392" t="s">
        <v>1044</v>
      </c>
      <c r="C392" t="s">
        <v>1492</v>
      </c>
      <c r="D392">
        <v>0</v>
      </c>
      <c r="E392" s="329">
        <v>77</v>
      </c>
      <c r="F392" t="s">
        <v>1498</v>
      </c>
      <c r="G392">
        <v>1</v>
      </c>
      <c r="H392" t="s">
        <v>1756</v>
      </c>
      <c r="I392">
        <v>0</v>
      </c>
      <c r="J392" t="s">
        <v>1470</v>
      </c>
    </row>
    <row r="393" spans="1:10" x14ac:dyDescent="0.2">
      <c r="A393" t="s">
        <v>1057</v>
      </c>
      <c r="B393" t="s">
        <v>1056</v>
      </c>
      <c r="C393" t="s">
        <v>1492</v>
      </c>
      <c r="D393">
        <v>0</v>
      </c>
      <c r="E393" s="329">
        <v>60</v>
      </c>
      <c r="F393" t="s">
        <v>1498</v>
      </c>
      <c r="G393">
        <v>1</v>
      </c>
      <c r="H393" t="s">
        <v>1756</v>
      </c>
      <c r="I393">
        <v>0</v>
      </c>
      <c r="J393" t="s">
        <v>1470</v>
      </c>
    </row>
    <row r="394" spans="1:10" x14ac:dyDescent="0.2">
      <c r="A394" t="s">
        <v>1118</v>
      </c>
      <c r="B394" t="s">
        <v>1117</v>
      </c>
      <c r="C394" t="s">
        <v>1492</v>
      </c>
      <c r="D394">
        <v>0</v>
      </c>
      <c r="E394" s="329">
        <v>52</v>
      </c>
      <c r="F394" t="s">
        <v>1498</v>
      </c>
      <c r="G394">
        <v>2</v>
      </c>
      <c r="H394" t="s">
        <v>1756</v>
      </c>
      <c r="I394">
        <v>0</v>
      </c>
      <c r="J394" t="s">
        <v>1470</v>
      </c>
    </row>
    <row r="395" spans="1:10" x14ac:dyDescent="0.2">
      <c r="A395" t="s">
        <v>1170</v>
      </c>
      <c r="B395" t="s">
        <v>1169</v>
      </c>
      <c r="C395" t="s">
        <v>1492</v>
      </c>
      <c r="D395">
        <v>0</v>
      </c>
      <c r="E395" s="329">
        <v>98</v>
      </c>
      <c r="F395" t="s">
        <v>1498</v>
      </c>
      <c r="G395">
        <v>1</v>
      </c>
      <c r="H395" t="s">
        <v>1756</v>
      </c>
      <c r="I395">
        <v>0</v>
      </c>
      <c r="J395" t="s">
        <v>1470</v>
      </c>
    </row>
    <row r="396" spans="1:10" x14ac:dyDescent="0.2">
      <c r="A396" t="s">
        <v>1197</v>
      </c>
      <c r="B396" t="s">
        <v>683</v>
      </c>
      <c r="C396" t="s">
        <v>1492</v>
      </c>
      <c r="D396">
        <v>0</v>
      </c>
      <c r="E396" s="329">
        <v>80</v>
      </c>
      <c r="F396" t="s">
        <v>1498</v>
      </c>
      <c r="G396">
        <v>1</v>
      </c>
      <c r="H396" t="s">
        <v>1756</v>
      </c>
      <c r="I396">
        <v>0</v>
      </c>
      <c r="J396" t="s">
        <v>1470</v>
      </c>
    </row>
    <row r="397" spans="1:10" x14ac:dyDescent="0.2">
      <c r="A397" t="s">
        <v>1206</v>
      </c>
      <c r="B397" t="s">
        <v>56</v>
      </c>
      <c r="C397" t="s">
        <v>1492</v>
      </c>
      <c r="D397">
        <v>0</v>
      </c>
      <c r="E397" s="329">
        <v>96</v>
      </c>
      <c r="F397" t="s">
        <v>1498</v>
      </c>
      <c r="G397">
        <v>1</v>
      </c>
      <c r="H397" t="s">
        <v>1756</v>
      </c>
      <c r="I397">
        <v>0</v>
      </c>
      <c r="J397" t="s">
        <v>1470</v>
      </c>
    </row>
    <row r="398" spans="1:10" x14ac:dyDescent="0.2">
      <c r="A398" t="s">
        <v>1220</v>
      </c>
      <c r="B398" t="s">
        <v>239</v>
      </c>
      <c r="C398" t="s">
        <v>1492</v>
      </c>
      <c r="D398">
        <v>0</v>
      </c>
      <c r="E398" s="329">
        <v>52</v>
      </c>
      <c r="F398" t="s">
        <v>1498</v>
      </c>
      <c r="G398">
        <v>1</v>
      </c>
      <c r="H398" t="s">
        <v>1756</v>
      </c>
      <c r="I398">
        <v>0</v>
      </c>
      <c r="J398" t="s">
        <v>1470</v>
      </c>
    </row>
    <row r="399" spans="1:10" x14ac:dyDescent="0.2">
      <c r="A399" t="s">
        <v>1227</v>
      </c>
      <c r="B399" t="s">
        <v>1226</v>
      </c>
      <c r="C399" t="s">
        <v>1492</v>
      </c>
      <c r="D399">
        <v>0</v>
      </c>
      <c r="E399" s="329">
        <v>65</v>
      </c>
      <c r="F399" t="s">
        <v>1498</v>
      </c>
      <c r="G399">
        <v>2</v>
      </c>
      <c r="H399" t="s">
        <v>1756</v>
      </c>
      <c r="I399">
        <v>0</v>
      </c>
      <c r="J399" t="s">
        <v>1470</v>
      </c>
    </row>
    <row r="400" spans="1:10" x14ac:dyDescent="0.2">
      <c r="A400" t="s">
        <v>1233</v>
      </c>
      <c r="B400" t="s">
        <v>1232</v>
      </c>
      <c r="C400" t="s">
        <v>1492</v>
      </c>
      <c r="D400">
        <v>0</v>
      </c>
      <c r="E400" s="329">
        <v>68</v>
      </c>
      <c r="F400" t="s">
        <v>1498</v>
      </c>
      <c r="G400">
        <v>2</v>
      </c>
      <c r="H400" t="s">
        <v>1756</v>
      </c>
      <c r="I400">
        <v>0</v>
      </c>
      <c r="J400" t="s">
        <v>1470</v>
      </c>
    </row>
    <row r="401" spans="1:10" x14ac:dyDescent="0.2">
      <c r="A401" t="s">
        <v>1247</v>
      </c>
      <c r="B401" t="s">
        <v>400</v>
      </c>
      <c r="C401" t="s">
        <v>1492</v>
      </c>
      <c r="D401">
        <v>0</v>
      </c>
      <c r="E401" s="329">
        <v>66</v>
      </c>
      <c r="F401" t="s">
        <v>1498</v>
      </c>
      <c r="G401">
        <v>1</v>
      </c>
      <c r="H401" t="s">
        <v>1756</v>
      </c>
      <c r="I401">
        <v>0</v>
      </c>
      <c r="J401" t="s">
        <v>1470</v>
      </c>
    </row>
    <row r="402" spans="1:10" x14ac:dyDescent="0.2">
      <c r="A402" t="s">
        <v>1265</v>
      </c>
      <c r="B402" t="s">
        <v>900</v>
      </c>
      <c r="C402" t="s">
        <v>1492</v>
      </c>
      <c r="D402">
        <v>0</v>
      </c>
      <c r="E402" s="329">
        <v>75</v>
      </c>
      <c r="F402" t="s">
        <v>1498</v>
      </c>
      <c r="G402">
        <v>1</v>
      </c>
      <c r="H402" t="s">
        <v>1756</v>
      </c>
      <c r="I402">
        <v>0</v>
      </c>
      <c r="J402" t="s">
        <v>1470</v>
      </c>
    </row>
    <row r="403" spans="1:10" x14ac:dyDescent="0.2">
      <c r="A403" t="s">
        <v>1293</v>
      </c>
      <c r="B403" t="s">
        <v>766</v>
      </c>
      <c r="C403" t="s">
        <v>1492</v>
      </c>
      <c r="D403">
        <v>0</v>
      </c>
      <c r="E403" s="329">
        <v>54</v>
      </c>
      <c r="F403" t="s">
        <v>1498</v>
      </c>
      <c r="G403">
        <v>1</v>
      </c>
      <c r="H403" t="s">
        <v>1756</v>
      </c>
      <c r="I403">
        <v>0</v>
      </c>
      <c r="J403" t="s">
        <v>1470</v>
      </c>
    </row>
    <row r="404" spans="1:10" x14ac:dyDescent="0.2">
      <c r="A404" t="s">
        <v>1343</v>
      </c>
      <c r="B404" t="s">
        <v>248</v>
      </c>
      <c r="C404" t="s">
        <v>1492</v>
      </c>
      <c r="D404">
        <v>0</v>
      </c>
      <c r="E404" s="329">
        <v>72</v>
      </c>
      <c r="F404" t="s">
        <v>1498</v>
      </c>
      <c r="G404">
        <v>1</v>
      </c>
      <c r="H404" t="s">
        <v>1756</v>
      </c>
      <c r="I404">
        <v>0</v>
      </c>
      <c r="J404" t="s">
        <v>1470</v>
      </c>
    </row>
    <row r="405" spans="1:10" x14ac:dyDescent="0.2">
      <c r="A405" t="s">
        <v>1370</v>
      </c>
      <c r="B405" t="s">
        <v>683</v>
      </c>
      <c r="C405" t="s">
        <v>1492</v>
      </c>
      <c r="D405">
        <v>0</v>
      </c>
      <c r="E405" s="329">
        <v>80</v>
      </c>
      <c r="F405" t="s">
        <v>1498</v>
      </c>
      <c r="G405">
        <v>1</v>
      </c>
      <c r="H405" t="s">
        <v>1756</v>
      </c>
      <c r="I405">
        <v>0</v>
      </c>
      <c r="J405" t="s">
        <v>1470</v>
      </c>
    </row>
    <row r="406" spans="1:10" x14ac:dyDescent="0.2">
      <c r="A406" t="s">
        <v>1384</v>
      </c>
      <c r="B406" t="s">
        <v>572</v>
      </c>
      <c r="C406" t="s">
        <v>1492</v>
      </c>
      <c r="D406">
        <v>0</v>
      </c>
      <c r="E406" s="329">
        <v>90</v>
      </c>
      <c r="F406" t="s">
        <v>1498</v>
      </c>
      <c r="G406">
        <v>1</v>
      </c>
      <c r="H406" t="s">
        <v>1756</v>
      </c>
      <c r="I406">
        <v>0</v>
      </c>
      <c r="J406" t="s">
        <v>1470</v>
      </c>
    </row>
    <row r="407" spans="1:10" x14ac:dyDescent="0.2">
      <c r="A407" t="s">
        <v>1407</v>
      </c>
      <c r="B407" t="s">
        <v>1406</v>
      </c>
      <c r="C407" t="s">
        <v>1492</v>
      </c>
      <c r="D407">
        <v>0</v>
      </c>
      <c r="E407" s="329">
        <v>91</v>
      </c>
      <c r="F407" t="s">
        <v>1498</v>
      </c>
      <c r="G407">
        <v>1</v>
      </c>
      <c r="H407" t="s">
        <v>1756</v>
      </c>
      <c r="I407">
        <v>0</v>
      </c>
      <c r="J407" t="s">
        <v>1470</v>
      </c>
    </row>
    <row r="408" spans="1:10" x14ac:dyDescent="0.2">
      <c r="A408" t="s">
        <v>1424</v>
      </c>
      <c r="B408" t="s">
        <v>1423</v>
      </c>
      <c r="C408" t="s">
        <v>1492</v>
      </c>
      <c r="D408">
        <v>0</v>
      </c>
      <c r="E408" s="329">
        <v>65</v>
      </c>
      <c r="F408" t="s">
        <v>1498</v>
      </c>
      <c r="G408">
        <v>1</v>
      </c>
      <c r="H408" t="s">
        <v>1756</v>
      </c>
      <c r="I408">
        <v>0</v>
      </c>
      <c r="J408" t="s">
        <v>1470</v>
      </c>
    </row>
    <row r="409" spans="1:10" x14ac:dyDescent="0.2">
      <c r="A409" t="s">
        <v>1427</v>
      </c>
      <c r="B409" t="s">
        <v>1426</v>
      </c>
      <c r="C409" t="s">
        <v>1492</v>
      </c>
      <c r="D409">
        <v>0</v>
      </c>
      <c r="E409" s="329">
        <v>56</v>
      </c>
      <c r="F409" t="s">
        <v>1498</v>
      </c>
      <c r="G409">
        <v>1</v>
      </c>
      <c r="H409" t="s">
        <v>1756</v>
      </c>
      <c r="I409">
        <v>0</v>
      </c>
      <c r="J409" t="s">
        <v>1470</v>
      </c>
    </row>
    <row r="410" spans="1:10" x14ac:dyDescent="0.2">
      <c r="A410" t="s">
        <v>1442</v>
      </c>
      <c r="B410" t="s">
        <v>1441</v>
      </c>
      <c r="C410" t="s">
        <v>1492</v>
      </c>
      <c r="D410">
        <v>0</v>
      </c>
      <c r="E410" s="329">
        <v>72</v>
      </c>
      <c r="F410" t="s">
        <v>1498</v>
      </c>
      <c r="G410">
        <v>1</v>
      </c>
      <c r="H410" t="s">
        <v>1756</v>
      </c>
      <c r="I410">
        <v>0</v>
      </c>
      <c r="J410" t="s">
        <v>1470</v>
      </c>
    </row>
    <row r="411" spans="1:10" x14ac:dyDescent="0.2">
      <c r="A411" t="s">
        <v>1453</v>
      </c>
      <c r="B411" t="s">
        <v>1452</v>
      </c>
      <c r="C411" t="s">
        <v>1492</v>
      </c>
      <c r="D411">
        <v>0</v>
      </c>
      <c r="E411" s="329">
        <v>65</v>
      </c>
      <c r="F411" t="s">
        <v>1498</v>
      </c>
      <c r="G411">
        <v>1</v>
      </c>
      <c r="H411" t="s">
        <v>1756</v>
      </c>
      <c r="I411">
        <v>0</v>
      </c>
      <c r="J411" t="s">
        <v>1470</v>
      </c>
    </row>
    <row r="412" spans="1:10" x14ac:dyDescent="0.2">
      <c r="A412" t="s">
        <v>1463</v>
      </c>
      <c r="B412" t="s">
        <v>1462</v>
      </c>
      <c r="C412" t="s">
        <v>1492</v>
      </c>
      <c r="D412">
        <v>0</v>
      </c>
      <c r="E412" s="329">
        <v>63</v>
      </c>
      <c r="F412" t="s">
        <v>1498</v>
      </c>
      <c r="G412">
        <v>1</v>
      </c>
      <c r="H412" t="s">
        <v>1756</v>
      </c>
      <c r="I412">
        <v>0</v>
      </c>
      <c r="J412" t="s">
        <v>1470</v>
      </c>
    </row>
  </sheetData>
  <phoneticPr fontId="23" type="noConversion"/>
  <conditionalFormatting sqref="D1:D104857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9305F-2FA2-B146-993B-7D397F6C1A96}">
  <dimension ref="A1:P193"/>
  <sheetViews>
    <sheetView tabSelected="1" zoomScale="131" zoomScaleNormal="100" workbookViewId="0">
      <selection activeCell="J2" sqref="J2"/>
    </sheetView>
  </sheetViews>
  <sheetFormatPr baseColWidth="10" defaultRowHeight="16" x14ac:dyDescent="0.2"/>
  <cols>
    <col min="1" max="1" width="12.5" customWidth="1"/>
    <col min="3" max="3" width="13.1640625" customWidth="1"/>
    <col min="5" max="5" width="13.1640625" style="115" customWidth="1"/>
    <col min="6" max="6" width="19" customWidth="1"/>
    <col min="7" max="7" width="13.33203125" customWidth="1"/>
    <col min="8" max="9" width="15.1640625" customWidth="1"/>
  </cols>
  <sheetData>
    <row r="1" spans="1:11" x14ac:dyDescent="0.2">
      <c r="A1" t="s">
        <v>1483</v>
      </c>
      <c r="B1" t="s">
        <v>1484</v>
      </c>
      <c r="C1" t="s">
        <v>1486</v>
      </c>
      <c r="D1" t="s">
        <v>5</v>
      </c>
      <c r="E1" s="115" t="s">
        <v>1487</v>
      </c>
      <c r="F1" t="s">
        <v>1907</v>
      </c>
      <c r="G1" t="s">
        <v>1485</v>
      </c>
      <c r="H1" t="s">
        <v>1468</v>
      </c>
      <c r="I1" t="s">
        <v>1488</v>
      </c>
      <c r="J1" t="s">
        <v>1760</v>
      </c>
      <c r="K1" t="s">
        <v>1469</v>
      </c>
    </row>
    <row r="2" spans="1:11" x14ac:dyDescent="0.2">
      <c r="A2" t="s">
        <v>1051</v>
      </c>
      <c r="B2" t="s">
        <v>1050</v>
      </c>
      <c r="C2" t="s">
        <v>1494</v>
      </c>
      <c r="D2">
        <v>5</v>
      </c>
      <c r="E2" s="328">
        <v>136</v>
      </c>
      <c r="F2" t="s">
        <v>1495</v>
      </c>
      <c r="G2">
        <v>1</v>
      </c>
      <c r="H2" t="s">
        <v>1756</v>
      </c>
      <c r="I2">
        <v>5</v>
      </c>
      <c r="J2" s="122">
        <v>0.2</v>
      </c>
      <c r="K2" t="s">
        <v>1470</v>
      </c>
    </row>
    <row r="3" spans="1:11" x14ac:dyDescent="0.2">
      <c r="A3" t="s">
        <v>252</v>
      </c>
      <c r="B3" t="s">
        <v>251</v>
      </c>
      <c r="C3" t="s">
        <v>1494</v>
      </c>
      <c r="D3">
        <v>5</v>
      </c>
      <c r="E3" s="328">
        <v>136</v>
      </c>
      <c r="F3" t="s">
        <v>1495</v>
      </c>
      <c r="G3">
        <v>1</v>
      </c>
      <c r="H3" t="s">
        <v>1756</v>
      </c>
      <c r="I3">
        <v>2</v>
      </c>
      <c r="J3" s="122">
        <v>0.2</v>
      </c>
      <c r="K3" t="s">
        <v>1470</v>
      </c>
    </row>
    <row r="4" spans="1:11" x14ac:dyDescent="0.2">
      <c r="A4" t="s">
        <v>1252</v>
      </c>
      <c r="B4" t="s">
        <v>1251</v>
      </c>
      <c r="C4" t="s">
        <v>1494</v>
      </c>
      <c r="D4">
        <v>5</v>
      </c>
      <c r="E4" s="328">
        <v>136</v>
      </c>
      <c r="F4" t="s">
        <v>1495</v>
      </c>
      <c r="G4">
        <v>1</v>
      </c>
      <c r="H4" t="s">
        <v>1756</v>
      </c>
      <c r="I4">
        <v>1</v>
      </c>
      <c r="J4" s="122">
        <v>0.2</v>
      </c>
      <c r="K4" t="s">
        <v>1470</v>
      </c>
    </row>
    <row r="5" spans="1:11" x14ac:dyDescent="0.2">
      <c r="A5" t="s">
        <v>1325</v>
      </c>
      <c r="B5" t="s">
        <v>1324</v>
      </c>
      <c r="C5" t="s">
        <v>1494</v>
      </c>
      <c r="D5">
        <v>5</v>
      </c>
      <c r="E5" s="328">
        <v>128</v>
      </c>
      <c r="F5" t="s">
        <v>1495</v>
      </c>
      <c r="G5">
        <v>1</v>
      </c>
      <c r="H5" t="s">
        <v>1756</v>
      </c>
      <c r="I5">
        <v>1</v>
      </c>
      <c r="J5" s="122">
        <v>0.2</v>
      </c>
      <c r="K5" t="s">
        <v>1470</v>
      </c>
    </row>
    <row r="6" spans="1:11" x14ac:dyDescent="0.2">
      <c r="A6" t="s">
        <v>1448</v>
      </c>
      <c r="B6" t="s">
        <v>1447</v>
      </c>
      <c r="C6" t="s">
        <v>1494</v>
      </c>
      <c r="D6">
        <v>5</v>
      </c>
      <c r="E6" s="328">
        <v>128</v>
      </c>
      <c r="F6" t="s">
        <v>1495</v>
      </c>
      <c r="G6">
        <v>1</v>
      </c>
      <c r="H6" t="s">
        <v>1756</v>
      </c>
      <c r="I6">
        <v>1</v>
      </c>
      <c r="J6" s="122">
        <v>0.2</v>
      </c>
      <c r="K6" t="s">
        <v>1470</v>
      </c>
    </row>
    <row r="7" spans="1:11" x14ac:dyDescent="0.2">
      <c r="A7" t="s">
        <v>1458</v>
      </c>
      <c r="B7" t="s">
        <v>1457</v>
      </c>
      <c r="C7" t="s">
        <v>1494</v>
      </c>
      <c r="D7">
        <v>5</v>
      </c>
      <c r="E7" s="328">
        <v>128</v>
      </c>
      <c r="F7" t="s">
        <v>1495</v>
      </c>
      <c r="G7">
        <v>1</v>
      </c>
      <c r="H7" t="s">
        <v>1756</v>
      </c>
      <c r="I7">
        <v>1</v>
      </c>
      <c r="J7" s="122">
        <v>0.2</v>
      </c>
      <c r="K7" t="s">
        <v>1470</v>
      </c>
    </row>
    <row r="8" spans="1:11" x14ac:dyDescent="0.2">
      <c r="A8" t="s">
        <v>923</v>
      </c>
      <c r="B8" t="s">
        <v>922</v>
      </c>
      <c r="C8" t="s">
        <v>1494</v>
      </c>
      <c r="D8">
        <v>5</v>
      </c>
      <c r="E8" s="329">
        <v>112</v>
      </c>
      <c r="F8" t="s">
        <v>1495</v>
      </c>
      <c r="G8">
        <v>1</v>
      </c>
      <c r="H8" t="s">
        <v>1756</v>
      </c>
      <c r="I8">
        <v>4</v>
      </c>
      <c r="J8" s="122">
        <v>0.3</v>
      </c>
      <c r="K8" t="s">
        <v>1470</v>
      </c>
    </row>
    <row r="9" spans="1:11" x14ac:dyDescent="0.2">
      <c r="A9" t="s">
        <v>426</v>
      </c>
      <c r="B9" t="s">
        <v>425</v>
      </c>
      <c r="C9" t="s">
        <v>1494</v>
      </c>
      <c r="D9">
        <v>5</v>
      </c>
      <c r="E9" s="329">
        <v>112</v>
      </c>
      <c r="F9" t="s">
        <v>1495</v>
      </c>
      <c r="G9">
        <v>1</v>
      </c>
      <c r="H9" t="s">
        <v>1756</v>
      </c>
      <c r="I9">
        <v>2</v>
      </c>
      <c r="J9" s="122">
        <v>0.3</v>
      </c>
      <c r="K9" t="s">
        <v>1470</v>
      </c>
    </row>
    <row r="10" spans="1:11" x14ac:dyDescent="0.2">
      <c r="A10" t="s">
        <v>770</v>
      </c>
      <c r="B10" t="s">
        <v>769</v>
      </c>
      <c r="C10" t="s">
        <v>1494</v>
      </c>
      <c r="D10">
        <v>5</v>
      </c>
      <c r="E10" s="328">
        <v>112</v>
      </c>
      <c r="F10" t="s">
        <v>1495</v>
      </c>
      <c r="G10">
        <v>1</v>
      </c>
      <c r="H10" t="s">
        <v>1756</v>
      </c>
      <c r="I10">
        <v>1</v>
      </c>
      <c r="J10" s="122">
        <v>0.2</v>
      </c>
      <c r="K10" t="s">
        <v>1470</v>
      </c>
    </row>
    <row r="11" spans="1:11" x14ac:dyDescent="0.2">
      <c r="A11" t="s">
        <v>624</v>
      </c>
      <c r="B11" t="s">
        <v>623</v>
      </c>
      <c r="C11" t="s">
        <v>1494</v>
      </c>
      <c r="D11">
        <v>5</v>
      </c>
      <c r="E11" s="329">
        <v>112</v>
      </c>
      <c r="F11" t="s">
        <v>1495</v>
      </c>
      <c r="G11">
        <v>1</v>
      </c>
      <c r="H11" t="s">
        <v>1756</v>
      </c>
      <c r="I11">
        <v>1</v>
      </c>
      <c r="J11" s="122">
        <v>0.3</v>
      </c>
      <c r="K11" t="s">
        <v>1470</v>
      </c>
    </row>
    <row r="12" spans="1:11" x14ac:dyDescent="0.2">
      <c r="A12" t="s">
        <v>1330</v>
      </c>
      <c r="B12" t="s">
        <v>380</v>
      </c>
      <c r="C12" t="s">
        <v>1494</v>
      </c>
      <c r="D12">
        <v>5</v>
      </c>
      <c r="E12" s="329">
        <v>105</v>
      </c>
      <c r="F12" t="s">
        <v>1495</v>
      </c>
      <c r="G12">
        <v>1</v>
      </c>
      <c r="H12" t="s">
        <v>1756</v>
      </c>
      <c r="I12">
        <v>1</v>
      </c>
      <c r="J12" s="122">
        <v>0.3</v>
      </c>
      <c r="K12" t="s">
        <v>1470</v>
      </c>
    </row>
    <row r="13" spans="1:11" x14ac:dyDescent="0.2">
      <c r="A13" t="s">
        <v>1156</v>
      </c>
      <c r="B13" t="s">
        <v>37</v>
      </c>
      <c r="C13" t="s">
        <v>1494</v>
      </c>
      <c r="D13">
        <v>5</v>
      </c>
      <c r="E13" s="329">
        <v>98</v>
      </c>
      <c r="F13" t="s">
        <v>1498</v>
      </c>
      <c r="G13">
        <v>1</v>
      </c>
      <c r="H13" t="s">
        <v>1756</v>
      </c>
      <c r="I13">
        <v>1</v>
      </c>
      <c r="J13" s="122">
        <v>0.3</v>
      </c>
      <c r="K13" t="s">
        <v>1470</v>
      </c>
    </row>
    <row r="14" spans="1:11" x14ac:dyDescent="0.2">
      <c r="A14" t="s">
        <v>290</v>
      </c>
      <c r="B14" t="s">
        <v>289</v>
      </c>
      <c r="C14" t="s">
        <v>1494</v>
      </c>
      <c r="D14">
        <v>5</v>
      </c>
      <c r="E14" s="328">
        <v>88</v>
      </c>
      <c r="F14" t="s">
        <v>1498</v>
      </c>
      <c r="G14">
        <v>1</v>
      </c>
      <c r="H14" t="s">
        <v>1756</v>
      </c>
      <c r="I14">
        <v>1</v>
      </c>
      <c r="J14" s="122">
        <v>0.2</v>
      </c>
      <c r="K14" t="s">
        <v>1470</v>
      </c>
    </row>
    <row r="15" spans="1:11" x14ac:dyDescent="0.2">
      <c r="A15" t="s">
        <v>1054</v>
      </c>
      <c r="B15" t="s">
        <v>1053</v>
      </c>
      <c r="C15" t="s">
        <v>1494</v>
      </c>
      <c r="D15">
        <v>5</v>
      </c>
      <c r="E15" s="328">
        <v>88</v>
      </c>
      <c r="F15" t="s">
        <v>1498</v>
      </c>
      <c r="G15">
        <v>1</v>
      </c>
      <c r="H15" t="s">
        <v>1756</v>
      </c>
      <c r="I15">
        <v>1</v>
      </c>
      <c r="J15" s="122">
        <v>0.2</v>
      </c>
      <c r="K15" t="s">
        <v>1470</v>
      </c>
    </row>
    <row r="16" spans="1:11" x14ac:dyDescent="0.2">
      <c r="A16" t="s">
        <v>960</v>
      </c>
      <c r="B16" t="s">
        <v>959</v>
      </c>
      <c r="C16" t="s">
        <v>1494</v>
      </c>
      <c r="D16">
        <v>5</v>
      </c>
      <c r="E16" s="329">
        <v>84</v>
      </c>
      <c r="F16" t="s">
        <v>1498</v>
      </c>
      <c r="G16">
        <v>1</v>
      </c>
      <c r="H16" t="s">
        <v>1756</v>
      </c>
      <c r="I16">
        <v>4</v>
      </c>
      <c r="J16" s="122">
        <v>0.3</v>
      </c>
      <c r="K16" t="s">
        <v>1470</v>
      </c>
    </row>
    <row r="17" spans="1:16" x14ac:dyDescent="0.2">
      <c r="A17" t="s">
        <v>1033</v>
      </c>
      <c r="B17" t="s">
        <v>1032</v>
      </c>
      <c r="C17" t="s">
        <v>1494</v>
      </c>
      <c r="D17">
        <v>5</v>
      </c>
      <c r="E17" s="329">
        <v>84</v>
      </c>
      <c r="F17" t="s">
        <v>1498</v>
      </c>
      <c r="G17">
        <v>1</v>
      </c>
      <c r="H17" t="s">
        <v>1756</v>
      </c>
      <c r="I17">
        <v>3</v>
      </c>
      <c r="J17" s="122">
        <v>0.4</v>
      </c>
      <c r="K17" t="s">
        <v>1470</v>
      </c>
      <c r="O17">
        <f>COUNTIF(e.nike.discount[discount], 20)</f>
        <v>0</v>
      </c>
    </row>
    <row r="18" spans="1:16" x14ac:dyDescent="0.2">
      <c r="A18" t="s">
        <v>202</v>
      </c>
      <c r="B18" t="s">
        <v>201</v>
      </c>
      <c r="C18" t="s">
        <v>1494</v>
      </c>
      <c r="D18">
        <v>5</v>
      </c>
      <c r="E18" s="329">
        <v>84</v>
      </c>
      <c r="F18" t="s">
        <v>1498</v>
      </c>
      <c r="G18">
        <v>1</v>
      </c>
      <c r="H18" t="s">
        <v>1756</v>
      </c>
      <c r="I18">
        <v>2</v>
      </c>
      <c r="J18" s="122">
        <v>0.4</v>
      </c>
      <c r="K18" t="s">
        <v>1470</v>
      </c>
    </row>
    <row r="19" spans="1:16" x14ac:dyDescent="0.2">
      <c r="A19" t="s">
        <v>1306</v>
      </c>
      <c r="B19" t="s">
        <v>1032</v>
      </c>
      <c r="C19" t="s">
        <v>1494</v>
      </c>
      <c r="D19">
        <v>5</v>
      </c>
      <c r="E19" s="329">
        <v>84</v>
      </c>
      <c r="F19" t="s">
        <v>1498</v>
      </c>
      <c r="G19">
        <v>1</v>
      </c>
      <c r="H19" t="s">
        <v>1756</v>
      </c>
      <c r="I19">
        <v>2</v>
      </c>
      <c r="J19" s="122">
        <v>0.4</v>
      </c>
      <c r="K19" t="s">
        <v>1470</v>
      </c>
    </row>
    <row r="20" spans="1:16" x14ac:dyDescent="0.2">
      <c r="A20" t="s">
        <v>1112</v>
      </c>
      <c r="B20" t="s">
        <v>1111</v>
      </c>
      <c r="C20" t="s">
        <v>1494</v>
      </c>
      <c r="D20">
        <v>5</v>
      </c>
      <c r="E20" s="329">
        <v>84</v>
      </c>
      <c r="F20" t="s">
        <v>1498</v>
      </c>
      <c r="G20">
        <v>1</v>
      </c>
      <c r="H20" t="s">
        <v>1756</v>
      </c>
      <c r="I20">
        <v>1</v>
      </c>
      <c r="J20" s="122">
        <v>0.4</v>
      </c>
      <c r="K20" t="s">
        <v>1470</v>
      </c>
      <c r="O20">
        <f>COUNTIF(e.nike.discount[discount],"30%")</f>
        <v>69</v>
      </c>
    </row>
    <row r="21" spans="1:16" x14ac:dyDescent="0.2">
      <c r="A21" t="s">
        <v>1065</v>
      </c>
      <c r="B21" t="s">
        <v>1064</v>
      </c>
      <c r="C21" t="s">
        <v>1494</v>
      </c>
      <c r="D21">
        <v>5</v>
      </c>
      <c r="E21" s="328">
        <v>80</v>
      </c>
      <c r="F21" t="s">
        <v>1498</v>
      </c>
      <c r="G21">
        <v>1</v>
      </c>
      <c r="H21" t="s">
        <v>1756</v>
      </c>
      <c r="I21">
        <v>2</v>
      </c>
      <c r="J21" s="122">
        <v>0.2</v>
      </c>
      <c r="K21" t="s">
        <v>1470</v>
      </c>
      <c r="O21">
        <f>COUNTIF(b.nike.views[discount],"30%")</f>
        <v>70</v>
      </c>
    </row>
    <row r="22" spans="1:16" x14ac:dyDescent="0.2">
      <c r="A22" t="s">
        <v>1135</v>
      </c>
      <c r="B22" t="s">
        <v>1134</v>
      </c>
      <c r="C22" t="s">
        <v>1494</v>
      </c>
      <c r="D22">
        <v>5</v>
      </c>
      <c r="E22" s="329">
        <v>77</v>
      </c>
      <c r="F22" t="s">
        <v>1498</v>
      </c>
      <c r="G22">
        <v>1</v>
      </c>
      <c r="H22" t="s">
        <v>1756</v>
      </c>
      <c r="I22">
        <v>1</v>
      </c>
      <c r="J22" s="122">
        <v>0.3</v>
      </c>
      <c r="K22" t="s">
        <v>1470</v>
      </c>
    </row>
    <row r="23" spans="1:16" x14ac:dyDescent="0.2">
      <c r="A23" t="s">
        <v>951</v>
      </c>
      <c r="B23" t="s">
        <v>950</v>
      </c>
      <c r="C23" t="s">
        <v>1494</v>
      </c>
      <c r="D23">
        <v>5</v>
      </c>
      <c r="E23" s="329">
        <v>72</v>
      </c>
      <c r="F23" t="s">
        <v>1498</v>
      </c>
      <c r="G23">
        <v>1</v>
      </c>
      <c r="H23" t="s">
        <v>1756</v>
      </c>
      <c r="I23">
        <v>1</v>
      </c>
      <c r="J23" s="122">
        <v>0.4</v>
      </c>
      <c r="K23" t="s">
        <v>1470</v>
      </c>
    </row>
    <row r="24" spans="1:16" x14ac:dyDescent="0.2">
      <c r="A24" t="s">
        <v>1186</v>
      </c>
      <c r="B24" t="s">
        <v>1185</v>
      </c>
      <c r="C24" t="s">
        <v>1494</v>
      </c>
      <c r="D24">
        <v>5</v>
      </c>
      <c r="E24" s="329">
        <v>66</v>
      </c>
      <c r="F24" t="s">
        <v>1498</v>
      </c>
      <c r="G24">
        <v>1</v>
      </c>
      <c r="H24" t="s">
        <v>1756</v>
      </c>
      <c r="I24">
        <v>5</v>
      </c>
      <c r="J24" s="122">
        <v>0.4</v>
      </c>
      <c r="K24" t="s">
        <v>1470</v>
      </c>
      <c r="N24" t="s">
        <v>1891</v>
      </c>
      <c r="O24">
        <f>COUNTIF(e.nike.discount[Review_Group], H9)</f>
        <v>136</v>
      </c>
      <c r="P24">
        <f>ROUND((O24*100)/O26, 0)</f>
        <v>71</v>
      </c>
    </row>
    <row r="25" spans="1:16" x14ac:dyDescent="0.2">
      <c r="A25" t="s">
        <v>681</v>
      </c>
      <c r="B25" t="s">
        <v>680</v>
      </c>
      <c r="C25" t="s">
        <v>1494</v>
      </c>
      <c r="D25">
        <v>5</v>
      </c>
      <c r="E25" s="328">
        <v>64</v>
      </c>
      <c r="F25" t="s">
        <v>1498</v>
      </c>
      <c r="G25">
        <v>2</v>
      </c>
      <c r="H25" t="s">
        <v>1756</v>
      </c>
      <c r="I25">
        <v>2</v>
      </c>
      <c r="J25" s="122">
        <v>0.2</v>
      </c>
      <c r="K25" t="s">
        <v>1470</v>
      </c>
      <c r="N25" t="s">
        <v>1892</v>
      </c>
      <c r="O25">
        <f>COUNTIF(e.nike.discount[Review_Group], H155)</f>
        <v>56</v>
      </c>
      <c r="P25">
        <f>ROUND((O25*100)/O26, 0)</f>
        <v>29</v>
      </c>
    </row>
    <row r="26" spans="1:16" x14ac:dyDescent="0.2">
      <c r="A26" t="s">
        <v>752</v>
      </c>
      <c r="B26" t="s">
        <v>751</v>
      </c>
      <c r="C26" t="s">
        <v>1494</v>
      </c>
      <c r="D26">
        <v>5</v>
      </c>
      <c r="E26" s="328">
        <v>64</v>
      </c>
      <c r="F26" t="s">
        <v>1498</v>
      </c>
      <c r="G26">
        <v>1</v>
      </c>
      <c r="H26" t="s">
        <v>1756</v>
      </c>
      <c r="I26">
        <v>2</v>
      </c>
      <c r="J26" s="122">
        <v>0.2</v>
      </c>
      <c r="K26" t="s">
        <v>1470</v>
      </c>
      <c r="O26">
        <f>O24+O25</f>
        <v>192</v>
      </c>
    </row>
    <row r="27" spans="1:16" x14ac:dyDescent="0.2">
      <c r="A27" t="s">
        <v>570</v>
      </c>
      <c r="B27" t="s">
        <v>569</v>
      </c>
      <c r="C27" t="s">
        <v>1494</v>
      </c>
      <c r="D27">
        <v>5</v>
      </c>
      <c r="E27" s="328">
        <v>64</v>
      </c>
      <c r="F27" t="s">
        <v>1498</v>
      </c>
      <c r="G27">
        <v>1</v>
      </c>
      <c r="H27" t="s">
        <v>1756</v>
      </c>
      <c r="I27">
        <v>1</v>
      </c>
      <c r="J27" s="122">
        <v>0.2</v>
      </c>
      <c r="K27" t="s">
        <v>1470</v>
      </c>
    </row>
    <row r="28" spans="1:16" x14ac:dyDescent="0.2">
      <c r="A28" t="s">
        <v>981</v>
      </c>
      <c r="B28" t="s">
        <v>980</v>
      </c>
      <c r="C28" t="s">
        <v>1494</v>
      </c>
      <c r="D28">
        <v>5</v>
      </c>
      <c r="E28" s="329">
        <v>59</v>
      </c>
      <c r="F28" t="s">
        <v>1498</v>
      </c>
      <c r="G28">
        <v>2</v>
      </c>
      <c r="H28" t="s">
        <v>1756</v>
      </c>
      <c r="I28">
        <v>2</v>
      </c>
      <c r="J28" s="122">
        <v>0.3</v>
      </c>
      <c r="K28" t="s">
        <v>1470</v>
      </c>
    </row>
    <row r="29" spans="1:16" x14ac:dyDescent="0.2">
      <c r="A29" t="s">
        <v>1375</v>
      </c>
      <c r="B29" t="s">
        <v>1374</v>
      </c>
      <c r="C29" t="s">
        <v>1494</v>
      </c>
      <c r="D29">
        <v>5</v>
      </c>
      <c r="E29" s="328">
        <v>56</v>
      </c>
      <c r="F29" t="s">
        <v>1498</v>
      </c>
      <c r="G29">
        <v>1</v>
      </c>
      <c r="H29" t="s">
        <v>1756</v>
      </c>
      <c r="I29">
        <v>2</v>
      </c>
      <c r="J29" s="122">
        <v>0.2</v>
      </c>
      <c r="K29" t="s">
        <v>1470</v>
      </c>
    </row>
    <row r="30" spans="1:16" x14ac:dyDescent="0.2">
      <c r="A30" t="s">
        <v>1285</v>
      </c>
      <c r="B30" t="s">
        <v>1284</v>
      </c>
      <c r="C30" t="s">
        <v>1494</v>
      </c>
      <c r="D30">
        <v>5</v>
      </c>
      <c r="E30" s="329">
        <v>54</v>
      </c>
      <c r="F30" t="s">
        <v>1498</v>
      </c>
      <c r="G30">
        <v>1</v>
      </c>
      <c r="H30" t="s">
        <v>1756</v>
      </c>
      <c r="I30">
        <v>1</v>
      </c>
      <c r="J30" s="122">
        <v>0.4</v>
      </c>
      <c r="K30" t="s">
        <v>1470</v>
      </c>
    </row>
    <row r="31" spans="1:16" x14ac:dyDescent="0.2">
      <c r="A31" t="s">
        <v>801</v>
      </c>
      <c r="B31" t="s">
        <v>800</v>
      </c>
      <c r="C31" t="s">
        <v>1494</v>
      </c>
      <c r="D31">
        <v>5</v>
      </c>
      <c r="E31" s="329">
        <v>49</v>
      </c>
      <c r="F31" t="s">
        <v>1497</v>
      </c>
      <c r="G31">
        <v>1</v>
      </c>
      <c r="H31" t="s">
        <v>1756</v>
      </c>
      <c r="I31">
        <v>1</v>
      </c>
      <c r="J31" s="122">
        <v>0.3</v>
      </c>
      <c r="K31" t="s">
        <v>1470</v>
      </c>
    </row>
    <row r="32" spans="1:16" x14ac:dyDescent="0.2">
      <c r="A32" t="s">
        <v>275</v>
      </c>
      <c r="B32" t="s">
        <v>274</v>
      </c>
      <c r="C32" t="s">
        <v>1494</v>
      </c>
      <c r="D32">
        <v>5</v>
      </c>
      <c r="E32" s="329">
        <v>48</v>
      </c>
      <c r="F32" t="s">
        <v>1497</v>
      </c>
      <c r="G32">
        <v>1</v>
      </c>
      <c r="H32" t="s">
        <v>1756</v>
      </c>
      <c r="I32">
        <v>3</v>
      </c>
      <c r="J32" s="122">
        <v>0.4</v>
      </c>
      <c r="K32" t="s">
        <v>1470</v>
      </c>
    </row>
    <row r="33" spans="1:11" x14ac:dyDescent="0.2">
      <c r="A33" t="s">
        <v>518</v>
      </c>
      <c r="B33" t="s">
        <v>517</v>
      </c>
      <c r="C33" t="s">
        <v>1494</v>
      </c>
      <c r="D33">
        <v>5</v>
      </c>
      <c r="E33" s="329">
        <v>45</v>
      </c>
      <c r="F33" t="s">
        <v>1497</v>
      </c>
      <c r="G33">
        <v>2</v>
      </c>
      <c r="H33" t="s">
        <v>1756</v>
      </c>
      <c r="I33">
        <v>2</v>
      </c>
      <c r="J33" s="122">
        <v>0.25</v>
      </c>
      <c r="K33" t="s">
        <v>1470</v>
      </c>
    </row>
    <row r="34" spans="1:11" x14ac:dyDescent="0.2">
      <c r="A34" t="s">
        <v>1322</v>
      </c>
      <c r="B34" t="s">
        <v>1321</v>
      </c>
      <c r="C34" t="s">
        <v>1494</v>
      </c>
      <c r="D34">
        <v>5</v>
      </c>
      <c r="E34" s="329">
        <v>31</v>
      </c>
      <c r="F34" t="s">
        <v>1497</v>
      </c>
      <c r="G34">
        <v>1</v>
      </c>
      <c r="H34" t="s">
        <v>1756</v>
      </c>
      <c r="I34">
        <v>1</v>
      </c>
      <c r="J34" s="122">
        <v>0.3</v>
      </c>
      <c r="K34" t="s">
        <v>1470</v>
      </c>
    </row>
    <row r="35" spans="1:11" x14ac:dyDescent="0.2">
      <c r="A35" t="s">
        <v>1099</v>
      </c>
      <c r="B35" t="s">
        <v>37</v>
      </c>
      <c r="C35" t="s">
        <v>1494</v>
      </c>
      <c r="D35">
        <v>4.8</v>
      </c>
      <c r="E35" s="328">
        <v>96</v>
      </c>
      <c r="F35" t="s">
        <v>1498</v>
      </c>
      <c r="G35">
        <v>1</v>
      </c>
      <c r="H35" t="s">
        <v>1756</v>
      </c>
      <c r="I35">
        <v>5</v>
      </c>
      <c r="J35" s="122">
        <v>0.2</v>
      </c>
      <c r="K35" t="s">
        <v>1470</v>
      </c>
    </row>
    <row r="36" spans="1:11" x14ac:dyDescent="0.2">
      <c r="A36" t="s">
        <v>885</v>
      </c>
      <c r="B36" t="s">
        <v>884</v>
      </c>
      <c r="C36" t="s">
        <v>1494</v>
      </c>
      <c r="D36">
        <v>4.8</v>
      </c>
      <c r="E36" s="329">
        <v>91</v>
      </c>
      <c r="F36" t="s">
        <v>1498</v>
      </c>
      <c r="G36">
        <v>1</v>
      </c>
      <c r="H36" t="s">
        <v>1756</v>
      </c>
      <c r="I36">
        <v>4</v>
      </c>
      <c r="J36" s="122">
        <v>0.3</v>
      </c>
      <c r="K36" t="s">
        <v>1470</v>
      </c>
    </row>
    <row r="37" spans="1:11" x14ac:dyDescent="0.2">
      <c r="A37" t="s">
        <v>299</v>
      </c>
      <c r="B37" t="s">
        <v>298</v>
      </c>
      <c r="C37" t="s">
        <v>1494</v>
      </c>
      <c r="D37">
        <v>4.8</v>
      </c>
      <c r="E37" s="329">
        <v>66</v>
      </c>
      <c r="F37" t="s">
        <v>1498</v>
      </c>
      <c r="G37">
        <v>1</v>
      </c>
      <c r="H37" t="s">
        <v>1756</v>
      </c>
      <c r="I37">
        <v>5</v>
      </c>
      <c r="J37" s="122">
        <v>0.4</v>
      </c>
      <c r="K37" t="s">
        <v>1470</v>
      </c>
    </row>
    <row r="38" spans="1:11" x14ac:dyDescent="0.2">
      <c r="A38" t="s">
        <v>401</v>
      </c>
      <c r="B38" t="s">
        <v>400</v>
      </c>
      <c r="C38" t="s">
        <v>1494</v>
      </c>
      <c r="D38">
        <v>4.7</v>
      </c>
      <c r="E38" s="329">
        <v>77</v>
      </c>
      <c r="F38" t="s">
        <v>1498</v>
      </c>
      <c r="G38">
        <v>1</v>
      </c>
      <c r="H38" t="s">
        <v>1756</v>
      </c>
      <c r="I38">
        <v>3</v>
      </c>
      <c r="J38" s="122">
        <v>0.3</v>
      </c>
      <c r="K38" t="s">
        <v>1470</v>
      </c>
    </row>
    <row r="39" spans="1:11" x14ac:dyDescent="0.2">
      <c r="A39" t="s">
        <v>1095</v>
      </c>
      <c r="B39" t="s">
        <v>1094</v>
      </c>
      <c r="C39" t="s">
        <v>1494</v>
      </c>
      <c r="D39">
        <v>4.5999999999999996</v>
      </c>
      <c r="E39" s="328">
        <v>104</v>
      </c>
      <c r="F39" t="s">
        <v>1495</v>
      </c>
      <c r="G39">
        <v>1</v>
      </c>
      <c r="H39" t="s">
        <v>1756</v>
      </c>
      <c r="I39">
        <v>5</v>
      </c>
      <c r="J39" s="122">
        <v>0.2</v>
      </c>
      <c r="K39" t="s">
        <v>1470</v>
      </c>
    </row>
    <row r="40" spans="1:11" x14ac:dyDescent="0.2">
      <c r="A40" t="s">
        <v>1138</v>
      </c>
      <c r="B40" t="s">
        <v>1137</v>
      </c>
      <c r="C40" t="s">
        <v>1494</v>
      </c>
      <c r="D40">
        <v>4.5</v>
      </c>
      <c r="E40" s="328">
        <v>128</v>
      </c>
      <c r="F40" t="s">
        <v>1495</v>
      </c>
      <c r="G40">
        <v>1</v>
      </c>
      <c r="H40" t="s">
        <v>1756</v>
      </c>
      <c r="I40">
        <v>6</v>
      </c>
      <c r="J40" s="122">
        <v>0.2</v>
      </c>
      <c r="K40" t="s">
        <v>1470</v>
      </c>
    </row>
    <row r="41" spans="1:11" x14ac:dyDescent="0.2">
      <c r="A41" t="s">
        <v>826</v>
      </c>
      <c r="B41" t="s">
        <v>825</v>
      </c>
      <c r="C41" t="s">
        <v>1494</v>
      </c>
      <c r="D41">
        <v>4.5</v>
      </c>
      <c r="E41" s="328">
        <v>128</v>
      </c>
      <c r="F41" t="s">
        <v>1495</v>
      </c>
      <c r="G41">
        <v>1</v>
      </c>
      <c r="H41" t="s">
        <v>1756</v>
      </c>
      <c r="I41">
        <v>2</v>
      </c>
      <c r="J41" s="122">
        <v>0.2</v>
      </c>
      <c r="K41" t="s">
        <v>1470</v>
      </c>
    </row>
    <row r="42" spans="1:11" x14ac:dyDescent="0.2">
      <c r="A42" t="s">
        <v>1205</v>
      </c>
      <c r="B42" t="s">
        <v>1006</v>
      </c>
      <c r="C42" t="s">
        <v>1494</v>
      </c>
      <c r="D42">
        <v>4.5</v>
      </c>
      <c r="E42" s="329">
        <v>126</v>
      </c>
      <c r="F42" t="s">
        <v>1495</v>
      </c>
      <c r="G42">
        <v>1</v>
      </c>
      <c r="H42" t="s">
        <v>1756</v>
      </c>
      <c r="I42">
        <v>4</v>
      </c>
      <c r="J42" s="122">
        <v>0.3</v>
      </c>
      <c r="K42" t="s">
        <v>1470</v>
      </c>
    </row>
    <row r="43" spans="1:11" x14ac:dyDescent="0.2">
      <c r="A43" t="s">
        <v>1121</v>
      </c>
      <c r="B43" t="s">
        <v>1120</v>
      </c>
      <c r="C43" t="s">
        <v>1494</v>
      </c>
      <c r="D43">
        <v>4.5</v>
      </c>
      <c r="E43" s="329">
        <v>112</v>
      </c>
      <c r="F43" t="s">
        <v>1495</v>
      </c>
      <c r="G43">
        <v>1</v>
      </c>
      <c r="H43" t="s">
        <v>1756</v>
      </c>
      <c r="I43">
        <v>2</v>
      </c>
      <c r="J43" s="122">
        <v>0.3</v>
      </c>
      <c r="K43" t="s">
        <v>1470</v>
      </c>
    </row>
    <row r="44" spans="1:11" x14ac:dyDescent="0.2">
      <c r="A44" t="s">
        <v>260</v>
      </c>
      <c r="B44" t="s">
        <v>259</v>
      </c>
      <c r="C44" t="s">
        <v>1494</v>
      </c>
      <c r="D44">
        <v>4.5</v>
      </c>
      <c r="E44" s="329">
        <v>70</v>
      </c>
      <c r="F44" t="s">
        <v>1498</v>
      </c>
      <c r="G44">
        <v>1</v>
      </c>
      <c r="H44" t="s">
        <v>1756</v>
      </c>
      <c r="I44">
        <v>2</v>
      </c>
      <c r="J44" s="122">
        <v>0.3</v>
      </c>
      <c r="K44" t="s">
        <v>1470</v>
      </c>
    </row>
    <row r="45" spans="1:11" x14ac:dyDescent="0.2">
      <c r="A45" t="s">
        <v>743</v>
      </c>
      <c r="B45" t="s">
        <v>742</v>
      </c>
      <c r="C45" t="s">
        <v>1494</v>
      </c>
      <c r="D45">
        <v>4.5</v>
      </c>
      <c r="E45" s="329">
        <v>70</v>
      </c>
      <c r="F45" t="s">
        <v>1498</v>
      </c>
      <c r="G45">
        <v>1</v>
      </c>
      <c r="H45" t="s">
        <v>1756</v>
      </c>
      <c r="I45">
        <v>2</v>
      </c>
      <c r="J45" s="122">
        <v>0.3</v>
      </c>
      <c r="K45" t="s">
        <v>1470</v>
      </c>
    </row>
    <row r="46" spans="1:11" x14ac:dyDescent="0.2">
      <c r="A46" t="s">
        <v>761</v>
      </c>
      <c r="B46" t="s">
        <v>760</v>
      </c>
      <c r="C46" t="s">
        <v>1494</v>
      </c>
      <c r="D46">
        <v>4.5</v>
      </c>
      <c r="E46" s="329">
        <v>66</v>
      </c>
      <c r="F46" t="s">
        <v>1498</v>
      </c>
      <c r="G46">
        <v>1</v>
      </c>
      <c r="H46" t="s">
        <v>1756</v>
      </c>
      <c r="I46">
        <v>2</v>
      </c>
      <c r="J46" s="122">
        <v>0.4</v>
      </c>
      <c r="K46" t="s">
        <v>1470</v>
      </c>
    </row>
    <row r="47" spans="1:11" x14ac:dyDescent="0.2">
      <c r="A47" t="s">
        <v>455</v>
      </c>
      <c r="B47" t="s">
        <v>454</v>
      </c>
      <c r="C47" t="s">
        <v>1494</v>
      </c>
      <c r="D47">
        <v>4.4000000000000004</v>
      </c>
      <c r="E47" s="328">
        <v>136</v>
      </c>
      <c r="F47" t="s">
        <v>1495</v>
      </c>
      <c r="G47">
        <v>1</v>
      </c>
      <c r="H47" t="s">
        <v>1756</v>
      </c>
      <c r="I47">
        <v>7</v>
      </c>
      <c r="J47" s="122">
        <v>0.2</v>
      </c>
      <c r="K47" t="s">
        <v>1470</v>
      </c>
    </row>
    <row r="48" spans="1:11" x14ac:dyDescent="0.2">
      <c r="A48" t="s">
        <v>335</v>
      </c>
      <c r="B48" t="s">
        <v>334</v>
      </c>
      <c r="C48" t="s">
        <v>1494</v>
      </c>
      <c r="D48">
        <v>4.4000000000000004</v>
      </c>
      <c r="E48" s="329">
        <v>96</v>
      </c>
      <c r="F48" t="s">
        <v>1498</v>
      </c>
      <c r="G48">
        <v>1</v>
      </c>
      <c r="H48" t="s">
        <v>1756</v>
      </c>
      <c r="I48">
        <v>7</v>
      </c>
      <c r="J48" s="122">
        <v>0.4</v>
      </c>
      <c r="K48" t="s">
        <v>1470</v>
      </c>
    </row>
    <row r="49" spans="1:11" x14ac:dyDescent="0.2">
      <c r="A49" t="s">
        <v>469</v>
      </c>
      <c r="B49" t="s">
        <v>468</v>
      </c>
      <c r="C49" t="s">
        <v>1494</v>
      </c>
      <c r="D49">
        <v>4.4000000000000004</v>
      </c>
      <c r="E49" s="328">
        <v>72</v>
      </c>
      <c r="F49" t="s">
        <v>1498</v>
      </c>
      <c r="G49">
        <v>1</v>
      </c>
      <c r="H49" t="s">
        <v>1756</v>
      </c>
      <c r="I49">
        <v>7</v>
      </c>
      <c r="J49" s="122">
        <v>0.2</v>
      </c>
      <c r="K49" t="s">
        <v>1470</v>
      </c>
    </row>
    <row r="50" spans="1:11" x14ac:dyDescent="0.2">
      <c r="A50" t="s">
        <v>635</v>
      </c>
      <c r="B50" t="s">
        <v>7</v>
      </c>
      <c r="C50" t="s">
        <v>1494</v>
      </c>
      <c r="D50">
        <v>4.4000000000000004</v>
      </c>
      <c r="E50" s="329">
        <v>56</v>
      </c>
      <c r="F50" t="s">
        <v>1498</v>
      </c>
      <c r="G50">
        <v>1</v>
      </c>
      <c r="H50" t="s">
        <v>1756</v>
      </c>
      <c r="I50">
        <v>5</v>
      </c>
      <c r="J50" s="122">
        <v>0.3</v>
      </c>
      <c r="K50" t="s">
        <v>1470</v>
      </c>
    </row>
    <row r="51" spans="1:11" x14ac:dyDescent="0.2">
      <c r="A51" t="s">
        <v>945</v>
      </c>
      <c r="B51" t="s">
        <v>637</v>
      </c>
      <c r="C51" t="s">
        <v>1494</v>
      </c>
      <c r="D51">
        <v>4.3</v>
      </c>
      <c r="E51" s="329">
        <v>77</v>
      </c>
      <c r="F51" t="s">
        <v>1498</v>
      </c>
      <c r="G51">
        <v>1</v>
      </c>
      <c r="H51" t="s">
        <v>1756</v>
      </c>
      <c r="I51">
        <v>3</v>
      </c>
      <c r="J51" s="122">
        <v>0.3</v>
      </c>
      <c r="K51" t="s">
        <v>1470</v>
      </c>
    </row>
    <row r="52" spans="1:11" x14ac:dyDescent="0.2">
      <c r="A52" t="s">
        <v>1412</v>
      </c>
      <c r="B52" t="s">
        <v>1411</v>
      </c>
      <c r="C52" t="s">
        <v>1494</v>
      </c>
      <c r="D52">
        <v>4.3</v>
      </c>
      <c r="E52" s="329">
        <v>77</v>
      </c>
      <c r="F52" t="s">
        <v>1498</v>
      </c>
      <c r="G52">
        <v>1</v>
      </c>
      <c r="H52" t="s">
        <v>1756</v>
      </c>
      <c r="I52">
        <v>3</v>
      </c>
      <c r="J52" s="122">
        <v>0.3</v>
      </c>
      <c r="K52" t="s">
        <v>1470</v>
      </c>
    </row>
    <row r="53" spans="1:11" x14ac:dyDescent="0.2">
      <c r="A53" t="s">
        <v>731</v>
      </c>
      <c r="B53" t="s">
        <v>730</v>
      </c>
      <c r="C53" t="s">
        <v>1494</v>
      </c>
      <c r="D53">
        <v>4.2</v>
      </c>
      <c r="E53" s="328">
        <v>96</v>
      </c>
      <c r="F53" t="s">
        <v>1498</v>
      </c>
      <c r="G53">
        <v>1</v>
      </c>
      <c r="H53" t="s">
        <v>1756</v>
      </c>
      <c r="I53">
        <v>6</v>
      </c>
      <c r="J53" s="122">
        <v>0.2</v>
      </c>
      <c r="K53" t="s">
        <v>1470</v>
      </c>
    </row>
    <row r="54" spans="1:11" x14ac:dyDescent="0.2">
      <c r="A54" t="s">
        <v>1336</v>
      </c>
      <c r="B54" t="s">
        <v>730</v>
      </c>
      <c r="C54" t="s">
        <v>1494</v>
      </c>
      <c r="D54">
        <v>4.2</v>
      </c>
      <c r="E54" s="328">
        <v>96</v>
      </c>
      <c r="F54" t="s">
        <v>1498</v>
      </c>
      <c r="G54">
        <v>1</v>
      </c>
      <c r="H54" t="s">
        <v>1756</v>
      </c>
      <c r="I54">
        <v>6</v>
      </c>
      <c r="J54" s="122">
        <v>0.2</v>
      </c>
      <c r="K54" t="s">
        <v>1470</v>
      </c>
    </row>
    <row r="55" spans="1:11" x14ac:dyDescent="0.2">
      <c r="A55" t="s">
        <v>350</v>
      </c>
      <c r="B55" t="s">
        <v>349</v>
      </c>
      <c r="C55" t="s">
        <v>1494</v>
      </c>
      <c r="D55">
        <v>4</v>
      </c>
      <c r="E55" s="329">
        <v>105</v>
      </c>
      <c r="F55" t="s">
        <v>1495</v>
      </c>
      <c r="G55">
        <v>1</v>
      </c>
      <c r="H55" t="s">
        <v>1756</v>
      </c>
      <c r="I55">
        <v>6</v>
      </c>
      <c r="J55" s="122">
        <v>0.3</v>
      </c>
      <c r="K55" t="s">
        <v>1470</v>
      </c>
    </row>
    <row r="56" spans="1:11" x14ac:dyDescent="0.2">
      <c r="A56" t="s">
        <v>1378</v>
      </c>
      <c r="B56" t="s">
        <v>1377</v>
      </c>
      <c r="C56" t="s">
        <v>1494</v>
      </c>
      <c r="D56">
        <v>4</v>
      </c>
      <c r="E56" s="329">
        <v>96</v>
      </c>
      <c r="F56" t="s">
        <v>1498</v>
      </c>
      <c r="G56">
        <v>1</v>
      </c>
      <c r="H56" t="s">
        <v>1756</v>
      </c>
      <c r="I56">
        <v>5</v>
      </c>
      <c r="J56" s="122">
        <v>0.4</v>
      </c>
      <c r="K56" t="s">
        <v>1470</v>
      </c>
    </row>
    <row r="57" spans="1:11" x14ac:dyDescent="0.2">
      <c r="A57" t="s">
        <v>1230</v>
      </c>
      <c r="B57" t="s">
        <v>1229</v>
      </c>
      <c r="C57" t="s">
        <v>1494</v>
      </c>
      <c r="D57">
        <v>4</v>
      </c>
      <c r="E57" s="329">
        <v>84</v>
      </c>
      <c r="F57" t="s">
        <v>1498</v>
      </c>
      <c r="G57">
        <v>2</v>
      </c>
      <c r="H57" t="s">
        <v>1756</v>
      </c>
      <c r="I57">
        <v>4</v>
      </c>
      <c r="J57" s="122">
        <v>0.3</v>
      </c>
      <c r="K57" t="s">
        <v>1470</v>
      </c>
    </row>
    <row r="58" spans="1:11" x14ac:dyDescent="0.2">
      <c r="A58" t="s">
        <v>1337</v>
      </c>
      <c r="B58" t="s">
        <v>950</v>
      </c>
      <c r="C58" t="s">
        <v>1494</v>
      </c>
      <c r="D58">
        <v>4</v>
      </c>
      <c r="E58" s="329">
        <v>72</v>
      </c>
      <c r="F58" t="s">
        <v>1498</v>
      </c>
      <c r="G58">
        <v>1</v>
      </c>
      <c r="H58" t="s">
        <v>1756</v>
      </c>
      <c r="I58">
        <v>1</v>
      </c>
      <c r="J58" s="122">
        <v>0.4</v>
      </c>
      <c r="K58" t="s">
        <v>1470</v>
      </c>
    </row>
    <row r="59" spans="1:11" x14ac:dyDescent="0.2">
      <c r="A59" t="s">
        <v>307</v>
      </c>
      <c r="B59" t="s">
        <v>298</v>
      </c>
      <c r="C59" t="s">
        <v>1494</v>
      </c>
      <c r="D59">
        <v>4</v>
      </c>
      <c r="E59" s="329">
        <v>66</v>
      </c>
      <c r="F59" t="s">
        <v>1498</v>
      </c>
      <c r="G59">
        <v>1</v>
      </c>
      <c r="H59" t="s">
        <v>1756</v>
      </c>
      <c r="I59">
        <v>1</v>
      </c>
      <c r="J59" s="122">
        <v>0.4</v>
      </c>
      <c r="K59" t="s">
        <v>1470</v>
      </c>
    </row>
    <row r="60" spans="1:11" x14ac:dyDescent="0.2">
      <c r="A60" t="s">
        <v>326</v>
      </c>
      <c r="B60" t="s">
        <v>325</v>
      </c>
      <c r="C60" t="s">
        <v>1494</v>
      </c>
      <c r="D60">
        <v>4</v>
      </c>
      <c r="E60" s="329">
        <v>59</v>
      </c>
      <c r="F60" t="s">
        <v>1498</v>
      </c>
      <c r="G60">
        <v>1</v>
      </c>
      <c r="H60" t="s">
        <v>1756</v>
      </c>
      <c r="I60">
        <v>3</v>
      </c>
      <c r="J60" s="122">
        <v>0.3</v>
      </c>
      <c r="K60" t="s">
        <v>1470</v>
      </c>
    </row>
    <row r="61" spans="1:11" x14ac:dyDescent="0.2">
      <c r="A61" t="s">
        <v>1129</v>
      </c>
      <c r="B61" t="s">
        <v>860</v>
      </c>
      <c r="C61" t="s">
        <v>1493</v>
      </c>
      <c r="D61">
        <v>3.8</v>
      </c>
      <c r="E61" s="328">
        <v>63</v>
      </c>
      <c r="F61" t="s">
        <v>1498</v>
      </c>
      <c r="G61">
        <v>1</v>
      </c>
      <c r="H61" t="s">
        <v>1756</v>
      </c>
      <c r="I61">
        <v>4</v>
      </c>
      <c r="J61" s="122">
        <v>0.2</v>
      </c>
      <c r="K61" t="s">
        <v>1470</v>
      </c>
    </row>
    <row r="62" spans="1:11" x14ac:dyDescent="0.2">
      <c r="A62" t="s">
        <v>600</v>
      </c>
      <c r="B62" t="s">
        <v>599</v>
      </c>
      <c r="C62" t="s">
        <v>1493</v>
      </c>
      <c r="D62">
        <v>3.7</v>
      </c>
      <c r="E62" s="328">
        <v>136</v>
      </c>
      <c r="F62" t="s">
        <v>1495</v>
      </c>
      <c r="G62">
        <v>1</v>
      </c>
      <c r="H62" t="s">
        <v>1756</v>
      </c>
      <c r="I62">
        <v>3</v>
      </c>
      <c r="J62" s="122">
        <v>0.2</v>
      </c>
      <c r="K62" t="s">
        <v>1470</v>
      </c>
    </row>
    <row r="63" spans="1:11" x14ac:dyDescent="0.2">
      <c r="A63" t="s">
        <v>1429</v>
      </c>
      <c r="B63" t="s">
        <v>763</v>
      </c>
      <c r="C63" t="s">
        <v>1493</v>
      </c>
      <c r="D63">
        <v>3.7</v>
      </c>
      <c r="E63" s="328">
        <v>136</v>
      </c>
      <c r="F63" t="s">
        <v>1495</v>
      </c>
      <c r="G63">
        <v>1</v>
      </c>
      <c r="H63" t="s">
        <v>1756</v>
      </c>
      <c r="I63">
        <v>3</v>
      </c>
      <c r="J63" s="122">
        <v>0.2</v>
      </c>
      <c r="K63" t="s">
        <v>1470</v>
      </c>
    </row>
    <row r="64" spans="1:11" x14ac:dyDescent="0.2">
      <c r="A64" t="s">
        <v>1398</v>
      </c>
      <c r="B64" t="s">
        <v>1397</v>
      </c>
      <c r="C64" t="s">
        <v>1493</v>
      </c>
      <c r="D64">
        <v>3.7</v>
      </c>
      <c r="E64" s="329">
        <v>102</v>
      </c>
      <c r="F64" t="s">
        <v>1495</v>
      </c>
      <c r="G64">
        <v>1</v>
      </c>
      <c r="H64" t="s">
        <v>1756</v>
      </c>
      <c r="I64">
        <v>3</v>
      </c>
      <c r="J64" s="122">
        <v>0.4</v>
      </c>
      <c r="K64" t="s">
        <v>1470</v>
      </c>
    </row>
    <row r="65" spans="1:11" x14ac:dyDescent="0.2">
      <c r="A65" t="s">
        <v>310</v>
      </c>
      <c r="B65" t="s">
        <v>309</v>
      </c>
      <c r="C65" t="s">
        <v>1493</v>
      </c>
      <c r="D65">
        <v>3.7</v>
      </c>
      <c r="E65" s="329">
        <v>84</v>
      </c>
      <c r="F65" t="s">
        <v>1498</v>
      </c>
      <c r="G65">
        <v>1</v>
      </c>
      <c r="H65" t="s">
        <v>1756</v>
      </c>
      <c r="I65">
        <v>3</v>
      </c>
      <c r="J65" s="122">
        <v>0.3</v>
      </c>
      <c r="K65" t="s">
        <v>1470</v>
      </c>
    </row>
    <row r="66" spans="1:11" x14ac:dyDescent="0.2">
      <c r="A66" t="s">
        <v>1387</v>
      </c>
      <c r="B66" t="s">
        <v>37</v>
      </c>
      <c r="C66" t="s">
        <v>1493</v>
      </c>
      <c r="D66">
        <v>3.6</v>
      </c>
      <c r="E66" s="328">
        <v>76</v>
      </c>
      <c r="F66" t="s">
        <v>1498</v>
      </c>
      <c r="G66">
        <v>1</v>
      </c>
      <c r="H66" t="s">
        <v>1756</v>
      </c>
      <c r="I66">
        <v>5</v>
      </c>
      <c r="J66" s="122">
        <v>0.2</v>
      </c>
      <c r="K66" t="s">
        <v>1470</v>
      </c>
    </row>
    <row r="67" spans="1:11" x14ac:dyDescent="0.2">
      <c r="A67" t="s">
        <v>1328</v>
      </c>
      <c r="B67" t="s">
        <v>1327</v>
      </c>
      <c r="C67" t="s">
        <v>1493</v>
      </c>
      <c r="D67">
        <v>3.6</v>
      </c>
      <c r="E67" s="328">
        <v>68</v>
      </c>
      <c r="F67" t="s">
        <v>1498</v>
      </c>
      <c r="G67">
        <v>1</v>
      </c>
      <c r="H67" t="s">
        <v>1756</v>
      </c>
      <c r="I67">
        <v>5</v>
      </c>
      <c r="J67" s="122">
        <v>0.2</v>
      </c>
      <c r="K67" t="s">
        <v>1470</v>
      </c>
    </row>
    <row r="68" spans="1:11" x14ac:dyDescent="0.2">
      <c r="A68" t="s">
        <v>1079</v>
      </c>
      <c r="B68" t="s">
        <v>1078</v>
      </c>
      <c r="C68" t="s">
        <v>1493</v>
      </c>
      <c r="D68">
        <v>3.5</v>
      </c>
      <c r="E68" s="329">
        <v>133</v>
      </c>
      <c r="F68" t="s">
        <v>1495</v>
      </c>
      <c r="G68">
        <v>1</v>
      </c>
      <c r="H68" t="s">
        <v>1756</v>
      </c>
      <c r="I68">
        <v>6</v>
      </c>
      <c r="J68" s="122">
        <v>0.3</v>
      </c>
      <c r="K68" t="s">
        <v>1470</v>
      </c>
    </row>
    <row r="69" spans="1:11" x14ac:dyDescent="0.2">
      <c r="A69" t="s">
        <v>1010</v>
      </c>
      <c r="B69" t="s">
        <v>1009</v>
      </c>
      <c r="C69" t="s">
        <v>1493</v>
      </c>
      <c r="D69">
        <v>3.4</v>
      </c>
      <c r="E69" s="329">
        <v>54</v>
      </c>
      <c r="F69" t="s">
        <v>1498</v>
      </c>
      <c r="G69">
        <v>1</v>
      </c>
      <c r="H69" t="s">
        <v>1756</v>
      </c>
      <c r="I69">
        <v>7</v>
      </c>
      <c r="J69" s="122">
        <v>0.4</v>
      </c>
      <c r="K69" t="s">
        <v>1470</v>
      </c>
    </row>
    <row r="70" spans="1:11" x14ac:dyDescent="0.2">
      <c r="A70" t="s">
        <v>670</v>
      </c>
      <c r="B70" t="s">
        <v>37</v>
      </c>
      <c r="C70" t="s">
        <v>1493</v>
      </c>
      <c r="D70">
        <v>3.2</v>
      </c>
      <c r="E70" s="329">
        <v>72</v>
      </c>
      <c r="F70" t="s">
        <v>1498</v>
      </c>
      <c r="G70">
        <v>1</v>
      </c>
      <c r="H70" t="s">
        <v>1756</v>
      </c>
      <c r="I70">
        <v>5</v>
      </c>
      <c r="J70" s="122">
        <v>0.4</v>
      </c>
      <c r="K70" t="s">
        <v>1470</v>
      </c>
    </row>
    <row r="71" spans="1:11" x14ac:dyDescent="0.2">
      <c r="A71" t="s">
        <v>579</v>
      </c>
      <c r="B71" t="s">
        <v>578</v>
      </c>
      <c r="C71" t="s">
        <v>1493</v>
      </c>
      <c r="D71">
        <v>3</v>
      </c>
      <c r="E71" s="328">
        <v>144</v>
      </c>
      <c r="F71" t="s">
        <v>1495</v>
      </c>
      <c r="G71">
        <v>1</v>
      </c>
      <c r="H71" t="s">
        <v>1756</v>
      </c>
      <c r="I71">
        <v>4</v>
      </c>
      <c r="J71" s="122">
        <v>0.2</v>
      </c>
      <c r="K71" t="s">
        <v>1470</v>
      </c>
    </row>
    <row r="72" spans="1:11" x14ac:dyDescent="0.2">
      <c r="A72" t="s">
        <v>975</v>
      </c>
      <c r="B72" t="s">
        <v>974</v>
      </c>
      <c r="C72" t="s">
        <v>1493</v>
      </c>
      <c r="D72">
        <v>3</v>
      </c>
      <c r="E72" s="329">
        <v>96</v>
      </c>
      <c r="F72" t="s">
        <v>1498</v>
      </c>
      <c r="G72">
        <v>1</v>
      </c>
      <c r="H72" t="s">
        <v>1756</v>
      </c>
      <c r="I72">
        <v>5</v>
      </c>
      <c r="J72" s="122">
        <v>0.4</v>
      </c>
      <c r="K72" t="s">
        <v>1470</v>
      </c>
    </row>
    <row r="73" spans="1:11" x14ac:dyDescent="0.2">
      <c r="A73" t="s">
        <v>1417</v>
      </c>
      <c r="B73" t="s">
        <v>1416</v>
      </c>
      <c r="C73" t="s">
        <v>1493</v>
      </c>
      <c r="D73">
        <v>3</v>
      </c>
      <c r="E73" s="328">
        <v>80</v>
      </c>
      <c r="F73" t="s">
        <v>1498</v>
      </c>
      <c r="G73">
        <v>1</v>
      </c>
      <c r="H73" t="s">
        <v>1756</v>
      </c>
      <c r="I73">
        <v>4</v>
      </c>
      <c r="J73" s="122">
        <v>0.2</v>
      </c>
      <c r="K73" t="s">
        <v>1470</v>
      </c>
    </row>
    <row r="74" spans="1:11" x14ac:dyDescent="0.2">
      <c r="A74" t="s">
        <v>423</v>
      </c>
      <c r="B74" t="s">
        <v>422</v>
      </c>
      <c r="C74" t="s">
        <v>1493</v>
      </c>
      <c r="D74">
        <v>3</v>
      </c>
      <c r="E74" s="328">
        <v>72</v>
      </c>
      <c r="F74" t="s">
        <v>1498</v>
      </c>
      <c r="G74">
        <v>2</v>
      </c>
      <c r="H74" t="s">
        <v>1756</v>
      </c>
      <c r="I74">
        <v>2</v>
      </c>
      <c r="J74" s="122">
        <v>0.2</v>
      </c>
      <c r="K74" t="s">
        <v>1470</v>
      </c>
    </row>
    <row r="75" spans="1:11" x14ac:dyDescent="0.2">
      <c r="A75" t="s">
        <v>1167</v>
      </c>
      <c r="B75" t="s">
        <v>468</v>
      </c>
      <c r="C75" t="s">
        <v>1493</v>
      </c>
      <c r="D75">
        <v>3</v>
      </c>
      <c r="E75" s="328">
        <v>72</v>
      </c>
      <c r="F75" t="s">
        <v>1498</v>
      </c>
      <c r="G75">
        <v>1</v>
      </c>
      <c r="H75" t="s">
        <v>1756</v>
      </c>
      <c r="I75">
        <v>1</v>
      </c>
      <c r="J75" s="122">
        <v>0.2</v>
      </c>
      <c r="K75" t="s">
        <v>1470</v>
      </c>
    </row>
    <row r="76" spans="1:11" x14ac:dyDescent="0.2">
      <c r="A76" t="s">
        <v>668</v>
      </c>
      <c r="B76" t="s">
        <v>667</v>
      </c>
      <c r="C76" t="s">
        <v>1493</v>
      </c>
      <c r="D76">
        <v>3</v>
      </c>
      <c r="E76" s="328">
        <v>64</v>
      </c>
      <c r="F76" t="s">
        <v>1498</v>
      </c>
      <c r="G76">
        <v>1</v>
      </c>
      <c r="H76" t="s">
        <v>1756</v>
      </c>
      <c r="I76">
        <v>6</v>
      </c>
      <c r="J76" s="122">
        <v>0.2</v>
      </c>
      <c r="K76" t="s">
        <v>1470</v>
      </c>
    </row>
    <row r="77" spans="1:11" x14ac:dyDescent="0.2">
      <c r="A77" t="s">
        <v>1073</v>
      </c>
      <c r="B77" t="s">
        <v>31</v>
      </c>
      <c r="C77" t="s">
        <v>1492</v>
      </c>
      <c r="D77">
        <v>2.7</v>
      </c>
      <c r="E77" s="328">
        <v>128</v>
      </c>
      <c r="F77" t="s">
        <v>1495</v>
      </c>
      <c r="G77">
        <v>1</v>
      </c>
      <c r="H77" t="s">
        <v>1756</v>
      </c>
      <c r="I77">
        <v>3</v>
      </c>
      <c r="J77" s="122">
        <v>0.2</v>
      </c>
      <c r="K77" t="s">
        <v>1470</v>
      </c>
    </row>
    <row r="78" spans="1:11" x14ac:dyDescent="0.2">
      <c r="A78" t="s">
        <v>1048</v>
      </c>
      <c r="B78" t="s">
        <v>1047</v>
      </c>
      <c r="C78" t="s">
        <v>1492</v>
      </c>
      <c r="D78">
        <v>2.7</v>
      </c>
      <c r="E78" s="329">
        <v>77</v>
      </c>
      <c r="F78" t="s">
        <v>1498</v>
      </c>
      <c r="G78">
        <v>1</v>
      </c>
      <c r="H78" t="s">
        <v>1756</v>
      </c>
      <c r="I78">
        <v>3</v>
      </c>
      <c r="J78" s="122">
        <v>0.3</v>
      </c>
      <c r="K78" t="s">
        <v>1470</v>
      </c>
    </row>
    <row r="79" spans="1:11" x14ac:dyDescent="0.2">
      <c r="A79" t="s">
        <v>829</v>
      </c>
      <c r="B79" t="s">
        <v>828</v>
      </c>
      <c r="C79" t="s">
        <v>1492</v>
      </c>
      <c r="D79">
        <v>2.5</v>
      </c>
      <c r="E79" s="328">
        <v>56</v>
      </c>
      <c r="F79" t="s">
        <v>1498</v>
      </c>
      <c r="G79">
        <v>1</v>
      </c>
      <c r="H79" t="s">
        <v>1756</v>
      </c>
      <c r="I79">
        <v>6</v>
      </c>
      <c r="J79" s="122">
        <v>0.2</v>
      </c>
      <c r="K79" t="s">
        <v>1470</v>
      </c>
    </row>
    <row r="80" spans="1:11" x14ac:dyDescent="0.2">
      <c r="A80" t="s">
        <v>978</v>
      </c>
      <c r="B80" t="s">
        <v>977</v>
      </c>
      <c r="C80" t="s">
        <v>1492</v>
      </c>
      <c r="D80">
        <v>2.4</v>
      </c>
      <c r="E80" s="328">
        <v>64</v>
      </c>
      <c r="F80" t="s">
        <v>1498</v>
      </c>
      <c r="G80">
        <v>1</v>
      </c>
      <c r="H80" t="s">
        <v>1756</v>
      </c>
      <c r="I80">
        <v>5</v>
      </c>
      <c r="J80" s="122">
        <v>0.2</v>
      </c>
      <c r="K80" t="s">
        <v>1470</v>
      </c>
    </row>
    <row r="81" spans="1:11" x14ac:dyDescent="0.2">
      <c r="A81" t="s">
        <v>1188</v>
      </c>
      <c r="B81" t="s">
        <v>716</v>
      </c>
      <c r="C81" t="s">
        <v>1492</v>
      </c>
      <c r="D81">
        <v>2</v>
      </c>
      <c r="E81" s="329">
        <v>45</v>
      </c>
      <c r="F81" t="s">
        <v>1497</v>
      </c>
      <c r="G81">
        <v>1</v>
      </c>
      <c r="H81" t="s">
        <v>1756</v>
      </c>
      <c r="I81">
        <v>1</v>
      </c>
      <c r="J81" s="122">
        <v>0.3</v>
      </c>
      <c r="K81" t="s">
        <v>1470</v>
      </c>
    </row>
    <row r="82" spans="1:11" x14ac:dyDescent="0.2">
      <c r="A82" t="s">
        <v>1027</v>
      </c>
      <c r="B82" t="s">
        <v>1026</v>
      </c>
      <c r="C82" t="s">
        <v>1492</v>
      </c>
      <c r="D82">
        <v>2</v>
      </c>
      <c r="E82" s="329">
        <v>31</v>
      </c>
      <c r="F82" t="s">
        <v>1497</v>
      </c>
      <c r="G82">
        <v>2</v>
      </c>
      <c r="H82" t="s">
        <v>1756</v>
      </c>
      <c r="I82">
        <v>2</v>
      </c>
      <c r="J82" s="122">
        <v>0.3</v>
      </c>
      <c r="K82" t="s">
        <v>1470</v>
      </c>
    </row>
    <row r="83" spans="1:11" x14ac:dyDescent="0.2">
      <c r="A83" t="s">
        <v>1124</v>
      </c>
      <c r="B83" t="s">
        <v>1123</v>
      </c>
      <c r="C83" t="s">
        <v>1492</v>
      </c>
      <c r="D83">
        <v>1.5</v>
      </c>
      <c r="E83" s="328">
        <v>36</v>
      </c>
      <c r="F83" t="s">
        <v>1497</v>
      </c>
      <c r="G83">
        <v>1</v>
      </c>
      <c r="H83" t="s">
        <v>1756</v>
      </c>
      <c r="I83">
        <v>2</v>
      </c>
      <c r="J83" s="122">
        <v>0.2</v>
      </c>
      <c r="K83" t="s">
        <v>1470</v>
      </c>
    </row>
    <row r="84" spans="1:11" x14ac:dyDescent="0.2">
      <c r="A84" t="s">
        <v>1437</v>
      </c>
      <c r="B84" t="s">
        <v>1436</v>
      </c>
      <c r="C84" t="s">
        <v>1492</v>
      </c>
      <c r="D84">
        <v>1</v>
      </c>
      <c r="E84" s="328">
        <v>136</v>
      </c>
      <c r="F84" t="s">
        <v>1495</v>
      </c>
      <c r="G84">
        <v>1</v>
      </c>
      <c r="H84" t="s">
        <v>1756</v>
      </c>
      <c r="I84">
        <v>1</v>
      </c>
      <c r="J84" s="122">
        <v>0.2</v>
      </c>
      <c r="K84" t="s">
        <v>1470</v>
      </c>
    </row>
    <row r="85" spans="1:11" x14ac:dyDescent="0.2">
      <c r="A85" t="s">
        <v>1090</v>
      </c>
      <c r="B85" t="s">
        <v>1089</v>
      </c>
      <c r="C85" t="s">
        <v>1492</v>
      </c>
      <c r="D85">
        <v>1</v>
      </c>
      <c r="E85" s="328">
        <v>80</v>
      </c>
      <c r="F85" t="s">
        <v>1498</v>
      </c>
      <c r="G85">
        <v>1</v>
      </c>
      <c r="H85" t="s">
        <v>1756</v>
      </c>
      <c r="I85">
        <v>1</v>
      </c>
      <c r="J85" s="122">
        <v>0.2</v>
      </c>
      <c r="K85" t="s">
        <v>1470</v>
      </c>
    </row>
    <row r="86" spans="1:11" x14ac:dyDescent="0.2">
      <c r="A86" t="s">
        <v>1300</v>
      </c>
      <c r="B86" t="s">
        <v>1299</v>
      </c>
      <c r="C86" t="s">
        <v>1492</v>
      </c>
      <c r="D86">
        <v>1</v>
      </c>
      <c r="E86" s="328">
        <v>64</v>
      </c>
      <c r="F86" t="s">
        <v>1498</v>
      </c>
      <c r="G86">
        <v>1</v>
      </c>
      <c r="H86" t="s">
        <v>1756</v>
      </c>
      <c r="I86">
        <v>1</v>
      </c>
      <c r="J86" s="122">
        <v>0.2</v>
      </c>
      <c r="K86" t="s">
        <v>1470</v>
      </c>
    </row>
    <row r="87" spans="1:11" x14ac:dyDescent="0.2">
      <c r="A87" t="s">
        <v>755</v>
      </c>
      <c r="B87" t="s">
        <v>754</v>
      </c>
      <c r="C87" t="s">
        <v>1492</v>
      </c>
      <c r="D87">
        <v>0</v>
      </c>
      <c r="E87" s="328">
        <v>160</v>
      </c>
      <c r="F87" t="s">
        <v>1495</v>
      </c>
      <c r="G87">
        <v>1</v>
      </c>
      <c r="H87" t="s">
        <v>1756</v>
      </c>
      <c r="I87">
        <v>0</v>
      </c>
      <c r="J87" s="122">
        <v>0.2</v>
      </c>
      <c r="K87" t="s">
        <v>1470</v>
      </c>
    </row>
    <row r="88" spans="1:11" x14ac:dyDescent="0.2">
      <c r="A88" t="s">
        <v>888</v>
      </c>
      <c r="B88" t="s">
        <v>887</v>
      </c>
      <c r="C88" t="s">
        <v>1492</v>
      </c>
      <c r="D88">
        <v>0</v>
      </c>
      <c r="E88" s="328">
        <v>136</v>
      </c>
      <c r="F88" t="s">
        <v>1495</v>
      </c>
      <c r="G88">
        <v>1</v>
      </c>
      <c r="H88" t="s">
        <v>1756</v>
      </c>
      <c r="I88">
        <v>0</v>
      </c>
      <c r="J88" s="122">
        <v>0.2</v>
      </c>
      <c r="K88" t="s">
        <v>1470</v>
      </c>
    </row>
    <row r="89" spans="1:11" x14ac:dyDescent="0.2">
      <c r="A89" t="s">
        <v>1175</v>
      </c>
      <c r="B89" t="s">
        <v>1174</v>
      </c>
      <c r="C89" t="s">
        <v>1492</v>
      </c>
      <c r="D89">
        <v>0</v>
      </c>
      <c r="E89" s="328">
        <v>136</v>
      </c>
      <c r="F89" t="s">
        <v>1495</v>
      </c>
      <c r="G89">
        <v>1</v>
      </c>
      <c r="H89" t="s">
        <v>1756</v>
      </c>
      <c r="I89">
        <v>0</v>
      </c>
      <c r="J89" s="122">
        <v>0.2</v>
      </c>
      <c r="K89" t="s">
        <v>1470</v>
      </c>
    </row>
    <row r="90" spans="1:11" x14ac:dyDescent="0.2">
      <c r="A90" t="s">
        <v>101</v>
      </c>
      <c r="B90" t="s">
        <v>100</v>
      </c>
      <c r="C90" t="s">
        <v>1492</v>
      </c>
      <c r="D90">
        <v>0</v>
      </c>
      <c r="E90" s="329">
        <v>120</v>
      </c>
      <c r="F90" t="s">
        <v>1495</v>
      </c>
      <c r="G90">
        <v>1</v>
      </c>
      <c r="H90" t="s">
        <v>1756</v>
      </c>
      <c r="I90">
        <v>0</v>
      </c>
      <c r="J90" s="122">
        <v>0.25</v>
      </c>
      <c r="K90" t="s">
        <v>1470</v>
      </c>
    </row>
    <row r="91" spans="1:11" x14ac:dyDescent="0.2">
      <c r="A91" t="s">
        <v>447</v>
      </c>
      <c r="B91" t="s">
        <v>446</v>
      </c>
      <c r="C91" t="s">
        <v>1492</v>
      </c>
      <c r="D91">
        <v>0</v>
      </c>
      <c r="E91" s="329">
        <v>120</v>
      </c>
      <c r="F91" t="s">
        <v>1495</v>
      </c>
      <c r="G91">
        <v>1</v>
      </c>
      <c r="H91" t="s">
        <v>1756</v>
      </c>
      <c r="I91">
        <v>0</v>
      </c>
      <c r="J91" s="122">
        <v>0.25</v>
      </c>
      <c r="K91" t="s">
        <v>1470</v>
      </c>
    </row>
    <row r="92" spans="1:11" x14ac:dyDescent="0.2">
      <c r="A92" t="s">
        <v>912</v>
      </c>
      <c r="B92" t="s">
        <v>911</v>
      </c>
      <c r="C92" t="s">
        <v>1492</v>
      </c>
      <c r="D92">
        <v>0</v>
      </c>
      <c r="E92" s="329">
        <v>119</v>
      </c>
      <c r="F92" t="s">
        <v>1495</v>
      </c>
      <c r="G92">
        <v>1</v>
      </c>
      <c r="H92" t="s">
        <v>1756</v>
      </c>
      <c r="I92">
        <v>0</v>
      </c>
      <c r="J92" s="122">
        <v>0.3</v>
      </c>
      <c r="K92" t="s">
        <v>1470</v>
      </c>
    </row>
    <row r="93" spans="1:11" x14ac:dyDescent="0.2">
      <c r="A93" t="s">
        <v>166</v>
      </c>
      <c r="B93" t="s">
        <v>165</v>
      </c>
      <c r="C93" t="s">
        <v>1492</v>
      </c>
      <c r="D93">
        <v>0</v>
      </c>
      <c r="E93" s="329">
        <v>112</v>
      </c>
      <c r="F93" t="s">
        <v>1495</v>
      </c>
      <c r="G93">
        <v>1</v>
      </c>
      <c r="H93" t="s">
        <v>1756</v>
      </c>
      <c r="I93">
        <v>0</v>
      </c>
      <c r="J93" s="122">
        <v>0.3</v>
      </c>
      <c r="K93" t="s">
        <v>1470</v>
      </c>
    </row>
    <row r="94" spans="1:11" x14ac:dyDescent="0.2">
      <c r="A94" t="s">
        <v>281</v>
      </c>
      <c r="B94" t="s">
        <v>280</v>
      </c>
      <c r="C94" t="s">
        <v>1492</v>
      </c>
      <c r="D94">
        <v>0</v>
      </c>
      <c r="E94" s="329">
        <v>112</v>
      </c>
      <c r="F94" t="s">
        <v>1495</v>
      </c>
      <c r="G94">
        <v>1</v>
      </c>
      <c r="H94" t="s">
        <v>1756</v>
      </c>
      <c r="I94">
        <v>0</v>
      </c>
      <c r="J94" s="122">
        <v>0.3</v>
      </c>
      <c r="K94" t="s">
        <v>1470</v>
      </c>
    </row>
    <row r="95" spans="1:11" x14ac:dyDescent="0.2">
      <c r="A95" t="s">
        <v>559</v>
      </c>
      <c r="B95" t="s">
        <v>558</v>
      </c>
      <c r="C95" t="s">
        <v>1492</v>
      </c>
      <c r="D95">
        <v>0</v>
      </c>
      <c r="E95" s="328">
        <v>112</v>
      </c>
      <c r="F95" t="s">
        <v>1495</v>
      </c>
      <c r="G95">
        <v>1</v>
      </c>
      <c r="H95" t="s">
        <v>1756</v>
      </c>
      <c r="I95">
        <v>0</v>
      </c>
      <c r="J95" s="122">
        <v>0.2</v>
      </c>
      <c r="K95" t="s">
        <v>1470</v>
      </c>
    </row>
    <row r="96" spans="1:11" x14ac:dyDescent="0.2">
      <c r="A96" t="s">
        <v>1085</v>
      </c>
      <c r="B96" t="s">
        <v>1084</v>
      </c>
      <c r="C96" t="s">
        <v>1492</v>
      </c>
      <c r="D96">
        <v>0</v>
      </c>
      <c r="E96" s="329">
        <v>112</v>
      </c>
      <c r="F96" t="s">
        <v>1495</v>
      </c>
      <c r="G96">
        <v>1</v>
      </c>
      <c r="H96" t="s">
        <v>1756</v>
      </c>
      <c r="I96">
        <v>0</v>
      </c>
      <c r="J96" s="122">
        <v>0.3</v>
      </c>
      <c r="K96" t="s">
        <v>1470</v>
      </c>
    </row>
    <row r="97" spans="1:11" x14ac:dyDescent="0.2">
      <c r="A97" t="s">
        <v>1104</v>
      </c>
      <c r="B97" t="s">
        <v>1103</v>
      </c>
      <c r="C97" t="s">
        <v>1492</v>
      </c>
      <c r="D97">
        <v>0</v>
      </c>
      <c r="E97" s="329">
        <v>112</v>
      </c>
      <c r="F97" t="s">
        <v>1495</v>
      </c>
      <c r="G97">
        <v>1</v>
      </c>
      <c r="H97" t="s">
        <v>1756</v>
      </c>
      <c r="I97">
        <v>0</v>
      </c>
      <c r="J97" s="122">
        <v>0.3</v>
      </c>
      <c r="K97" t="s">
        <v>1470</v>
      </c>
    </row>
    <row r="98" spans="1:11" x14ac:dyDescent="0.2">
      <c r="A98" t="s">
        <v>1200</v>
      </c>
      <c r="B98" t="s">
        <v>1199</v>
      </c>
      <c r="C98" t="s">
        <v>1492</v>
      </c>
      <c r="D98">
        <v>0</v>
      </c>
      <c r="E98" s="329">
        <v>112</v>
      </c>
      <c r="F98" t="s">
        <v>1495</v>
      </c>
      <c r="G98">
        <v>1</v>
      </c>
      <c r="H98" t="s">
        <v>1756</v>
      </c>
      <c r="I98">
        <v>0</v>
      </c>
      <c r="J98" s="122">
        <v>0.3</v>
      </c>
      <c r="K98" t="s">
        <v>1470</v>
      </c>
    </row>
    <row r="99" spans="1:11" x14ac:dyDescent="0.2">
      <c r="A99" t="s">
        <v>1260</v>
      </c>
      <c r="B99" t="s">
        <v>1111</v>
      </c>
      <c r="C99" t="s">
        <v>1492</v>
      </c>
      <c r="D99">
        <v>0</v>
      </c>
      <c r="E99" s="329">
        <v>112</v>
      </c>
      <c r="F99" t="s">
        <v>1495</v>
      </c>
      <c r="G99">
        <v>1</v>
      </c>
      <c r="H99" t="s">
        <v>1756</v>
      </c>
      <c r="I99">
        <v>0</v>
      </c>
      <c r="J99" s="122">
        <v>0.3</v>
      </c>
      <c r="K99" t="s">
        <v>1470</v>
      </c>
    </row>
    <row r="100" spans="1:11" x14ac:dyDescent="0.2">
      <c r="A100" t="s">
        <v>1302</v>
      </c>
      <c r="B100" t="s">
        <v>383</v>
      </c>
      <c r="C100" t="s">
        <v>1492</v>
      </c>
      <c r="D100">
        <v>0</v>
      </c>
      <c r="E100" s="329">
        <v>112</v>
      </c>
      <c r="F100" t="s">
        <v>1495</v>
      </c>
      <c r="G100">
        <v>1</v>
      </c>
      <c r="H100" t="s">
        <v>1756</v>
      </c>
      <c r="I100">
        <v>0</v>
      </c>
      <c r="J100" s="122">
        <v>0.3</v>
      </c>
      <c r="K100" t="s">
        <v>1470</v>
      </c>
    </row>
    <row r="101" spans="1:11" x14ac:dyDescent="0.2">
      <c r="A101" t="s">
        <v>1307</v>
      </c>
      <c r="B101" t="s">
        <v>1208</v>
      </c>
      <c r="C101" t="s">
        <v>1492</v>
      </c>
      <c r="D101">
        <v>0</v>
      </c>
      <c r="E101" s="329">
        <v>112</v>
      </c>
      <c r="F101" t="s">
        <v>1495</v>
      </c>
      <c r="G101">
        <v>1</v>
      </c>
      <c r="H101" t="s">
        <v>1756</v>
      </c>
      <c r="I101">
        <v>0</v>
      </c>
      <c r="J101" s="122">
        <v>0.3</v>
      </c>
      <c r="K101" t="s">
        <v>1470</v>
      </c>
    </row>
    <row r="102" spans="1:11" x14ac:dyDescent="0.2">
      <c r="A102" t="s">
        <v>1249</v>
      </c>
      <c r="B102" t="s">
        <v>1248</v>
      </c>
      <c r="C102" t="s">
        <v>1492</v>
      </c>
      <c r="D102">
        <v>0</v>
      </c>
      <c r="E102" s="329">
        <v>105</v>
      </c>
      <c r="F102" t="s">
        <v>1495</v>
      </c>
      <c r="G102">
        <v>1</v>
      </c>
      <c r="H102" t="s">
        <v>1756</v>
      </c>
      <c r="I102">
        <v>0</v>
      </c>
      <c r="J102" s="122">
        <v>0.3</v>
      </c>
      <c r="K102" t="s">
        <v>1470</v>
      </c>
    </row>
    <row r="103" spans="1:11" x14ac:dyDescent="0.2">
      <c r="A103" t="s">
        <v>1363</v>
      </c>
      <c r="B103" t="s">
        <v>1362</v>
      </c>
      <c r="C103" t="s">
        <v>1492</v>
      </c>
      <c r="D103">
        <v>0</v>
      </c>
      <c r="E103" s="329">
        <v>102</v>
      </c>
      <c r="F103" t="s">
        <v>1495</v>
      </c>
      <c r="G103">
        <v>1</v>
      </c>
      <c r="H103" t="s">
        <v>1756</v>
      </c>
      <c r="I103">
        <v>0</v>
      </c>
      <c r="J103" s="122">
        <v>0.4</v>
      </c>
      <c r="K103" t="s">
        <v>1470</v>
      </c>
    </row>
    <row r="104" spans="1:11" x14ac:dyDescent="0.2">
      <c r="A104" t="s">
        <v>987</v>
      </c>
      <c r="B104" t="s">
        <v>986</v>
      </c>
      <c r="C104" t="s">
        <v>1492</v>
      </c>
      <c r="D104">
        <v>0</v>
      </c>
      <c r="E104" s="329">
        <v>98</v>
      </c>
      <c r="F104" t="s">
        <v>1498</v>
      </c>
      <c r="G104">
        <v>1</v>
      </c>
      <c r="H104" t="s">
        <v>1756</v>
      </c>
      <c r="I104">
        <v>0</v>
      </c>
      <c r="J104" s="122">
        <v>0.3</v>
      </c>
      <c r="K104" t="s">
        <v>1470</v>
      </c>
    </row>
    <row r="105" spans="1:11" x14ac:dyDescent="0.2">
      <c r="A105" t="s">
        <v>1170</v>
      </c>
      <c r="B105" t="s">
        <v>1169</v>
      </c>
      <c r="C105" t="s">
        <v>1492</v>
      </c>
      <c r="D105">
        <v>0</v>
      </c>
      <c r="E105" s="329">
        <v>98</v>
      </c>
      <c r="F105" t="s">
        <v>1498</v>
      </c>
      <c r="G105">
        <v>1</v>
      </c>
      <c r="H105" t="s">
        <v>1756</v>
      </c>
      <c r="I105">
        <v>0</v>
      </c>
      <c r="J105" s="122">
        <v>0.3</v>
      </c>
      <c r="K105" t="s">
        <v>1470</v>
      </c>
    </row>
    <row r="106" spans="1:11" x14ac:dyDescent="0.2">
      <c r="A106" t="s">
        <v>266</v>
      </c>
      <c r="B106" t="s">
        <v>265</v>
      </c>
      <c r="C106" t="s">
        <v>1492</v>
      </c>
      <c r="D106">
        <v>0</v>
      </c>
      <c r="E106" s="328">
        <v>96</v>
      </c>
      <c r="F106" t="s">
        <v>1498</v>
      </c>
      <c r="G106">
        <v>1</v>
      </c>
      <c r="H106" t="s">
        <v>1756</v>
      </c>
      <c r="I106">
        <v>0</v>
      </c>
      <c r="J106" s="122">
        <v>0.2</v>
      </c>
      <c r="K106" t="s">
        <v>1470</v>
      </c>
    </row>
    <row r="107" spans="1:11" x14ac:dyDescent="0.2">
      <c r="A107" t="s">
        <v>1206</v>
      </c>
      <c r="B107" t="s">
        <v>56</v>
      </c>
      <c r="C107" t="s">
        <v>1492</v>
      </c>
      <c r="D107">
        <v>0</v>
      </c>
      <c r="E107" s="329">
        <v>96</v>
      </c>
      <c r="F107" t="s">
        <v>1498</v>
      </c>
      <c r="G107">
        <v>1</v>
      </c>
      <c r="H107" t="s">
        <v>1756</v>
      </c>
      <c r="I107">
        <v>0</v>
      </c>
      <c r="J107" s="122">
        <v>0.4</v>
      </c>
      <c r="K107" t="s">
        <v>1470</v>
      </c>
    </row>
    <row r="108" spans="1:11" x14ac:dyDescent="0.2">
      <c r="A108" t="s">
        <v>1407</v>
      </c>
      <c r="B108" t="s">
        <v>1406</v>
      </c>
      <c r="C108" t="s">
        <v>1492</v>
      </c>
      <c r="D108">
        <v>0</v>
      </c>
      <c r="E108" s="329">
        <v>91</v>
      </c>
      <c r="F108" t="s">
        <v>1498</v>
      </c>
      <c r="G108">
        <v>1</v>
      </c>
      <c r="H108" t="s">
        <v>1756</v>
      </c>
      <c r="I108">
        <v>0</v>
      </c>
      <c r="J108" s="122">
        <v>0.3</v>
      </c>
      <c r="K108" t="s">
        <v>1470</v>
      </c>
    </row>
    <row r="109" spans="1:11" x14ac:dyDescent="0.2">
      <c r="A109" t="s">
        <v>567</v>
      </c>
      <c r="B109" t="s">
        <v>132</v>
      </c>
      <c r="C109" t="s">
        <v>1492</v>
      </c>
      <c r="D109">
        <v>0</v>
      </c>
      <c r="E109" s="329">
        <v>90</v>
      </c>
      <c r="F109" t="s">
        <v>1498</v>
      </c>
      <c r="G109">
        <v>1</v>
      </c>
      <c r="H109" t="s">
        <v>1756</v>
      </c>
      <c r="I109">
        <v>0</v>
      </c>
      <c r="J109" s="122">
        <v>0.4</v>
      </c>
      <c r="K109" t="s">
        <v>1470</v>
      </c>
    </row>
    <row r="110" spans="1:11" x14ac:dyDescent="0.2">
      <c r="A110" t="s">
        <v>817</v>
      </c>
      <c r="B110" t="s">
        <v>132</v>
      </c>
      <c r="C110" t="s">
        <v>1492</v>
      </c>
      <c r="D110">
        <v>0</v>
      </c>
      <c r="E110" s="329">
        <v>90</v>
      </c>
      <c r="F110" t="s">
        <v>1498</v>
      </c>
      <c r="G110">
        <v>1</v>
      </c>
      <c r="H110" t="s">
        <v>1756</v>
      </c>
      <c r="I110">
        <v>0</v>
      </c>
      <c r="J110" s="122">
        <v>0.4</v>
      </c>
      <c r="K110" t="s">
        <v>1470</v>
      </c>
    </row>
    <row r="111" spans="1:11" x14ac:dyDescent="0.2">
      <c r="A111" t="s">
        <v>644</v>
      </c>
      <c r="B111" t="s">
        <v>643</v>
      </c>
      <c r="C111" t="s">
        <v>1492</v>
      </c>
      <c r="D111">
        <v>0</v>
      </c>
      <c r="E111" s="329">
        <v>84</v>
      </c>
      <c r="F111" t="s">
        <v>1498</v>
      </c>
      <c r="G111">
        <v>1</v>
      </c>
      <c r="H111" t="s">
        <v>1756</v>
      </c>
      <c r="I111">
        <v>0</v>
      </c>
      <c r="J111" s="122">
        <v>0.4</v>
      </c>
      <c r="K111" t="s">
        <v>1470</v>
      </c>
    </row>
    <row r="112" spans="1:11" x14ac:dyDescent="0.2">
      <c r="A112" t="s">
        <v>367</v>
      </c>
      <c r="B112" t="s">
        <v>366</v>
      </c>
      <c r="C112" t="s">
        <v>1492</v>
      </c>
      <c r="D112">
        <v>0</v>
      </c>
      <c r="E112" s="329">
        <v>84</v>
      </c>
      <c r="F112" t="s">
        <v>1498</v>
      </c>
      <c r="G112">
        <v>1</v>
      </c>
      <c r="H112" t="s">
        <v>1756</v>
      </c>
      <c r="I112">
        <v>0</v>
      </c>
      <c r="J112" s="122">
        <v>0.3</v>
      </c>
      <c r="K112" t="s">
        <v>1470</v>
      </c>
    </row>
    <row r="113" spans="1:11" x14ac:dyDescent="0.2">
      <c r="A113" t="s">
        <v>1045</v>
      </c>
      <c r="B113" t="s">
        <v>1044</v>
      </c>
      <c r="C113" t="s">
        <v>1492</v>
      </c>
      <c r="D113">
        <v>0</v>
      </c>
      <c r="E113" s="329">
        <v>77</v>
      </c>
      <c r="F113" t="s">
        <v>1498</v>
      </c>
      <c r="G113">
        <v>1</v>
      </c>
      <c r="H113" t="s">
        <v>1756</v>
      </c>
      <c r="I113">
        <v>0</v>
      </c>
      <c r="J113" s="122">
        <v>0.3</v>
      </c>
      <c r="K113" t="s">
        <v>1470</v>
      </c>
    </row>
    <row r="114" spans="1:11" x14ac:dyDescent="0.2">
      <c r="A114" t="s">
        <v>1343</v>
      </c>
      <c r="B114" t="s">
        <v>248</v>
      </c>
      <c r="C114" t="s">
        <v>1492</v>
      </c>
      <c r="D114">
        <v>0</v>
      </c>
      <c r="E114" s="329">
        <v>72</v>
      </c>
      <c r="F114" t="s">
        <v>1498</v>
      </c>
      <c r="G114">
        <v>1</v>
      </c>
      <c r="H114" t="s">
        <v>1756</v>
      </c>
      <c r="I114">
        <v>0</v>
      </c>
      <c r="J114" s="122">
        <v>0.4</v>
      </c>
      <c r="K114" t="s">
        <v>1470</v>
      </c>
    </row>
    <row r="115" spans="1:11" x14ac:dyDescent="0.2">
      <c r="A115" t="s">
        <v>1442</v>
      </c>
      <c r="B115" t="s">
        <v>1441</v>
      </c>
      <c r="C115" t="s">
        <v>1492</v>
      </c>
      <c r="D115">
        <v>0</v>
      </c>
      <c r="E115" s="328">
        <v>72</v>
      </c>
      <c r="F115" t="s">
        <v>1498</v>
      </c>
      <c r="G115">
        <v>1</v>
      </c>
      <c r="H115" t="s">
        <v>1756</v>
      </c>
      <c r="I115">
        <v>0</v>
      </c>
      <c r="J115" s="122">
        <v>0.2</v>
      </c>
      <c r="K115" t="s">
        <v>1470</v>
      </c>
    </row>
    <row r="116" spans="1:11" x14ac:dyDescent="0.2">
      <c r="A116" t="s">
        <v>1233</v>
      </c>
      <c r="B116" t="s">
        <v>1232</v>
      </c>
      <c r="C116" t="s">
        <v>1492</v>
      </c>
      <c r="D116">
        <v>0</v>
      </c>
      <c r="E116" s="328">
        <v>68</v>
      </c>
      <c r="F116" t="s">
        <v>1498</v>
      </c>
      <c r="G116">
        <v>2</v>
      </c>
      <c r="H116" t="s">
        <v>1756</v>
      </c>
      <c r="I116">
        <v>0</v>
      </c>
      <c r="J116" s="122">
        <v>0.2</v>
      </c>
      <c r="K116" t="s">
        <v>1470</v>
      </c>
    </row>
    <row r="117" spans="1:11" x14ac:dyDescent="0.2">
      <c r="A117" t="s">
        <v>1247</v>
      </c>
      <c r="B117" t="s">
        <v>400</v>
      </c>
      <c r="C117" t="s">
        <v>1492</v>
      </c>
      <c r="D117">
        <v>0</v>
      </c>
      <c r="E117" s="329">
        <v>66</v>
      </c>
      <c r="F117" t="s">
        <v>1498</v>
      </c>
      <c r="G117">
        <v>1</v>
      </c>
      <c r="H117" t="s">
        <v>1756</v>
      </c>
      <c r="I117">
        <v>0</v>
      </c>
      <c r="J117" s="122">
        <v>0.4</v>
      </c>
      <c r="K117" t="s">
        <v>1470</v>
      </c>
    </row>
    <row r="118" spans="1:11" x14ac:dyDescent="0.2">
      <c r="A118" t="s">
        <v>767</v>
      </c>
      <c r="B118" t="s">
        <v>766</v>
      </c>
      <c r="C118" t="s">
        <v>1492</v>
      </c>
      <c r="D118">
        <v>0</v>
      </c>
      <c r="E118" s="329">
        <v>63</v>
      </c>
      <c r="F118" t="s">
        <v>1498</v>
      </c>
      <c r="G118">
        <v>1</v>
      </c>
      <c r="H118" t="s">
        <v>1756</v>
      </c>
      <c r="I118">
        <v>0</v>
      </c>
      <c r="J118" s="122">
        <v>0.3</v>
      </c>
      <c r="K118" t="s">
        <v>1470</v>
      </c>
    </row>
    <row r="119" spans="1:11" x14ac:dyDescent="0.2">
      <c r="A119" t="s">
        <v>820</v>
      </c>
      <c r="B119" t="s">
        <v>819</v>
      </c>
      <c r="C119" t="s">
        <v>1492</v>
      </c>
      <c r="D119">
        <v>0</v>
      </c>
      <c r="E119" s="329">
        <v>63</v>
      </c>
      <c r="F119" t="s">
        <v>1498</v>
      </c>
      <c r="G119">
        <v>2</v>
      </c>
      <c r="H119" t="s">
        <v>1756</v>
      </c>
      <c r="I119">
        <v>0</v>
      </c>
      <c r="J119" s="122">
        <v>0.3</v>
      </c>
      <c r="K119" t="s">
        <v>1470</v>
      </c>
    </row>
    <row r="120" spans="1:11" x14ac:dyDescent="0.2">
      <c r="A120" t="s">
        <v>1463</v>
      </c>
      <c r="B120" t="s">
        <v>1462</v>
      </c>
      <c r="C120" t="s">
        <v>1492</v>
      </c>
      <c r="D120">
        <v>0</v>
      </c>
      <c r="E120" s="329">
        <v>63</v>
      </c>
      <c r="F120" t="s">
        <v>1498</v>
      </c>
      <c r="G120">
        <v>1</v>
      </c>
      <c r="H120" t="s">
        <v>1756</v>
      </c>
      <c r="I120">
        <v>0</v>
      </c>
      <c r="J120" s="122">
        <f>J117</f>
        <v>0.4</v>
      </c>
      <c r="K120" t="s">
        <v>1470</v>
      </c>
    </row>
    <row r="121" spans="1:11" x14ac:dyDescent="0.2">
      <c r="A121" t="s">
        <v>1427</v>
      </c>
      <c r="B121" t="s">
        <v>1426</v>
      </c>
      <c r="C121" t="s">
        <v>1492</v>
      </c>
      <c r="D121">
        <v>0</v>
      </c>
      <c r="E121" s="328">
        <v>56</v>
      </c>
      <c r="F121" t="s">
        <v>1498</v>
      </c>
      <c r="G121">
        <v>1</v>
      </c>
      <c r="H121" t="s">
        <v>1756</v>
      </c>
      <c r="I121">
        <v>0</v>
      </c>
      <c r="J121" s="122">
        <v>0.2</v>
      </c>
      <c r="K121" t="s">
        <v>1470</v>
      </c>
    </row>
    <row r="122" spans="1:11" x14ac:dyDescent="0.2">
      <c r="A122" t="s">
        <v>1293</v>
      </c>
      <c r="B122" t="s">
        <v>766</v>
      </c>
      <c r="C122" t="s">
        <v>1492</v>
      </c>
      <c r="D122">
        <v>0</v>
      </c>
      <c r="E122" s="329">
        <v>54</v>
      </c>
      <c r="F122" t="s">
        <v>1498</v>
      </c>
      <c r="G122">
        <v>1</v>
      </c>
      <c r="H122" t="s">
        <v>1756</v>
      </c>
      <c r="I122">
        <v>0</v>
      </c>
      <c r="J122" s="122">
        <v>0.4</v>
      </c>
      <c r="K122" t="s">
        <v>1470</v>
      </c>
    </row>
    <row r="123" spans="1:11" x14ac:dyDescent="0.2">
      <c r="A123" t="s">
        <v>500</v>
      </c>
      <c r="B123" t="s">
        <v>499</v>
      </c>
      <c r="C123" t="s">
        <v>1492</v>
      </c>
      <c r="D123">
        <v>0</v>
      </c>
      <c r="E123" s="329">
        <v>52</v>
      </c>
      <c r="F123" t="s">
        <v>1498</v>
      </c>
      <c r="G123">
        <v>2</v>
      </c>
      <c r="H123" t="s">
        <v>1756</v>
      </c>
      <c r="I123">
        <v>0</v>
      </c>
      <c r="J123" s="122">
        <v>0.3</v>
      </c>
      <c r="K123" t="s">
        <v>1470</v>
      </c>
    </row>
    <row r="124" spans="1:11" x14ac:dyDescent="0.2">
      <c r="A124" t="s">
        <v>565</v>
      </c>
      <c r="B124" t="s">
        <v>564</v>
      </c>
      <c r="C124" t="s">
        <v>1492</v>
      </c>
      <c r="D124">
        <v>0</v>
      </c>
      <c r="E124" s="329">
        <v>52</v>
      </c>
      <c r="F124" t="s">
        <v>1498</v>
      </c>
      <c r="G124">
        <v>2</v>
      </c>
      <c r="H124" t="s">
        <v>1756</v>
      </c>
      <c r="I124">
        <v>0</v>
      </c>
      <c r="J124" s="122">
        <v>0.3</v>
      </c>
      <c r="K124" t="s">
        <v>1470</v>
      </c>
    </row>
    <row r="125" spans="1:11" x14ac:dyDescent="0.2">
      <c r="A125" t="s">
        <v>901</v>
      </c>
      <c r="B125" t="s">
        <v>900</v>
      </c>
      <c r="C125" t="s">
        <v>1492</v>
      </c>
      <c r="D125">
        <v>0</v>
      </c>
      <c r="E125" s="329">
        <v>52</v>
      </c>
      <c r="F125" t="s">
        <v>1498</v>
      </c>
      <c r="G125">
        <v>1</v>
      </c>
      <c r="H125" t="s">
        <v>1756</v>
      </c>
      <c r="I125">
        <v>0</v>
      </c>
      <c r="J125" s="122">
        <v>0.3</v>
      </c>
      <c r="K125" t="s">
        <v>1470</v>
      </c>
    </row>
    <row r="126" spans="1:11" x14ac:dyDescent="0.2">
      <c r="A126" t="s">
        <v>954</v>
      </c>
      <c r="B126" t="s">
        <v>953</v>
      </c>
      <c r="C126" t="s">
        <v>1492</v>
      </c>
      <c r="D126">
        <v>0</v>
      </c>
      <c r="E126" s="329">
        <v>52</v>
      </c>
      <c r="F126" t="s">
        <v>1498</v>
      </c>
      <c r="G126">
        <v>2</v>
      </c>
      <c r="H126" t="s">
        <v>1756</v>
      </c>
      <c r="I126">
        <v>0</v>
      </c>
      <c r="J126" s="122">
        <v>0.3</v>
      </c>
      <c r="K126" t="s">
        <v>1470</v>
      </c>
    </row>
    <row r="127" spans="1:11" x14ac:dyDescent="0.2">
      <c r="A127" t="s">
        <v>1118</v>
      </c>
      <c r="B127" t="s">
        <v>1117</v>
      </c>
      <c r="C127" t="s">
        <v>1492</v>
      </c>
      <c r="D127">
        <v>0</v>
      </c>
      <c r="E127" s="329">
        <v>52</v>
      </c>
      <c r="F127" t="s">
        <v>1498</v>
      </c>
      <c r="G127">
        <v>2</v>
      </c>
      <c r="H127" t="s">
        <v>1756</v>
      </c>
      <c r="I127">
        <v>0</v>
      </c>
      <c r="J127" s="122">
        <v>0.3</v>
      </c>
      <c r="K127" t="s">
        <v>1470</v>
      </c>
    </row>
    <row r="128" spans="1:11" x14ac:dyDescent="0.2">
      <c r="A128" t="s">
        <v>1220</v>
      </c>
      <c r="B128" t="s">
        <v>239</v>
      </c>
      <c r="C128" t="s">
        <v>1492</v>
      </c>
      <c r="D128">
        <v>0</v>
      </c>
      <c r="E128" s="329">
        <v>52</v>
      </c>
      <c r="F128" t="s">
        <v>1498</v>
      </c>
      <c r="G128">
        <v>1</v>
      </c>
      <c r="H128" t="s">
        <v>1756</v>
      </c>
      <c r="I128">
        <v>0</v>
      </c>
      <c r="J128" s="122">
        <v>0.3</v>
      </c>
      <c r="K128" t="s">
        <v>1470</v>
      </c>
    </row>
    <row r="129" spans="1:11" x14ac:dyDescent="0.2">
      <c r="A129" t="s">
        <v>536</v>
      </c>
      <c r="B129" t="s">
        <v>535</v>
      </c>
      <c r="C129" t="s">
        <v>1492</v>
      </c>
      <c r="D129">
        <v>0</v>
      </c>
      <c r="E129" s="329">
        <v>48</v>
      </c>
      <c r="F129" t="s">
        <v>1497</v>
      </c>
      <c r="G129">
        <v>1</v>
      </c>
      <c r="H129" t="s">
        <v>1756</v>
      </c>
      <c r="I129">
        <v>0</v>
      </c>
      <c r="J129" s="122">
        <v>0.4</v>
      </c>
      <c r="K129" t="s">
        <v>1470</v>
      </c>
    </row>
    <row r="130" spans="1:11" x14ac:dyDescent="0.2">
      <c r="A130" t="s">
        <v>1295</v>
      </c>
      <c r="B130" t="s">
        <v>569</v>
      </c>
      <c r="C130" t="s">
        <v>1492</v>
      </c>
      <c r="D130">
        <v>0</v>
      </c>
      <c r="E130" s="329">
        <v>48</v>
      </c>
      <c r="F130" t="s">
        <v>1497</v>
      </c>
      <c r="G130">
        <v>1</v>
      </c>
      <c r="H130" t="s">
        <v>1756</v>
      </c>
      <c r="I130">
        <v>0</v>
      </c>
      <c r="J130" s="122">
        <v>0.4</v>
      </c>
      <c r="K130" t="s">
        <v>1470</v>
      </c>
    </row>
    <row r="131" spans="1:11" x14ac:dyDescent="0.2">
      <c r="A131" t="s">
        <v>1148</v>
      </c>
      <c r="B131" t="s">
        <v>1147</v>
      </c>
      <c r="C131" t="s">
        <v>1492</v>
      </c>
      <c r="D131">
        <v>0</v>
      </c>
      <c r="E131" s="329">
        <v>42</v>
      </c>
      <c r="F131" t="s">
        <v>1497</v>
      </c>
      <c r="G131">
        <v>1</v>
      </c>
      <c r="H131" t="s">
        <v>1756</v>
      </c>
      <c r="I131">
        <v>0</v>
      </c>
      <c r="J131" s="122">
        <v>0.3</v>
      </c>
      <c r="K131" t="s">
        <v>1470</v>
      </c>
    </row>
    <row r="132" spans="1:11" x14ac:dyDescent="0.2">
      <c r="A132" t="s">
        <v>378</v>
      </c>
      <c r="B132" t="s">
        <v>377</v>
      </c>
      <c r="C132" t="s">
        <v>1492</v>
      </c>
      <c r="D132">
        <v>0</v>
      </c>
      <c r="E132" s="328">
        <v>40</v>
      </c>
      <c r="F132" t="s">
        <v>1497</v>
      </c>
      <c r="G132">
        <v>2</v>
      </c>
      <c r="H132" t="s">
        <v>1756</v>
      </c>
      <c r="I132">
        <v>0</v>
      </c>
      <c r="J132" s="122">
        <v>0.2</v>
      </c>
      <c r="K132" t="s">
        <v>1470</v>
      </c>
    </row>
    <row r="133" spans="1:11" x14ac:dyDescent="0.2">
      <c r="A133" t="s">
        <v>737</v>
      </c>
      <c r="B133" t="s">
        <v>736</v>
      </c>
      <c r="C133" t="s">
        <v>1492</v>
      </c>
      <c r="D133">
        <v>0</v>
      </c>
      <c r="E133" s="329">
        <v>35</v>
      </c>
      <c r="F133" t="s">
        <v>1497</v>
      </c>
      <c r="G133">
        <v>2</v>
      </c>
      <c r="H133" t="s">
        <v>1756</v>
      </c>
      <c r="I133">
        <v>0</v>
      </c>
      <c r="J133" s="122">
        <v>0.3</v>
      </c>
      <c r="K133" t="s">
        <v>1470</v>
      </c>
    </row>
    <row r="134" spans="1:11" x14ac:dyDescent="0.2">
      <c r="A134" t="s">
        <v>832</v>
      </c>
      <c r="B134" t="s">
        <v>831</v>
      </c>
      <c r="C134" t="s">
        <v>1492</v>
      </c>
      <c r="D134">
        <v>0</v>
      </c>
      <c r="E134" s="329">
        <v>35</v>
      </c>
      <c r="F134" t="s">
        <v>1497</v>
      </c>
      <c r="G134">
        <v>2</v>
      </c>
      <c r="H134" t="s">
        <v>1756</v>
      </c>
      <c r="I134">
        <v>0</v>
      </c>
      <c r="J134" s="122">
        <v>0.3</v>
      </c>
      <c r="K134" t="s">
        <v>1470</v>
      </c>
    </row>
    <row r="135" spans="1:11" x14ac:dyDescent="0.2">
      <c r="A135" t="s">
        <v>807</v>
      </c>
      <c r="B135" t="s">
        <v>806</v>
      </c>
      <c r="C135" t="s">
        <v>1492</v>
      </c>
      <c r="D135">
        <v>0</v>
      </c>
      <c r="E135" s="329">
        <v>35</v>
      </c>
      <c r="F135" t="s">
        <v>1497</v>
      </c>
      <c r="G135">
        <v>2</v>
      </c>
      <c r="H135" t="s">
        <v>1756</v>
      </c>
      <c r="I135">
        <v>0</v>
      </c>
      <c r="J135" s="122">
        <v>0.3</v>
      </c>
      <c r="K135" t="s">
        <v>1470</v>
      </c>
    </row>
    <row r="136" spans="1:11" x14ac:dyDescent="0.2">
      <c r="A136" t="s">
        <v>1352</v>
      </c>
      <c r="B136" t="s">
        <v>1351</v>
      </c>
      <c r="C136" t="s">
        <v>1492</v>
      </c>
      <c r="D136">
        <v>0</v>
      </c>
      <c r="E136" s="328">
        <v>32</v>
      </c>
      <c r="F136" t="s">
        <v>1497</v>
      </c>
      <c r="G136">
        <v>1</v>
      </c>
      <c r="H136" t="s">
        <v>1756</v>
      </c>
      <c r="I136">
        <v>0</v>
      </c>
      <c r="J136" s="122">
        <v>0.2</v>
      </c>
      <c r="K136" t="s">
        <v>1470</v>
      </c>
    </row>
    <row r="137" spans="1:11" x14ac:dyDescent="0.2">
      <c r="A137" t="s">
        <v>835</v>
      </c>
      <c r="B137" t="s">
        <v>834</v>
      </c>
      <c r="C137" t="s">
        <v>1492</v>
      </c>
      <c r="D137">
        <v>0</v>
      </c>
      <c r="E137" s="329">
        <v>21</v>
      </c>
      <c r="F137" t="s">
        <v>1497</v>
      </c>
      <c r="G137">
        <v>1</v>
      </c>
      <c r="H137" t="s">
        <v>1756</v>
      </c>
      <c r="I137">
        <v>0</v>
      </c>
      <c r="J137" s="122">
        <v>0.3</v>
      </c>
      <c r="K137" t="s">
        <v>1470</v>
      </c>
    </row>
    <row r="138" spans="1:11" x14ac:dyDescent="0.2">
      <c r="A138" t="s">
        <v>1414</v>
      </c>
      <c r="B138" t="s">
        <v>111</v>
      </c>
      <c r="C138" t="s">
        <v>1494</v>
      </c>
      <c r="D138">
        <v>4.9000000000000004</v>
      </c>
      <c r="E138" s="329">
        <v>96</v>
      </c>
      <c r="F138" t="s">
        <v>1498</v>
      </c>
      <c r="G138">
        <v>1</v>
      </c>
      <c r="H138" t="s">
        <v>1755</v>
      </c>
      <c r="I138">
        <v>18</v>
      </c>
      <c r="J138" s="122">
        <v>0.4</v>
      </c>
      <c r="K138" t="s">
        <v>1470</v>
      </c>
    </row>
    <row r="139" spans="1:11" x14ac:dyDescent="0.2">
      <c r="A139" t="s">
        <v>1172</v>
      </c>
      <c r="B139" t="s">
        <v>586</v>
      </c>
      <c r="C139" t="s">
        <v>1494</v>
      </c>
      <c r="D139">
        <v>4.9000000000000004</v>
      </c>
      <c r="E139" s="329">
        <v>78</v>
      </c>
      <c r="F139" t="s">
        <v>1498</v>
      </c>
      <c r="G139">
        <v>1</v>
      </c>
      <c r="H139" t="s">
        <v>1755</v>
      </c>
      <c r="I139">
        <v>17</v>
      </c>
      <c r="J139" s="122">
        <v>0.4</v>
      </c>
      <c r="K139" t="s">
        <v>1470</v>
      </c>
    </row>
    <row r="140" spans="1:11" x14ac:dyDescent="0.2">
      <c r="A140" t="s">
        <v>1304</v>
      </c>
      <c r="B140" t="s">
        <v>1303</v>
      </c>
      <c r="C140" t="s">
        <v>1494</v>
      </c>
      <c r="D140">
        <v>4.8</v>
      </c>
      <c r="E140" s="329">
        <v>112</v>
      </c>
      <c r="F140" t="s">
        <v>1495</v>
      </c>
      <c r="G140">
        <v>2</v>
      </c>
      <c r="H140" t="s">
        <v>1755</v>
      </c>
      <c r="I140">
        <v>8</v>
      </c>
      <c r="J140" s="122">
        <v>0.3</v>
      </c>
      <c r="K140" t="s">
        <v>1470</v>
      </c>
    </row>
    <row r="141" spans="1:11" x14ac:dyDescent="0.2">
      <c r="A141" t="s">
        <v>1382</v>
      </c>
      <c r="B141" t="s">
        <v>17</v>
      </c>
      <c r="C141" t="s">
        <v>1494</v>
      </c>
      <c r="D141">
        <v>4.8</v>
      </c>
      <c r="E141" s="329">
        <v>60</v>
      </c>
      <c r="F141" t="s">
        <v>1498</v>
      </c>
      <c r="G141">
        <v>1</v>
      </c>
      <c r="H141" t="s">
        <v>1755</v>
      </c>
      <c r="I141">
        <v>20</v>
      </c>
      <c r="J141" s="122">
        <v>0.4</v>
      </c>
      <c r="K141" t="s">
        <v>1470</v>
      </c>
    </row>
    <row r="142" spans="1:11" x14ac:dyDescent="0.2">
      <c r="A142" t="s">
        <v>1014</v>
      </c>
      <c r="B142" t="s">
        <v>1013</v>
      </c>
      <c r="C142" t="s">
        <v>1494</v>
      </c>
      <c r="D142">
        <v>4.7</v>
      </c>
      <c r="E142" s="328">
        <v>112</v>
      </c>
      <c r="F142" t="s">
        <v>1495</v>
      </c>
      <c r="G142">
        <v>2</v>
      </c>
      <c r="H142" t="s">
        <v>1755</v>
      </c>
      <c r="I142">
        <v>17</v>
      </c>
      <c r="J142" s="122">
        <v>0.2</v>
      </c>
      <c r="K142" t="s">
        <v>1470</v>
      </c>
    </row>
    <row r="143" spans="1:11" x14ac:dyDescent="0.2">
      <c r="A143" t="s">
        <v>1421</v>
      </c>
      <c r="B143" t="s">
        <v>1420</v>
      </c>
      <c r="C143" t="s">
        <v>1494</v>
      </c>
      <c r="D143">
        <v>4.7</v>
      </c>
      <c r="E143" s="329">
        <v>56</v>
      </c>
      <c r="F143" t="s">
        <v>1498</v>
      </c>
      <c r="G143">
        <v>1</v>
      </c>
      <c r="H143" t="s">
        <v>1755</v>
      </c>
      <c r="I143">
        <v>10</v>
      </c>
      <c r="J143" s="122">
        <v>0.3</v>
      </c>
      <c r="K143" t="s">
        <v>1470</v>
      </c>
    </row>
    <row r="144" spans="1:11" x14ac:dyDescent="0.2">
      <c r="A144" t="s">
        <v>641</v>
      </c>
      <c r="B144" t="s">
        <v>640</v>
      </c>
      <c r="C144" t="s">
        <v>1494</v>
      </c>
      <c r="D144">
        <v>4.5999999999999996</v>
      </c>
      <c r="E144" s="328">
        <v>112</v>
      </c>
      <c r="F144" t="s">
        <v>1495</v>
      </c>
      <c r="G144">
        <v>2</v>
      </c>
      <c r="H144" t="s">
        <v>1755</v>
      </c>
      <c r="I144">
        <v>10</v>
      </c>
      <c r="J144" s="122">
        <v>0.2</v>
      </c>
      <c r="K144" t="s">
        <v>1470</v>
      </c>
    </row>
    <row r="145" spans="1:11" x14ac:dyDescent="0.2">
      <c r="A145" t="s">
        <v>1310</v>
      </c>
      <c r="B145" t="s">
        <v>1309</v>
      </c>
      <c r="C145" t="s">
        <v>1494</v>
      </c>
      <c r="D145">
        <v>4.5999999999999996</v>
      </c>
      <c r="E145" s="328">
        <v>72</v>
      </c>
      <c r="F145" t="s">
        <v>1498</v>
      </c>
      <c r="G145">
        <v>1</v>
      </c>
      <c r="H145" t="s">
        <v>1755</v>
      </c>
      <c r="I145">
        <v>12</v>
      </c>
      <c r="J145" s="122">
        <v>0.2</v>
      </c>
      <c r="K145" t="s">
        <v>1470</v>
      </c>
    </row>
    <row r="146" spans="1:11" x14ac:dyDescent="0.2">
      <c r="A146" t="s">
        <v>1216</v>
      </c>
      <c r="B146" t="s">
        <v>607</v>
      </c>
      <c r="C146" t="s">
        <v>1494</v>
      </c>
      <c r="D146">
        <v>4.5999999999999996</v>
      </c>
      <c r="E146" s="329">
        <v>60</v>
      </c>
      <c r="F146" t="s">
        <v>1498</v>
      </c>
      <c r="G146">
        <v>1</v>
      </c>
      <c r="H146" t="s">
        <v>1755</v>
      </c>
      <c r="I146">
        <v>16</v>
      </c>
      <c r="J146" s="122">
        <v>0.4</v>
      </c>
      <c r="K146" t="s">
        <v>1470</v>
      </c>
    </row>
    <row r="147" spans="1:11" x14ac:dyDescent="0.2">
      <c r="A147" t="s">
        <v>662</v>
      </c>
      <c r="B147" t="s">
        <v>661</v>
      </c>
      <c r="C147" t="s">
        <v>1494</v>
      </c>
      <c r="D147">
        <v>4.5999999999999996</v>
      </c>
      <c r="E147" s="329">
        <v>54</v>
      </c>
      <c r="F147" t="s">
        <v>1498</v>
      </c>
      <c r="G147">
        <v>1</v>
      </c>
      <c r="H147" t="s">
        <v>1755</v>
      </c>
      <c r="I147">
        <v>23</v>
      </c>
      <c r="J147" s="122">
        <v>0.4</v>
      </c>
      <c r="K147" t="s">
        <v>1470</v>
      </c>
    </row>
    <row r="148" spans="1:11" x14ac:dyDescent="0.2">
      <c r="A148" t="s">
        <v>608</v>
      </c>
      <c r="B148" t="s">
        <v>607</v>
      </c>
      <c r="C148" t="s">
        <v>1494</v>
      </c>
      <c r="D148">
        <v>4.5</v>
      </c>
      <c r="E148" s="329">
        <v>60</v>
      </c>
      <c r="F148" t="s">
        <v>1498</v>
      </c>
      <c r="G148">
        <v>1</v>
      </c>
      <c r="H148" t="s">
        <v>1755</v>
      </c>
      <c r="I148">
        <v>13</v>
      </c>
      <c r="J148" s="122">
        <v>0.4</v>
      </c>
      <c r="K148" t="s">
        <v>1470</v>
      </c>
    </row>
    <row r="149" spans="1:11" x14ac:dyDescent="0.2">
      <c r="A149" t="s">
        <v>302</v>
      </c>
      <c r="B149" t="s">
        <v>301</v>
      </c>
      <c r="C149" t="s">
        <v>1494</v>
      </c>
      <c r="D149">
        <v>4.4000000000000004</v>
      </c>
      <c r="E149" s="328">
        <v>128</v>
      </c>
      <c r="F149" t="s">
        <v>1495</v>
      </c>
      <c r="G149">
        <v>2</v>
      </c>
      <c r="H149" t="s">
        <v>1755</v>
      </c>
      <c r="I149">
        <v>36</v>
      </c>
      <c r="J149" s="122">
        <v>0.2</v>
      </c>
      <c r="K149" t="s">
        <v>1470</v>
      </c>
    </row>
    <row r="150" spans="1:11" x14ac:dyDescent="0.2">
      <c r="A150" t="s">
        <v>1081</v>
      </c>
      <c r="B150" t="s">
        <v>78</v>
      </c>
      <c r="C150" t="s">
        <v>1494</v>
      </c>
      <c r="D150">
        <v>4.4000000000000004</v>
      </c>
      <c r="E150" s="328">
        <v>120</v>
      </c>
      <c r="F150" t="s">
        <v>1495</v>
      </c>
      <c r="G150">
        <v>1</v>
      </c>
      <c r="H150" t="s">
        <v>1755</v>
      </c>
      <c r="I150">
        <v>26</v>
      </c>
      <c r="J150" s="122">
        <v>0.2</v>
      </c>
      <c r="K150" t="s">
        <v>1470</v>
      </c>
    </row>
    <row r="151" spans="1:11" x14ac:dyDescent="0.2">
      <c r="A151" t="s">
        <v>846</v>
      </c>
      <c r="B151" t="s">
        <v>845</v>
      </c>
      <c r="C151" t="s">
        <v>1494</v>
      </c>
      <c r="D151">
        <v>4.4000000000000004</v>
      </c>
      <c r="E151" s="329">
        <v>119</v>
      </c>
      <c r="F151" t="s">
        <v>1495</v>
      </c>
      <c r="G151">
        <v>1</v>
      </c>
      <c r="H151" t="s">
        <v>1755</v>
      </c>
      <c r="I151">
        <v>25</v>
      </c>
      <c r="J151" s="122">
        <v>0.3</v>
      </c>
      <c r="K151" t="s">
        <v>1470</v>
      </c>
    </row>
    <row r="152" spans="1:11" x14ac:dyDescent="0.2">
      <c r="A152" t="s">
        <v>441</v>
      </c>
      <c r="B152" t="s">
        <v>440</v>
      </c>
      <c r="C152" t="s">
        <v>1494</v>
      </c>
      <c r="D152">
        <v>4.4000000000000004</v>
      </c>
      <c r="E152" s="328">
        <v>96</v>
      </c>
      <c r="F152" t="s">
        <v>1498</v>
      </c>
      <c r="G152">
        <v>1</v>
      </c>
      <c r="H152" t="s">
        <v>1755</v>
      </c>
      <c r="I152">
        <v>27</v>
      </c>
      <c r="J152" s="122">
        <v>0.2</v>
      </c>
      <c r="K152" t="s">
        <v>1470</v>
      </c>
    </row>
    <row r="153" spans="1:11" x14ac:dyDescent="0.2">
      <c r="A153" t="s">
        <v>776</v>
      </c>
      <c r="B153" t="s">
        <v>775</v>
      </c>
      <c r="C153" t="s">
        <v>1494</v>
      </c>
      <c r="D153">
        <v>4.4000000000000004</v>
      </c>
      <c r="E153" s="328">
        <v>88</v>
      </c>
      <c r="F153" t="s">
        <v>1498</v>
      </c>
      <c r="G153">
        <v>2</v>
      </c>
      <c r="H153" t="s">
        <v>1755</v>
      </c>
      <c r="I153">
        <v>20</v>
      </c>
      <c r="J153" s="122">
        <v>0.2</v>
      </c>
      <c r="K153" t="s">
        <v>1470</v>
      </c>
    </row>
    <row r="154" spans="1:11" x14ac:dyDescent="0.2">
      <c r="A154" t="s">
        <v>587</v>
      </c>
      <c r="B154" t="s">
        <v>586</v>
      </c>
      <c r="C154" t="s">
        <v>1494</v>
      </c>
      <c r="D154">
        <v>4.4000000000000004</v>
      </c>
      <c r="E154" s="329">
        <v>78</v>
      </c>
      <c r="F154" t="s">
        <v>1498</v>
      </c>
      <c r="G154">
        <v>1</v>
      </c>
      <c r="H154" t="s">
        <v>1755</v>
      </c>
      <c r="I154">
        <v>12</v>
      </c>
      <c r="J154" s="122">
        <v>0.4</v>
      </c>
      <c r="K154" t="s">
        <v>1470</v>
      </c>
    </row>
    <row r="155" spans="1:11" x14ac:dyDescent="0.2">
      <c r="A155" t="s">
        <v>882</v>
      </c>
      <c r="B155" t="s">
        <v>881</v>
      </c>
      <c r="C155" t="s">
        <v>1494</v>
      </c>
      <c r="D155">
        <v>4.4000000000000004</v>
      </c>
      <c r="E155" s="329">
        <v>48</v>
      </c>
      <c r="F155" t="s">
        <v>1497</v>
      </c>
      <c r="G155">
        <v>1</v>
      </c>
      <c r="H155" t="s">
        <v>1755</v>
      </c>
      <c r="I155">
        <v>9</v>
      </c>
      <c r="J155" s="122">
        <v>0.4</v>
      </c>
      <c r="K155" t="s">
        <v>1470</v>
      </c>
    </row>
    <row r="156" spans="1:11" x14ac:dyDescent="0.2">
      <c r="A156" t="s">
        <v>1162</v>
      </c>
      <c r="B156" t="s">
        <v>56</v>
      </c>
      <c r="C156" t="s">
        <v>1494</v>
      </c>
      <c r="D156">
        <v>4.3</v>
      </c>
      <c r="E156" s="329">
        <v>119</v>
      </c>
      <c r="F156" t="s">
        <v>1495</v>
      </c>
      <c r="G156">
        <v>1</v>
      </c>
      <c r="H156" t="s">
        <v>1755</v>
      </c>
      <c r="I156">
        <v>17</v>
      </c>
      <c r="J156" s="122">
        <v>0.3</v>
      </c>
      <c r="K156" t="s">
        <v>1470</v>
      </c>
    </row>
    <row r="157" spans="1:11" x14ac:dyDescent="0.2">
      <c r="A157" t="s">
        <v>356</v>
      </c>
      <c r="B157" t="s">
        <v>355</v>
      </c>
      <c r="C157" t="s">
        <v>1494</v>
      </c>
      <c r="D157">
        <v>4.3</v>
      </c>
      <c r="E157" s="328">
        <v>88</v>
      </c>
      <c r="F157" t="s">
        <v>1498</v>
      </c>
      <c r="G157">
        <v>1</v>
      </c>
      <c r="H157" t="s">
        <v>1755</v>
      </c>
      <c r="I157">
        <v>9</v>
      </c>
      <c r="J157" s="122">
        <v>0.2</v>
      </c>
      <c r="K157" t="s">
        <v>1470</v>
      </c>
    </row>
    <row r="158" spans="1:11" x14ac:dyDescent="0.2">
      <c r="A158" t="s">
        <v>1017</v>
      </c>
      <c r="B158" t="s">
        <v>1016</v>
      </c>
      <c r="C158" t="s">
        <v>1494</v>
      </c>
      <c r="D158">
        <v>4.2</v>
      </c>
      <c r="E158" s="328">
        <v>144</v>
      </c>
      <c r="F158" t="s">
        <v>1495</v>
      </c>
      <c r="G158">
        <v>1</v>
      </c>
      <c r="H158" t="s">
        <v>1755</v>
      </c>
      <c r="I158">
        <v>12</v>
      </c>
      <c r="J158" s="122">
        <v>0.2</v>
      </c>
      <c r="K158" t="s">
        <v>1470</v>
      </c>
    </row>
    <row r="159" spans="1:11" x14ac:dyDescent="0.2">
      <c r="A159" t="s">
        <v>546</v>
      </c>
      <c r="B159" t="s">
        <v>111</v>
      </c>
      <c r="C159" t="s">
        <v>1494</v>
      </c>
      <c r="D159">
        <v>4.2</v>
      </c>
      <c r="E159" s="328">
        <v>128</v>
      </c>
      <c r="F159" t="s">
        <v>1495</v>
      </c>
      <c r="G159">
        <v>1</v>
      </c>
      <c r="H159" t="s">
        <v>1755</v>
      </c>
      <c r="I159">
        <v>62</v>
      </c>
      <c r="J159" s="122">
        <v>0.2</v>
      </c>
      <c r="K159" t="s">
        <v>1470</v>
      </c>
    </row>
    <row r="160" spans="1:11" x14ac:dyDescent="0.2">
      <c r="A160" t="s">
        <v>1161</v>
      </c>
      <c r="B160" t="s">
        <v>903</v>
      </c>
      <c r="C160" t="s">
        <v>1494</v>
      </c>
      <c r="D160">
        <v>4.2</v>
      </c>
      <c r="E160" s="328">
        <v>104</v>
      </c>
      <c r="F160" t="s">
        <v>1495</v>
      </c>
      <c r="G160">
        <v>1</v>
      </c>
      <c r="H160" t="s">
        <v>1755</v>
      </c>
      <c r="I160">
        <v>45</v>
      </c>
      <c r="J160" s="122">
        <v>0.2</v>
      </c>
      <c r="K160" t="s">
        <v>1470</v>
      </c>
    </row>
    <row r="161" spans="1:11" x14ac:dyDescent="0.2">
      <c r="A161" t="s">
        <v>1143</v>
      </c>
      <c r="B161" t="s">
        <v>132</v>
      </c>
      <c r="C161" t="s">
        <v>1494</v>
      </c>
      <c r="D161">
        <v>4.2</v>
      </c>
      <c r="E161" s="329">
        <v>78</v>
      </c>
      <c r="F161" t="s">
        <v>1498</v>
      </c>
      <c r="G161">
        <v>1</v>
      </c>
      <c r="H161" t="s">
        <v>1755</v>
      </c>
      <c r="I161">
        <v>30</v>
      </c>
      <c r="J161" s="122">
        <v>0.4</v>
      </c>
      <c r="K161" t="s">
        <v>1470</v>
      </c>
    </row>
    <row r="162" spans="1:11" x14ac:dyDescent="0.2">
      <c r="A162" t="s">
        <v>67</v>
      </c>
      <c r="B162" t="s">
        <v>66</v>
      </c>
      <c r="C162" t="s">
        <v>1494</v>
      </c>
      <c r="D162">
        <v>4.2</v>
      </c>
      <c r="E162" s="329">
        <v>56</v>
      </c>
      <c r="F162" t="s">
        <v>1498</v>
      </c>
      <c r="G162">
        <v>2</v>
      </c>
      <c r="H162" t="s">
        <v>1755</v>
      </c>
      <c r="I162">
        <v>12</v>
      </c>
      <c r="J162" s="122">
        <v>0.3</v>
      </c>
      <c r="K162" t="s">
        <v>1470</v>
      </c>
    </row>
    <row r="163" spans="1:11" x14ac:dyDescent="0.2">
      <c r="A163" t="s">
        <v>1245</v>
      </c>
      <c r="B163" t="s">
        <v>766</v>
      </c>
      <c r="C163" t="s">
        <v>1494</v>
      </c>
      <c r="D163">
        <v>4.2</v>
      </c>
      <c r="E163" s="329">
        <v>48</v>
      </c>
      <c r="F163" t="s">
        <v>1497</v>
      </c>
      <c r="G163">
        <v>1</v>
      </c>
      <c r="H163" t="s">
        <v>1755</v>
      </c>
      <c r="I163">
        <v>13</v>
      </c>
      <c r="J163" s="122">
        <v>0.4</v>
      </c>
      <c r="K163" t="s">
        <v>1470</v>
      </c>
    </row>
    <row r="164" spans="1:11" x14ac:dyDescent="0.2">
      <c r="A164" t="s">
        <v>1190</v>
      </c>
      <c r="B164" t="s">
        <v>1189</v>
      </c>
      <c r="C164" t="s">
        <v>1494</v>
      </c>
      <c r="D164">
        <v>4.2</v>
      </c>
      <c r="E164" s="329">
        <v>34</v>
      </c>
      <c r="F164" t="s">
        <v>1497</v>
      </c>
      <c r="G164">
        <v>1</v>
      </c>
      <c r="H164" t="s">
        <v>1755</v>
      </c>
      <c r="I164">
        <v>25</v>
      </c>
      <c r="J164" s="122">
        <v>0.3</v>
      </c>
      <c r="K164" t="s">
        <v>1470</v>
      </c>
    </row>
    <row r="165" spans="1:11" x14ac:dyDescent="0.2">
      <c r="A165" t="s">
        <v>438</v>
      </c>
      <c r="B165" t="s">
        <v>437</v>
      </c>
      <c r="C165" t="s">
        <v>1494</v>
      </c>
      <c r="D165">
        <v>4.0999999999999996</v>
      </c>
      <c r="E165" s="328">
        <v>152</v>
      </c>
      <c r="F165" t="s">
        <v>1495</v>
      </c>
      <c r="G165">
        <v>1</v>
      </c>
      <c r="H165" t="s">
        <v>1755</v>
      </c>
      <c r="I165">
        <v>17</v>
      </c>
      <c r="J165" s="122">
        <v>0.2</v>
      </c>
      <c r="K165" t="s">
        <v>1470</v>
      </c>
    </row>
    <row r="166" spans="1:11" x14ac:dyDescent="0.2">
      <c r="A166" t="s">
        <v>1007</v>
      </c>
      <c r="B166" t="s">
        <v>1006</v>
      </c>
      <c r="C166" t="s">
        <v>1494</v>
      </c>
      <c r="D166">
        <v>4.0999999999999996</v>
      </c>
      <c r="E166" s="329">
        <v>126</v>
      </c>
      <c r="F166" t="s">
        <v>1495</v>
      </c>
      <c r="G166">
        <v>1</v>
      </c>
      <c r="H166" t="s">
        <v>1755</v>
      </c>
      <c r="I166">
        <v>11</v>
      </c>
      <c r="J166" s="122">
        <v>0.3</v>
      </c>
      <c r="K166" t="s">
        <v>1470</v>
      </c>
    </row>
    <row r="167" spans="1:11" x14ac:dyDescent="0.2">
      <c r="A167" t="s">
        <v>904</v>
      </c>
      <c r="B167" t="s">
        <v>903</v>
      </c>
      <c r="C167" t="s">
        <v>1494</v>
      </c>
      <c r="D167">
        <v>4.0999999999999996</v>
      </c>
      <c r="E167" s="328">
        <v>104</v>
      </c>
      <c r="F167" t="s">
        <v>1495</v>
      </c>
      <c r="G167">
        <v>1</v>
      </c>
      <c r="H167" t="s">
        <v>1755</v>
      </c>
      <c r="I167">
        <v>72</v>
      </c>
      <c r="J167" s="122">
        <v>0.2</v>
      </c>
      <c r="K167" t="s">
        <v>1470</v>
      </c>
    </row>
    <row r="168" spans="1:11" x14ac:dyDescent="0.2">
      <c r="A168" t="s">
        <v>1345</v>
      </c>
      <c r="B168" t="s">
        <v>890</v>
      </c>
      <c r="C168" t="s">
        <v>1494</v>
      </c>
      <c r="D168">
        <v>4.0999999999999996</v>
      </c>
      <c r="E168" s="328">
        <v>104</v>
      </c>
      <c r="F168" t="s">
        <v>1495</v>
      </c>
      <c r="G168">
        <v>1</v>
      </c>
      <c r="H168" t="s">
        <v>1755</v>
      </c>
      <c r="I168">
        <v>18</v>
      </c>
      <c r="J168" s="122">
        <v>0.2</v>
      </c>
      <c r="K168" t="s">
        <v>1470</v>
      </c>
    </row>
    <row r="169" spans="1:11" x14ac:dyDescent="0.2">
      <c r="A169" t="s">
        <v>605</v>
      </c>
      <c r="B169" t="s">
        <v>135</v>
      </c>
      <c r="C169" t="s">
        <v>1494</v>
      </c>
      <c r="D169">
        <v>4.0999999999999996</v>
      </c>
      <c r="E169" s="329">
        <v>102</v>
      </c>
      <c r="F169" t="s">
        <v>1495</v>
      </c>
      <c r="G169">
        <v>1</v>
      </c>
      <c r="H169" t="s">
        <v>1755</v>
      </c>
      <c r="I169">
        <v>9</v>
      </c>
      <c r="J169" s="122">
        <v>0.4</v>
      </c>
      <c r="K169" t="s">
        <v>1470</v>
      </c>
    </row>
    <row r="170" spans="1:11" x14ac:dyDescent="0.2">
      <c r="A170" t="s">
        <v>1389</v>
      </c>
      <c r="B170" t="s">
        <v>440</v>
      </c>
      <c r="C170" t="s">
        <v>1494</v>
      </c>
      <c r="D170">
        <v>4.0999999999999996</v>
      </c>
      <c r="E170" s="328">
        <v>96</v>
      </c>
      <c r="F170" t="s">
        <v>1498</v>
      </c>
      <c r="G170">
        <v>1</v>
      </c>
      <c r="H170" t="s">
        <v>1755</v>
      </c>
      <c r="I170">
        <v>8</v>
      </c>
      <c r="J170" s="122">
        <v>0.2</v>
      </c>
      <c r="K170" t="s">
        <v>1470</v>
      </c>
    </row>
    <row r="171" spans="1:11" x14ac:dyDescent="0.2">
      <c r="A171" t="s">
        <v>891</v>
      </c>
      <c r="B171" t="s">
        <v>890</v>
      </c>
      <c r="C171" t="s">
        <v>1494</v>
      </c>
      <c r="D171">
        <v>4.0999999999999996</v>
      </c>
      <c r="E171" s="329">
        <v>91</v>
      </c>
      <c r="F171" t="s">
        <v>1498</v>
      </c>
      <c r="G171">
        <v>1</v>
      </c>
      <c r="H171" t="s">
        <v>1755</v>
      </c>
      <c r="I171">
        <v>18</v>
      </c>
      <c r="J171" s="122">
        <v>0.3</v>
      </c>
      <c r="K171" t="s">
        <v>1470</v>
      </c>
    </row>
    <row r="172" spans="1:11" x14ac:dyDescent="0.2">
      <c r="A172" t="s">
        <v>1022</v>
      </c>
      <c r="B172" t="s">
        <v>248</v>
      </c>
      <c r="C172" t="s">
        <v>1494</v>
      </c>
      <c r="D172">
        <v>4.0999999999999996</v>
      </c>
      <c r="E172" s="329">
        <v>66</v>
      </c>
      <c r="F172" t="s">
        <v>1498</v>
      </c>
      <c r="G172">
        <v>1</v>
      </c>
      <c r="H172" t="s">
        <v>1755</v>
      </c>
      <c r="I172">
        <v>13</v>
      </c>
      <c r="J172" s="122">
        <v>0.4</v>
      </c>
      <c r="K172" t="s">
        <v>1470</v>
      </c>
    </row>
    <row r="173" spans="1:11" x14ac:dyDescent="0.2">
      <c r="A173" t="s">
        <v>1159</v>
      </c>
      <c r="B173" t="s">
        <v>1158</v>
      </c>
      <c r="C173" t="s">
        <v>1494</v>
      </c>
      <c r="D173">
        <v>4.0999999999999996</v>
      </c>
      <c r="E173" s="328">
        <v>24</v>
      </c>
      <c r="F173" t="s">
        <v>1497</v>
      </c>
      <c r="G173">
        <v>1</v>
      </c>
      <c r="H173" t="s">
        <v>1755</v>
      </c>
      <c r="I173">
        <v>8</v>
      </c>
      <c r="J173" s="122">
        <v>0.2</v>
      </c>
      <c r="K173" t="s">
        <v>1470</v>
      </c>
    </row>
    <row r="174" spans="1:11" x14ac:dyDescent="0.2">
      <c r="A174" t="s">
        <v>1297</v>
      </c>
      <c r="B174" t="s">
        <v>1296</v>
      </c>
      <c r="C174" t="s">
        <v>1494</v>
      </c>
      <c r="D174">
        <v>4</v>
      </c>
      <c r="E174" s="328">
        <v>72</v>
      </c>
      <c r="F174" t="s">
        <v>1498</v>
      </c>
      <c r="G174">
        <v>2</v>
      </c>
      <c r="H174" t="s">
        <v>1755</v>
      </c>
      <c r="I174">
        <v>38</v>
      </c>
      <c r="J174" s="122">
        <v>0.2</v>
      </c>
      <c r="K174" t="s">
        <v>1470</v>
      </c>
    </row>
    <row r="175" spans="1:11" x14ac:dyDescent="0.2">
      <c r="A175" t="s">
        <v>341</v>
      </c>
      <c r="B175" t="s">
        <v>340</v>
      </c>
      <c r="C175" t="s">
        <v>1494</v>
      </c>
      <c r="D175">
        <v>4</v>
      </c>
      <c r="E175" s="329">
        <v>70</v>
      </c>
      <c r="F175" t="s">
        <v>1498</v>
      </c>
      <c r="G175">
        <v>1</v>
      </c>
      <c r="H175" t="s">
        <v>1755</v>
      </c>
      <c r="I175">
        <v>25</v>
      </c>
      <c r="J175" s="122">
        <v>0.3</v>
      </c>
      <c r="K175" t="s">
        <v>1470</v>
      </c>
    </row>
    <row r="176" spans="1:11" x14ac:dyDescent="0.2">
      <c r="A176" t="s">
        <v>992</v>
      </c>
      <c r="B176" t="s">
        <v>991</v>
      </c>
      <c r="C176" t="s">
        <v>1494</v>
      </c>
      <c r="D176">
        <v>4</v>
      </c>
      <c r="E176" s="329">
        <v>59</v>
      </c>
      <c r="F176" t="s">
        <v>1498</v>
      </c>
      <c r="G176">
        <v>2</v>
      </c>
      <c r="H176" t="s">
        <v>1755</v>
      </c>
      <c r="I176">
        <v>10</v>
      </c>
      <c r="J176" s="122">
        <v>0.3</v>
      </c>
      <c r="K176" t="s">
        <v>1470</v>
      </c>
    </row>
    <row r="177" spans="1:11" x14ac:dyDescent="0.2">
      <c r="A177" t="s">
        <v>1385</v>
      </c>
      <c r="B177" t="s">
        <v>1189</v>
      </c>
      <c r="C177" t="s">
        <v>1494</v>
      </c>
      <c r="D177">
        <v>4</v>
      </c>
      <c r="E177" s="328">
        <v>40</v>
      </c>
      <c r="F177" t="s">
        <v>1497</v>
      </c>
      <c r="G177">
        <v>1</v>
      </c>
      <c r="H177" t="s">
        <v>1755</v>
      </c>
      <c r="I177">
        <v>53</v>
      </c>
      <c r="J177" s="122">
        <v>0.2</v>
      </c>
      <c r="K177" t="s">
        <v>1470</v>
      </c>
    </row>
    <row r="178" spans="1:11" x14ac:dyDescent="0.2">
      <c r="A178" t="s">
        <v>215</v>
      </c>
      <c r="B178" t="s">
        <v>132</v>
      </c>
      <c r="C178" t="s">
        <v>1493</v>
      </c>
      <c r="D178">
        <v>3.9</v>
      </c>
      <c r="E178" s="329">
        <v>78</v>
      </c>
      <c r="F178" t="s">
        <v>1498</v>
      </c>
      <c r="G178">
        <v>1</v>
      </c>
      <c r="H178" t="s">
        <v>1755</v>
      </c>
      <c r="I178">
        <v>33</v>
      </c>
      <c r="J178" s="122">
        <v>0.4</v>
      </c>
      <c r="K178" t="s">
        <v>1470</v>
      </c>
    </row>
    <row r="179" spans="1:11" x14ac:dyDescent="0.2">
      <c r="A179" t="s">
        <v>249</v>
      </c>
      <c r="B179" t="s">
        <v>248</v>
      </c>
      <c r="C179" t="s">
        <v>1493</v>
      </c>
      <c r="D179">
        <v>3.9</v>
      </c>
      <c r="E179" s="329">
        <v>77</v>
      </c>
      <c r="F179" t="s">
        <v>1498</v>
      </c>
      <c r="G179">
        <v>1</v>
      </c>
      <c r="H179" t="s">
        <v>1755</v>
      </c>
      <c r="I179">
        <v>10</v>
      </c>
      <c r="J179" s="122">
        <v>0.3</v>
      </c>
      <c r="K179" t="s">
        <v>1470</v>
      </c>
    </row>
    <row r="180" spans="1:11" x14ac:dyDescent="0.2">
      <c r="A180" t="s">
        <v>1062</v>
      </c>
      <c r="B180" t="s">
        <v>766</v>
      </c>
      <c r="C180" t="s">
        <v>1493</v>
      </c>
      <c r="D180">
        <v>3.9</v>
      </c>
      <c r="E180" s="329">
        <v>56</v>
      </c>
      <c r="F180" t="s">
        <v>1498</v>
      </c>
      <c r="G180">
        <v>1</v>
      </c>
      <c r="H180" t="s">
        <v>1755</v>
      </c>
      <c r="I180">
        <v>25</v>
      </c>
      <c r="J180" s="122">
        <v>0.3</v>
      </c>
      <c r="K180" t="s">
        <v>1470</v>
      </c>
    </row>
    <row r="181" spans="1:11" x14ac:dyDescent="0.2">
      <c r="A181" t="s">
        <v>475</v>
      </c>
      <c r="B181" t="s">
        <v>474</v>
      </c>
      <c r="C181" t="s">
        <v>1493</v>
      </c>
      <c r="D181">
        <v>3.8</v>
      </c>
      <c r="E181" s="328">
        <v>128</v>
      </c>
      <c r="F181" t="s">
        <v>1495</v>
      </c>
      <c r="G181">
        <v>1</v>
      </c>
      <c r="H181" t="s">
        <v>1755</v>
      </c>
      <c r="I181">
        <v>24</v>
      </c>
      <c r="J181" s="122">
        <v>0.2</v>
      </c>
      <c r="K181" t="s">
        <v>1470</v>
      </c>
    </row>
    <row r="182" spans="1:11" x14ac:dyDescent="0.2">
      <c r="A182" t="s">
        <v>673</v>
      </c>
      <c r="B182" t="s">
        <v>672</v>
      </c>
      <c r="C182" t="s">
        <v>1493</v>
      </c>
      <c r="D182">
        <v>3.7</v>
      </c>
      <c r="E182" s="328">
        <v>80</v>
      </c>
      <c r="F182" t="s">
        <v>1498</v>
      </c>
      <c r="G182">
        <v>2</v>
      </c>
      <c r="H182" t="s">
        <v>1755</v>
      </c>
      <c r="I182">
        <v>22</v>
      </c>
      <c r="J182" s="122">
        <v>0.2</v>
      </c>
      <c r="K182" t="s">
        <v>1470</v>
      </c>
    </row>
    <row r="183" spans="1:11" x14ac:dyDescent="0.2">
      <c r="A183" t="s">
        <v>630</v>
      </c>
      <c r="B183" t="s">
        <v>629</v>
      </c>
      <c r="C183" t="s">
        <v>1493</v>
      </c>
      <c r="D183">
        <v>3.7</v>
      </c>
      <c r="E183" s="329">
        <v>78</v>
      </c>
      <c r="F183" t="s">
        <v>1498</v>
      </c>
      <c r="G183">
        <v>1</v>
      </c>
      <c r="H183" t="s">
        <v>1755</v>
      </c>
      <c r="I183">
        <v>19</v>
      </c>
      <c r="J183" s="122">
        <v>0.4</v>
      </c>
      <c r="K183" t="s">
        <v>1470</v>
      </c>
    </row>
    <row r="184" spans="1:11" x14ac:dyDescent="0.2">
      <c r="A184" t="s">
        <v>477</v>
      </c>
      <c r="B184" t="s">
        <v>386</v>
      </c>
      <c r="C184" t="s">
        <v>1493</v>
      </c>
      <c r="D184">
        <v>3.7</v>
      </c>
      <c r="E184" s="329">
        <v>72</v>
      </c>
      <c r="F184" t="s">
        <v>1498</v>
      </c>
      <c r="G184">
        <v>1</v>
      </c>
      <c r="H184" t="s">
        <v>1755</v>
      </c>
      <c r="I184">
        <v>31</v>
      </c>
      <c r="J184" s="122">
        <v>0.4</v>
      </c>
      <c r="K184" t="s">
        <v>1470</v>
      </c>
    </row>
    <row r="185" spans="1:11" x14ac:dyDescent="0.2">
      <c r="A185" t="s">
        <v>850</v>
      </c>
      <c r="B185" t="s">
        <v>208</v>
      </c>
      <c r="C185" t="s">
        <v>1493</v>
      </c>
      <c r="D185">
        <v>3.7</v>
      </c>
      <c r="E185" s="328">
        <v>64</v>
      </c>
      <c r="F185" t="s">
        <v>1498</v>
      </c>
      <c r="G185">
        <v>1</v>
      </c>
      <c r="H185" t="s">
        <v>1755</v>
      </c>
      <c r="I185">
        <v>18</v>
      </c>
      <c r="J185" s="122">
        <v>0.2</v>
      </c>
      <c r="K185" t="s">
        <v>1470</v>
      </c>
    </row>
    <row r="186" spans="1:11" x14ac:dyDescent="0.2">
      <c r="A186" t="s">
        <v>218</v>
      </c>
      <c r="B186" t="s">
        <v>217</v>
      </c>
      <c r="C186" t="s">
        <v>1493</v>
      </c>
      <c r="D186">
        <v>3.7</v>
      </c>
      <c r="E186" s="329">
        <v>60</v>
      </c>
      <c r="F186" t="s">
        <v>1498</v>
      </c>
      <c r="G186">
        <v>1</v>
      </c>
      <c r="H186" t="s">
        <v>1755</v>
      </c>
      <c r="I186">
        <v>27</v>
      </c>
      <c r="J186" s="122">
        <v>0.4</v>
      </c>
      <c r="K186" t="s">
        <v>1470</v>
      </c>
    </row>
    <row r="187" spans="1:11" x14ac:dyDescent="0.2">
      <c r="A187" t="s">
        <v>798</v>
      </c>
      <c r="B187" t="s">
        <v>797</v>
      </c>
      <c r="C187" t="s">
        <v>1493</v>
      </c>
      <c r="D187">
        <v>3.6</v>
      </c>
      <c r="E187" s="329">
        <v>70</v>
      </c>
      <c r="F187" t="s">
        <v>1498</v>
      </c>
      <c r="G187">
        <v>1</v>
      </c>
      <c r="H187" t="s">
        <v>1755</v>
      </c>
      <c r="I187">
        <v>10</v>
      </c>
      <c r="J187" s="122">
        <v>0.3</v>
      </c>
      <c r="K187" t="s">
        <v>1470</v>
      </c>
    </row>
    <row r="188" spans="1:11" x14ac:dyDescent="0.2">
      <c r="A188" t="s">
        <v>1331</v>
      </c>
      <c r="B188" t="s">
        <v>474</v>
      </c>
      <c r="C188" t="s">
        <v>1493</v>
      </c>
      <c r="D188">
        <v>3.5</v>
      </c>
      <c r="E188" s="329">
        <v>96</v>
      </c>
      <c r="F188" t="s">
        <v>1498</v>
      </c>
      <c r="G188">
        <v>1</v>
      </c>
      <c r="H188" t="s">
        <v>1755</v>
      </c>
      <c r="I188">
        <v>11</v>
      </c>
      <c r="J188" s="122">
        <v>0.4</v>
      </c>
      <c r="K188" t="s">
        <v>1470</v>
      </c>
    </row>
    <row r="189" spans="1:11" x14ac:dyDescent="0.2">
      <c r="A189" t="s">
        <v>552</v>
      </c>
      <c r="B189" t="s">
        <v>551</v>
      </c>
      <c r="C189" t="s">
        <v>1493</v>
      </c>
      <c r="D189">
        <v>3.4</v>
      </c>
      <c r="E189" s="328">
        <v>80</v>
      </c>
      <c r="F189" t="s">
        <v>1498</v>
      </c>
      <c r="G189">
        <v>1</v>
      </c>
      <c r="H189" t="s">
        <v>1755</v>
      </c>
      <c r="I189">
        <v>23</v>
      </c>
      <c r="J189" s="122">
        <v>0.2</v>
      </c>
      <c r="K189" t="s">
        <v>1470</v>
      </c>
    </row>
    <row r="190" spans="1:11" x14ac:dyDescent="0.2">
      <c r="A190" t="s">
        <v>1082</v>
      </c>
      <c r="B190" t="s">
        <v>340</v>
      </c>
      <c r="C190" t="s">
        <v>1493</v>
      </c>
      <c r="D190">
        <v>3.4</v>
      </c>
      <c r="E190" s="329">
        <v>60</v>
      </c>
      <c r="F190" t="s">
        <v>1498</v>
      </c>
      <c r="G190">
        <v>1</v>
      </c>
      <c r="H190" t="s">
        <v>1755</v>
      </c>
      <c r="I190">
        <v>26</v>
      </c>
      <c r="J190" s="122">
        <v>0.4</v>
      </c>
      <c r="K190" t="s">
        <v>1470</v>
      </c>
    </row>
    <row r="191" spans="1:11" x14ac:dyDescent="0.2">
      <c r="A191" t="s">
        <v>1319</v>
      </c>
      <c r="B191" t="s">
        <v>1318</v>
      </c>
      <c r="C191" t="s">
        <v>1493</v>
      </c>
      <c r="D191">
        <v>3.2</v>
      </c>
      <c r="E191" s="328">
        <v>60</v>
      </c>
      <c r="F191" t="s">
        <v>1498</v>
      </c>
      <c r="G191">
        <v>1</v>
      </c>
      <c r="H191" t="s">
        <v>1755</v>
      </c>
      <c r="I191">
        <v>15</v>
      </c>
      <c r="J191" s="122">
        <v>0.2</v>
      </c>
      <c r="K191" t="s">
        <v>1470</v>
      </c>
    </row>
    <row r="192" spans="1:11" x14ac:dyDescent="0.2">
      <c r="A192" t="s">
        <v>272</v>
      </c>
      <c r="B192" t="s">
        <v>271</v>
      </c>
      <c r="C192" t="s">
        <v>1492</v>
      </c>
      <c r="D192">
        <v>2.9</v>
      </c>
      <c r="E192" s="329">
        <v>112</v>
      </c>
      <c r="F192" t="s">
        <v>1495</v>
      </c>
      <c r="G192">
        <v>1</v>
      </c>
      <c r="H192" t="s">
        <v>1755</v>
      </c>
      <c r="I192">
        <v>12</v>
      </c>
      <c r="J192" s="122">
        <v>0.3</v>
      </c>
      <c r="K192" t="s">
        <v>1470</v>
      </c>
    </row>
    <row r="193" spans="1:11" x14ac:dyDescent="0.2">
      <c r="A193" t="s">
        <v>1395</v>
      </c>
      <c r="B193" t="s">
        <v>494</v>
      </c>
      <c r="C193" t="s">
        <v>1492</v>
      </c>
      <c r="D193">
        <v>2.8</v>
      </c>
      <c r="E193" s="328">
        <v>96</v>
      </c>
      <c r="F193" t="s">
        <v>1498</v>
      </c>
      <c r="G193">
        <v>1</v>
      </c>
      <c r="H193" t="s">
        <v>1755</v>
      </c>
      <c r="I193">
        <v>11</v>
      </c>
      <c r="J193" s="122">
        <v>0.2</v>
      </c>
      <c r="K193" t="s">
        <v>1470</v>
      </c>
    </row>
  </sheetData>
  <conditionalFormatting sqref="D1:D1048576">
    <cfRule type="colorScale" priority="2">
      <colorScale>
        <cfvo type="min"/>
        <cfvo type="percentile" val="50"/>
        <cfvo type="max"/>
        <color rgb="FFF8696B"/>
        <color rgb="FFFFEB84"/>
        <color rgb="FF63BE7B"/>
      </colorScale>
    </cfRule>
  </conditionalFormatting>
  <conditionalFormatting sqref="H1:H1048576">
    <cfRule type="colorScale" priority="1">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83B8-10DF-574E-9598-60CA6064D39B}">
  <dimension ref="B2:AJ152"/>
  <sheetViews>
    <sheetView topLeftCell="D10" zoomScale="110" zoomScaleNormal="50" workbookViewId="0">
      <selection activeCell="J14" sqref="J14"/>
    </sheetView>
  </sheetViews>
  <sheetFormatPr baseColWidth="10" defaultRowHeight="16" x14ac:dyDescent="0.2"/>
  <cols>
    <col min="2" max="2" width="23.1640625" customWidth="1"/>
    <col min="3" max="3" width="16.5" customWidth="1"/>
    <col min="4" max="4" width="40.33203125" customWidth="1"/>
    <col min="5" max="5" width="9.6640625" customWidth="1"/>
    <col min="6" max="6" width="20.5" bestFit="1" customWidth="1"/>
    <col min="7" max="7" width="19" customWidth="1"/>
    <col min="8" max="8" width="25.33203125" customWidth="1"/>
    <col min="9" max="9" width="20" customWidth="1"/>
    <col min="10" max="10" width="21" customWidth="1"/>
    <col min="11" max="11" width="20" customWidth="1"/>
    <col min="12" max="12" width="10.83203125" customWidth="1"/>
    <col min="13" max="13" width="40" customWidth="1"/>
    <col min="14" max="14" width="19.6640625" customWidth="1"/>
    <col min="15" max="15" width="19.5" customWidth="1"/>
    <col min="18" max="18" width="15.83203125" bestFit="1" customWidth="1"/>
    <col min="19" max="19" width="15.6640625" bestFit="1" customWidth="1"/>
    <col min="20" max="20" width="21.33203125" bestFit="1" customWidth="1"/>
    <col min="26" max="26" width="13" bestFit="1" customWidth="1"/>
    <col min="27" max="27" width="28" bestFit="1" customWidth="1"/>
    <col min="28" max="28" width="17.1640625" bestFit="1" customWidth="1"/>
    <col min="29" max="29" width="17.83203125" bestFit="1" customWidth="1"/>
    <col min="34" max="34" width="16.1640625" bestFit="1" customWidth="1"/>
    <col min="35" max="35" width="9" bestFit="1" customWidth="1"/>
    <col min="36" max="36" width="14.5" bestFit="1" customWidth="1"/>
  </cols>
  <sheetData>
    <row r="2" spans="2:14" x14ac:dyDescent="0.2">
      <c r="B2" s="18"/>
    </row>
    <row r="4" spans="2:14" x14ac:dyDescent="0.2">
      <c r="C4" s="29"/>
      <c r="D4" s="29"/>
      <c r="E4" s="29"/>
      <c r="F4" s="29"/>
      <c r="G4" s="29"/>
      <c r="H4" s="29"/>
      <c r="I4" s="29"/>
      <c r="J4" s="29"/>
      <c r="K4" s="29"/>
      <c r="L4" s="29"/>
      <c r="M4" s="29"/>
      <c r="N4" s="29"/>
    </row>
    <row r="5" spans="2:14" ht="22" x14ac:dyDescent="0.3">
      <c r="C5" s="29"/>
      <c r="D5" s="29"/>
      <c r="E5" s="29"/>
      <c r="F5" s="29"/>
      <c r="G5" s="29"/>
      <c r="H5" s="29"/>
      <c r="I5" s="29"/>
      <c r="J5" s="29"/>
      <c r="K5" s="278" t="s">
        <v>1500</v>
      </c>
      <c r="L5" s="278"/>
      <c r="M5" s="278"/>
      <c r="N5" s="29"/>
    </row>
    <row r="6" spans="2:14" ht="32" x14ac:dyDescent="0.4">
      <c r="C6" s="29"/>
      <c r="D6" s="39" t="str">
        <f>TEXT(b.nike.views[[#This Row],[Date]], "dddd")</f>
        <v>Monday</v>
      </c>
      <c r="E6" s="39"/>
      <c r="F6" s="22"/>
      <c r="G6" s="22"/>
      <c r="H6" s="22"/>
      <c r="I6" s="22"/>
      <c r="J6" s="22"/>
      <c r="K6" s="17" t="s">
        <v>1502</v>
      </c>
      <c r="L6" s="17"/>
      <c r="M6" s="21" t="s">
        <v>1713</v>
      </c>
      <c r="N6" s="29"/>
    </row>
    <row r="7" spans="2:14" ht="27" customHeight="1" x14ac:dyDescent="0.3">
      <c r="C7" s="29"/>
      <c r="D7" s="31" t="str">
        <f>TEXT(b.nike.views[[#This Row],[Date]], "MMM")</f>
        <v>Apr</v>
      </c>
      <c r="E7" s="31"/>
      <c r="F7" s="31" t="str">
        <f>TEXT(b.nike.views[[#This Row],[Date]], "dd")</f>
        <v>13</v>
      </c>
      <c r="G7" s="32">
        <f>YEAR(b.nike.views[[#This Row],[Date]])</f>
        <v>2020</v>
      </c>
      <c r="H7" s="22"/>
      <c r="I7" s="22"/>
      <c r="J7" s="22"/>
      <c r="K7" s="284" t="s">
        <v>1715</v>
      </c>
      <c r="L7" s="284"/>
      <c r="M7" s="285"/>
      <c r="N7" s="29"/>
    </row>
    <row r="8" spans="2:14" ht="16" customHeight="1" x14ac:dyDescent="0.2">
      <c r="C8" s="29"/>
      <c r="D8" s="274" t="s">
        <v>1481</v>
      </c>
      <c r="E8" s="279" t="s">
        <v>1883</v>
      </c>
      <c r="F8" s="279"/>
      <c r="G8" s="22"/>
      <c r="H8" s="22"/>
      <c r="I8" s="22"/>
      <c r="J8" s="22"/>
      <c r="K8" s="22"/>
      <c r="L8" s="22"/>
      <c r="M8" s="22"/>
      <c r="N8" s="29"/>
    </row>
    <row r="9" spans="2:14" ht="16" customHeight="1" x14ac:dyDescent="0.2">
      <c r="C9" s="29"/>
      <c r="D9" s="274"/>
      <c r="E9" s="279"/>
      <c r="F9" s="279"/>
      <c r="G9" s="22"/>
      <c r="H9" s="22"/>
      <c r="I9" s="22"/>
      <c r="J9" s="22"/>
      <c r="K9" s="22"/>
      <c r="L9" s="22"/>
      <c r="M9" s="22"/>
      <c r="N9" s="29"/>
    </row>
    <row r="10" spans="2:14" ht="47" x14ac:dyDescent="0.55000000000000004">
      <c r="C10" s="29"/>
      <c r="D10" s="274"/>
      <c r="E10" s="38"/>
      <c r="F10" s="17" t="s">
        <v>1714</v>
      </c>
      <c r="G10" s="23">
        <f>COUNTA(_xlfn.UNIQUE(b.nike.views[product_ID]))</f>
        <v>553</v>
      </c>
      <c r="H10" s="20"/>
      <c r="I10" s="20"/>
      <c r="J10" s="20"/>
      <c r="K10" s="20"/>
      <c r="L10" s="20"/>
      <c r="M10" s="16"/>
      <c r="N10" s="29"/>
    </row>
    <row r="11" spans="2:14" ht="32" x14ac:dyDescent="0.4">
      <c r="C11" s="29"/>
      <c r="D11" s="39" t="s">
        <v>1797</v>
      </c>
      <c r="E11" s="17"/>
      <c r="F11" s="17"/>
      <c r="G11" s="20"/>
      <c r="H11" s="20"/>
      <c r="I11" s="20"/>
      <c r="J11" s="20"/>
      <c r="K11" s="20"/>
      <c r="L11" s="20"/>
      <c r="M11" s="16"/>
      <c r="N11" s="29"/>
    </row>
    <row r="12" spans="2:14" ht="19" x14ac:dyDescent="0.25">
      <c r="C12" s="30"/>
      <c r="D12" s="17"/>
      <c r="E12" s="17"/>
      <c r="F12" s="33"/>
      <c r="G12" s="34" t="s">
        <v>1480</v>
      </c>
      <c r="H12" s="34" t="s">
        <v>1489</v>
      </c>
      <c r="I12" s="34" t="s">
        <v>1478</v>
      </c>
      <c r="J12" s="34" t="s">
        <v>1479</v>
      </c>
      <c r="K12" s="35" t="s">
        <v>1482</v>
      </c>
      <c r="L12" s="35"/>
      <c r="M12" s="16"/>
      <c r="N12" s="29"/>
    </row>
    <row r="13" spans="2:14" ht="19" x14ac:dyDescent="0.25">
      <c r="C13" s="29"/>
      <c r="D13" s="17"/>
      <c r="E13" s="17"/>
      <c r="F13" s="33" t="s">
        <v>1473</v>
      </c>
      <c r="G13" s="36">
        <f>MAX(b.nike.views[View_Count])</f>
        <v>2</v>
      </c>
      <c r="H13" s="36">
        <f>MAX(a.nike.original.man[Reviews])</f>
        <v>223</v>
      </c>
      <c r="I13" s="37">
        <f>ROUND(MAX(a.nike.original.man[Listed_price]), 0)</f>
        <v>200</v>
      </c>
      <c r="J13" s="37" t="str">
        <f>DOLLAR(MAX(a.nike.original.man[Sale Price]))</f>
        <v>$365.00</v>
      </c>
      <c r="K13" s="129">
        <f>MAX(a.nike.original.man[Discount %])</f>
        <v>0.4</v>
      </c>
      <c r="L13" s="129"/>
      <c r="M13" s="16"/>
      <c r="N13" s="29"/>
    </row>
    <row r="14" spans="2:14" ht="29" x14ac:dyDescent="0.35">
      <c r="C14" s="29"/>
      <c r="D14" s="140" t="s">
        <v>1766</v>
      </c>
      <c r="E14" s="17"/>
      <c r="F14" s="33" t="s">
        <v>1474</v>
      </c>
      <c r="G14" s="36">
        <f>MIN(b.nike.views[View_Count])</f>
        <v>1</v>
      </c>
      <c r="H14" s="36">
        <f>MIN(a.nike.original.man[Reviews])</f>
        <v>0</v>
      </c>
      <c r="I14" s="37">
        <f>MIN(a.nike.original.man[Listed_price])</f>
        <v>0</v>
      </c>
      <c r="J14" s="37" t="str">
        <f>DOLLAR(ROUND(MIN(a.nike.original.man[Sale Price]), 0))</f>
        <v>$16.00</v>
      </c>
      <c r="K14" s="129">
        <f>MIN(a.nike.original.man[Discount %])</f>
        <v>0</v>
      </c>
      <c r="L14" s="129"/>
      <c r="M14" s="140" t="s">
        <v>1767</v>
      </c>
      <c r="N14" s="29"/>
    </row>
    <row r="15" spans="2:14" ht="19" x14ac:dyDescent="0.25">
      <c r="C15" s="29"/>
      <c r="D15" s="81" t="s">
        <v>1759</v>
      </c>
      <c r="E15" s="17"/>
      <c r="F15" s="33" t="s">
        <v>1475</v>
      </c>
      <c r="G15" s="36">
        <f>ROUND(AVERAGE(b.nike.views[View_Count]), 0)</f>
        <v>1</v>
      </c>
      <c r="H15" s="36">
        <f>ROUND(AVERAGE(b.nike.views[Review_Count]),0)</f>
        <v>8</v>
      </c>
      <c r="I15" s="37">
        <f>ROUND(AVERAGE(a.nike.original.man[Listed_price]), 0)</f>
        <v>39</v>
      </c>
      <c r="J15" s="37" t="str">
        <f>DOLLAR(ROUND(AVERAGE(a.nike.original.man[Sale Price]), 0))</f>
        <v>$102.00</v>
      </c>
      <c r="K15" s="134">
        <f>ROUND(AVERAGE(a.nike.original.man[Discount %]), 0)</f>
        <v>0</v>
      </c>
      <c r="L15" s="134"/>
      <c r="M15" s="81" t="s">
        <v>1757</v>
      </c>
      <c r="N15" s="29"/>
    </row>
    <row r="16" spans="2:14" ht="24" x14ac:dyDescent="0.3">
      <c r="C16" s="29"/>
      <c r="D16" s="80" t="s">
        <v>1777</v>
      </c>
      <c r="E16" s="17"/>
      <c r="F16" s="33" t="s">
        <v>1476</v>
      </c>
      <c r="G16" s="36">
        <f>MEDIAN(b.nike.views[View_Count])</f>
        <v>1</v>
      </c>
      <c r="H16" s="36">
        <f>MEDIAN(b.nike.views[Review_Count])</f>
        <v>2</v>
      </c>
      <c r="I16" s="37">
        <f>MEDIAN(a.nike.original.man[Listed_price])</f>
        <v>0</v>
      </c>
      <c r="J16" s="37" t="str">
        <f>DOLLAR(ROUND(MEDIAN(a.nike.original.man[Sale Price]), 0))</f>
        <v>$96.00</v>
      </c>
      <c r="K16" s="129">
        <f>MEDIAN(e.nike.discount[discount])</f>
        <v>0.3</v>
      </c>
      <c r="L16" s="129"/>
      <c r="M16" s="80" t="s">
        <v>1778</v>
      </c>
      <c r="N16" s="29"/>
    </row>
    <row r="17" spans="3:14" ht="24" x14ac:dyDescent="0.3">
      <c r="C17" s="29"/>
      <c r="D17" s="94" t="s">
        <v>1771</v>
      </c>
      <c r="E17" s="17"/>
      <c r="F17" s="33" t="s">
        <v>1477</v>
      </c>
      <c r="G17" s="36">
        <f>G13-G14</f>
        <v>1</v>
      </c>
      <c r="H17" s="36">
        <f>H13-H14</f>
        <v>223</v>
      </c>
      <c r="I17" s="37">
        <f>I13-I14</f>
        <v>200</v>
      </c>
      <c r="J17" s="37" t="str">
        <f>DOLLAR(J13-J14)</f>
        <v>$349.00</v>
      </c>
      <c r="K17" s="129">
        <f>K13-K14</f>
        <v>0.4</v>
      </c>
      <c r="L17" s="129"/>
      <c r="M17" s="94" t="s">
        <v>1772</v>
      </c>
      <c r="N17" s="29"/>
    </row>
    <row r="18" spans="3:14" ht="34" x14ac:dyDescent="0.4">
      <c r="C18" s="29"/>
      <c r="D18" s="93">
        <f>COUNTA(_xlfn.UNIQUE(d.nike.bias[product_ID]))</f>
        <v>411</v>
      </c>
      <c r="E18" s="17"/>
      <c r="F18" s="33"/>
      <c r="G18" s="36"/>
      <c r="H18" s="36"/>
      <c r="I18" s="36"/>
      <c r="J18" s="36"/>
      <c r="K18" s="36"/>
      <c r="L18" s="20"/>
      <c r="M18" s="93">
        <f>COUNTA(_xlfn.UNIQUE(c.nike.unbias[product_ID]))</f>
        <v>142</v>
      </c>
      <c r="N18" s="29"/>
    </row>
    <row r="19" spans="3:14" ht="47" x14ac:dyDescent="0.3">
      <c r="C19" s="29"/>
      <c r="D19" s="78">
        <f>D18/G10</f>
        <v>0.74321880650994576</v>
      </c>
      <c r="E19" s="17"/>
      <c r="F19" s="21" t="s">
        <v>1499</v>
      </c>
      <c r="G19" s="24">
        <f>SUM(b.nike.views[View_Count])</f>
        <v>640</v>
      </c>
      <c r="H19" s="25">
        <f>SUM(b.nike.views[Review_Count])</f>
        <v>4618</v>
      </c>
      <c r="I19" s="20"/>
      <c r="J19" s="21" t="s">
        <v>1499</v>
      </c>
      <c r="K19" s="25">
        <f>COUNTA(e.nike.discount[product_ID])</f>
        <v>192</v>
      </c>
      <c r="L19" s="20"/>
      <c r="M19" s="78">
        <f>M18/G10</f>
        <v>0.25678119349005424</v>
      </c>
      <c r="N19" s="29"/>
    </row>
    <row r="20" spans="3:14" x14ac:dyDescent="0.2">
      <c r="C20" s="29"/>
      <c r="D20" s="16"/>
      <c r="E20" s="17"/>
      <c r="F20" s="21"/>
      <c r="G20" s="45"/>
      <c r="H20" s="16"/>
      <c r="I20" s="16"/>
      <c r="J20" s="16"/>
      <c r="K20" s="16"/>
      <c r="L20" s="20"/>
      <c r="M20" s="19"/>
      <c r="N20" s="29"/>
    </row>
    <row r="21" spans="3:14" x14ac:dyDescent="0.2">
      <c r="C21" s="29"/>
      <c r="D21" s="16"/>
      <c r="E21" s="17"/>
      <c r="F21" s="21"/>
      <c r="G21" s="19"/>
      <c r="H21" s="16"/>
      <c r="I21" s="16"/>
      <c r="J21" s="19"/>
      <c r="K21" s="19"/>
      <c r="L21" s="20"/>
      <c r="M21" s="19"/>
      <c r="N21" s="29"/>
    </row>
    <row r="22" spans="3:14" x14ac:dyDescent="0.2">
      <c r="C22" s="29"/>
      <c r="D22" s="16"/>
      <c r="E22" s="17"/>
      <c r="F22" s="16"/>
      <c r="G22" s="16"/>
      <c r="H22" s="16"/>
      <c r="I22" s="16"/>
      <c r="J22" s="16"/>
      <c r="K22" s="16"/>
      <c r="L22" s="20"/>
      <c r="M22" s="16"/>
      <c r="N22" s="29"/>
    </row>
    <row r="23" spans="3:14" x14ac:dyDescent="0.2">
      <c r="C23" s="29"/>
      <c r="D23" s="16"/>
      <c r="E23" s="17"/>
      <c r="F23" s="16"/>
      <c r="G23" s="16"/>
      <c r="H23" s="16"/>
      <c r="I23" s="16"/>
      <c r="J23" s="16"/>
      <c r="K23" s="16"/>
      <c r="L23" s="20"/>
      <c r="M23" s="16"/>
      <c r="N23" s="29"/>
    </row>
    <row r="24" spans="3:14" ht="57" customHeight="1" x14ac:dyDescent="0.75">
      <c r="C24" s="29"/>
      <c r="D24" s="49" t="s">
        <v>1481</v>
      </c>
      <c r="E24" s="17"/>
      <c r="F24" s="45" t="s">
        <v>1794</v>
      </c>
      <c r="G24" s="141">
        <f>COUNTA(e.nike.discount[product_ID])</f>
        <v>192</v>
      </c>
      <c r="H24" s="149">
        <f>G24/G10</f>
        <v>0.34719710669077758</v>
      </c>
      <c r="I24" s="16"/>
      <c r="J24" s="16"/>
      <c r="K24" s="16"/>
      <c r="L24" s="20"/>
      <c r="M24" s="16"/>
      <c r="N24" s="29"/>
    </row>
    <row r="25" spans="3:14" ht="33" customHeight="1" x14ac:dyDescent="0.2">
      <c r="C25" s="29"/>
      <c r="D25" s="99" t="s">
        <v>1796</v>
      </c>
      <c r="E25" s="17"/>
      <c r="F25" s="16"/>
      <c r="G25" s="16"/>
      <c r="H25" s="16"/>
      <c r="I25" s="16"/>
      <c r="J25" s="16"/>
      <c r="K25" s="16"/>
      <c r="L25" s="20"/>
      <c r="M25" s="16"/>
      <c r="N25" s="29"/>
    </row>
    <row r="26" spans="3:14" ht="25" customHeight="1" x14ac:dyDescent="0.25">
      <c r="C26" s="29"/>
      <c r="D26" s="16"/>
      <c r="E26" s="17"/>
      <c r="F26" s="16"/>
      <c r="G26" s="34" t="s">
        <v>1480</v>
      </c>
      <c r="H26" s="34" t="s">
        <v>1489</v>
      </c>
      <c r="I26" s="34" t="s">
        <v>1478</v>
      </c>
      <c r="J26" s="34" t="s">
        <v>1479</v>
      </c>
      <c r="K26" s="35" t="s">
        <v>1482</v>
      </c>
      <c r="L26" s="20"/>
      <c r="M26" s="16"/>
      <c r="N26" s="29"/>
    </row>
    <row r="27" spans="3:14" ht="25" customHeight="1" x14ac:dyDescent="0.25">
      <c r="C27" s="29"/>
      <c r="D27" s="16"/>
      <c r="E27" s="17"/>
      <c r="F27" s="33" t="s">
        <v>1473</v>
      </c>
      <c r="G27" s="36">
        <f>MAX(e.nike.discount[View_Count])</f>
        <v>2</v>
      </c>
      <c r="H27" s="36">
        <f>MAX(e.nike.discount[Review_Count])</f>
        <v>72</v>
      </c>
      <c r="I27" s="16"/>
      <c r="J27" s="36" t="str">
        <f>DOLLAR(MAX(e.nike.discount[Sales_Price]))</f>
        <v>$160.00</v>
      </c>
      <c r="K27" s="143">
        <f>MAX(e.nike.discount[discount])</f>
        <v>0.4</v>
      </c>
      <c r="L27" s="143"/>
      <c r="M27" s="16"/>
      <c r="N27" s="29"/>
    </row>
    <row r="28" spans="3:14" ht="25" customHeight="1" x14ac:dyDescent="0.35">
      <c r="C28" s="29"/>
      <c r="D28" s="140" t="s">
        <v>1761</v>
      </c>
      <c r="E28" s="17"/>
      <c r="F28" s="33" t="s">
        <v>1474</v>
      </c>
      <c r="G28" s="36">
        <f>MIN(e.nike.discount[View_Count])</f>
        <v>1</v>
      </c>
      <c r="H28" s="36">
        <f>MIN(e.nike.discount[Review_Count])</f>
        <v>0</v>
      </c>
      <c r="I28" s="36"/>
      <c r="J28" s="36" t="str">
        <f>DOLLAR(MIN(e.nike.discount[Sales_Price]))</f>
        <v>$21.00</v>
      </c>
      <c r="K28" s="143">
        <f>MIN(e.nike.discount[discount])</f>
        <v>0.2</v>
      </c>
      <c r="L28" s="143"/>
      <c r="M28" s="140" t="s">
        <v>1761</v>
      </c>
      <c r="N28" s="29"/>
    </row>
    <row r="29" spans="3:14" ht="28" customHeight="1" x14ac:dyDescent="0.25">
      <c r="C29" s="29"/>
      <c r="D29" s="81" t="s">
        <v>1759</v>
      </c>
      <c r="E29" s="17"/>
      <c r="F29" s="33" t="s">
        <v>1475</v>
      </c>
      <c r="G29" s="142">
        <f>ROUND(AVERAGE(e.nike.discount[View_Count]), 0)</f>
        <v>1</v>
      </c>
      <c r="H29" s="36">
        <f>ROUND(AVERAGE(e.nike.discount[Review_Count]),0)</f>
        <v>7</v>
      </c>
      <c r="I29" s="36"/>
      <c r="J29" s="36" t="str">
        <f>DOLLAR(ROUND(AVERAGE(e.nike.discount[Sales_Price]),1))</f>
        <v>$84.50</v>
      </c>
      <c r="K29" s="142" t="s">
        <v>1466</v>
      </c>
      <c r="L29" s="142"/>
      <c r="M29" s="81" t="s">
        <v>1757</v>
      </c>
      <c r="N29" s="29"/>
    </row>
    <row r="30" spans="3:14" ht="24" x14ac:dyDescent="0.3">
      <c r="C30" s="29"/>
      <c r="D30" s="80" t="s">
        <v>1795</v>
      </c>
      <c r="E30" s="17"/>
      <c r="F30" s="33" t="s">
        <v>1476</v>
      </c>
      <c r="G30" s="36">
        <f>MEDIAN(e.nike.discount[View_Count])</f>
        <v>1</v>
      </c>
      <c r="H30" s="36">
        <f>MEDIAN(e.nike.discount[Review_Count])</f>
        <v>3</v>
      </c>
      <c r="I30" s="36"/>
      <c r="J30" s="36" t="str">
        <f>DOLLAR(MEDIAN(e.nike.discount[Sales_Price]))</f>
        <v>$80.00</v>
      </c>
      <c r="K30" s="143">
        <f>MEDIAN(e.nike.discount[discount])</f>
        <v>0.3</v>
      </c>
      <c r="L30" s="143"/>
      <c r="M30" s="80" t="s">
        <v>1778</v>
      </c>
      <c r="N30" s="29"/>
    </row>
    <row r="31" spans="3:14" ht="24" x14ac:dyDescent="0.3">
      <c r="C31" s="29"/>
      <c r="D31" s="145" t="s">
        <v>1771</v>
      </c>
      <c r="E31" s="17"/>
      <c r="F31" s="33" t="s">
        <v>1477</v>
      </c>
      <c r="G31" s="36">
        <f>G27-G28</f>
        <v>1</v>
      </c>
      <c r="H31" s="36">
        <f>H27-H28</f>
        <v>72</v>
      </c>
      <c r="I31" s="36"/>
      <c r="J31" s="36" t="str">
        <f>DOLLAR(J27-J28)</f>
        <v>$139.00</v>
      </c>
      <c r="K31" s="144">
        <f>K27-K28</f>
        <v>0.2</v>
      </c>
      <c r="L31" s="144"/>
      <c r="M31" s="145" t="s">
        <v>1772</v>
      </c>
      <c r="N31" s="29"/>
    </row>
    <row r="32" spans="3:14" ht="34" x14ac:dyDescent="0.4">
      <c r="C32" s="29"/>
      <c r="D32" s="112">
        <f>COUNTIF(e.nike.discount[Review_Group],"Below Average")</f>
        <v>136</v>
      </c>
      <c r="E32" s="17"/>
      <c r="F32" s="16"/>
      <c r="G32" s="16"/>
      <c r="H32" s="16"/>
      <c r="I32" s="16"/>
      <c r="J32" s="16"/>
      <c r="K32" s="16"/>
      <c r="L32" s="16"/>
      <c r="M32" s="112">
        <f>COUNTIF(e.nike.discount[Review_Group],"Average +")</f>
        <v>56</v>
      </c>
      <c r="N32" s="29"/>
    </row>
    <row r="33" spans="3:21" ht="47" x14ac:dyDescent="0.35">
      <c r="C33" s="29"/>
      <c r="D33" s="150">
        <f>D32/G24</f>
        <v>0.70833333333333337</v>
      </c>
      <c r="E33" s="17"/>
      <c r="F33" s="21" t="s">
        <v>1499</v>
      </c>
      <c r="G33" s="147">
        <f>SUM(e.nike.discount[View_Count])</f>
        <v>217</v>
      </c>
      <c r="H33" s="146">
        <f>SUM(e.nike.discount[Review_Count])</f>
        <v>1419</v>
      </c>
      <c r="I33" s="16"/>
      <c r="J33" s="16"/>
      <c r="K33" s="16"/>
      <c r="L33" s="16"/>
      <c r="M33" s="91">
        <f>M32/G24</f>
        <v>0.29166666666666669</v>
      </c>
      <c r="N33" s="29"/>
    </row>
    <row r="34" spans="3:21" ht="32" customHeight="1" x14ac:dyDescent="0.3">
      <c r="C34" s="29"/>
      <c r="D34" s="16"/>
      <c r="E34" s="16"/>
      <c r="F34" s="16"/>
      <c r="G34" s="148">
        <f>G33/G19</f>
        <v>0.33906249999999999</v>
      </c>
      <c r="H34" s="148">
        <f>H33/H19</f>
        <v>0.30727587700303161</v>
      </c>
      <c r="I34" s="16"/>
      <c r="J34" s="16"/>
      <c r="K34" s="16"/>
      <c r="L34" s="16"/>
      <c r="M34" s="16"/>
      <c r="N34" s="29"/>
    </row>
    <row r="35" spans="3:21" ht="25" customHeight="1" x14ac:dyDescent="0.2">
      <c r="C35" s="29"/>
      <c r="D35" s="16"/>
      <c r="E35" s="16"/>
      <c r="F35" s="16"/>
      <c r="G35" s="16"/>
      <c r="H35" s="16"/>
      <c r="I35" s="16"/>
      <c r="J35" s="16"/>
      <c r="K35" s="16"/>
      <c r="L35" s="16"/>
      <c r="M35" s="16"/>
      <c r="N35" s="29"/>
    </row>
    <row r="36" spans="3:21" ht="30" customHeight="1" x14ac:dyDescent="0.2">
      <c r="C36" s="29"/>
      <c r="D36" s="16"/>
      <c r="E36" s="16"/>
      <c r="F36" s="16"/>
      <c r="G36" s="16"/>
      <c r="H36" s="16"/>
      <c r="I36" s="16"/>
      <c r="J36" s="16"/>
      <c r="K36" s="16"/>
      <c r="L36" s="16"/>
      <c r="M36" s="16"/>
      <c r="N36" s="29"/>
    </row>
    <row r="37" spans="3:21" ht="34" customHeight="1" x14ac:dyDescent="0.2">
      <c r="C37" s="29"/>
      <c r="D37" s="29"/>
      <c r="E37" s="29"/>
      <c r="F37" s="29"/>
      <c r="G37" s="29"/>
      <c r="H37" s="29"/>
      <c r="I37" s="29"/>
      <c r="J37" s="29"/>
      <c r="K37" s="29"/>
      <c r="L37" s="29"/>
      <c r="M37" s="29"/>
      <c r="N37" s="29"/>
    </row>
    <row r="38" spans="3:21" ht="28" customHeight="1" x14ac:dyDescent="0.2">
      <c r="C38" s="29"/>
      <c r="D38" s="29"/>
      <c r="E38" s="29"/>
      <c r="F38" s="29"/>
      <c r="G38" s="29"/>
      <c r="H38" s="29"/>
      <c r="I38" s="29"/>
      <c r="J38" s="29"/>
      <c r="K38" s="29"/>
      <c r="L38" s="29"/>
      <c r="M38" s="29"/>
      <c r="N38" s="29"/>
      <c r="U38" s="41"/>
    </row>
    <row r="89" spans="27:34" ht="47" x14ac:dyDescent="0.55000000000000004">
      <c r="AA89" s="79" t="s">
        <v>1766</v>
      </c>
      <c r="AB89" s="95"/>
      <c r="AC89" s="95"/>
      <c r="AD89" s="95" t="s">
        <v>1765</v>
      </c>
      <c r="AE89" s="95"/>
      <c r="AF89" s="95"/>
      <c r="AG89" s="95"/>
      <c r="AH89" s="79" t="s">
        <v>1767</v>
      </c>
    </row>
    <row r="90" spans="27:34" ht="19" x14ac:dyDescent="0.25">
      <c r="AA90" s="81" t="s">
        <v>1759</v>
      </c>
      <c r="AH90" s="81" t="s">
        <v>1757</v>
      </c>
    </row>
    <row r="91" spans="27:34" ht="24" x14ac:dyDescent="0.3">
      <c r="AA91" s="80" t="s">
        <v>1763</v>
      </c>
      <c r="AD91" s="275" t="s">
        <v>1768</v>
      </c>
      <c r="AE91" s="275"/>
      <c r="AH91" s="80" t="s">
        <v>1758</v>
      </c>
    </row>
    <row r="92" spans="27:34" x14ac:dyDescent="0.2">
      <c r="AA92" s="28" t="s">
        <v>1762</v>
      </c>
      <c r="AB92" s="29"/>
      <c r="AC92" s="29"/>
      <c r="AD92" s="282" t="s">
        <v>1762</v>
      </c>
      <c r="AE92" s="282"/>
      <c r="AF92" s="29"/>
      <c r="AG92" s="29"/>
      <c r="AH92" s="28" t="s">
        <v>1762</v>
      </c>
    </row>
    <row r="93" spans="27:34" ht="24" x14ac:dyDescent="0.3">
      <c r="AA93" s="27">
        <f>COUNTA(d.nike.bias[View_Count])</f>
        <v>411</v>
      </c>
      <c r="AB93" s="29"/>
      <c r="AC93" s="29"/>
      <c r="AD93" s="283">
        <f>SUM(e.nike.discount[View_Count])</f>
        <v>217</v>
      </c>
      <c r="AE93" s="283"/>
      <c r="AF93" s="29"/>
      <c r="AG93" s="29"/>
      <c r="AH93" s="27">
        <f>COUNTA(c.nike.unbias[View_Count])</f>
        <v>142</v>
      </c>
    </row>
    <row r="94" spans="27:34" x14ac:dyDescent="0.2">
      <c r="AA94" s="277">
        <f>AA93/G19</f>
        <v>0.64218750000000002</v>
      </c>
      <c r="AB94" s="29"/>
      <c r="AC94" s="29"/>
      <c r="AD94" s="276">
        <f>AD93/G19</f>
        <v>0.33906249999999999</v>
      </c>
      <c r="AE94" s="276"/>
      <c r="AF94" s="29"/>
      <c r="AG94" s="29"/>
      <c r="AH94" s="277">
        <f>AH93/G19</f>
        <v>0.22187499999999999</v>
      </c>
    </row>
    <row r="95" spans="27:34" x14ac:dyDescent="0.2">
      <c r="AA95" s="277"/>
      <c r="AB95" s="29"/>
      <c r="AC95" s="29"/>
      <c r="AD95" s="276"/>
      <c r="AE95" s="276"/>
      <c r="AF95" s="29"/>
      <c r="AG95" s="29"/>
      <c r="AH95" s="277"/>
    </row>
    <row r="96" spans="27:34" x14ac:dyDescent="0.2">
      <c r="AA96" s="277"/>
      <c r="AB96" s="29"/>
      <c r="AC96" s="29"/>
      <c r="AD96" s="276"/>
      <c r="AE96" s="276"/>
      <c r="AF96" s="29"/>
      <c r="AG96" s="29"/>
      <c r="AH96" s="277"/>
    </row>
    <row r="100" spans="26:36" ht="22" x14ac:dyDescent="0.3">
      <c r="AH100" s="289" t="s">
        <v>1764</v>
      </c>
      <c r="AI100" s="289"/>
      <c r="AJ100" s="289"/>
    </row>
    <row r="101" spans="26:36" ht="27" x14ac:dyDescent="0.35">
      <c r="Z101" s="286" t="s">
        <v>1728</v>
      </c>
      <c r="AA101" s="286"/>
      <c r="AB101" s="43" t="s">
        <v>1499</v>
      </c>
      <c r="AH101" s="286" t="s">
        <v>1741</v>
      </c>
      <c r="AI101" s="286"/>
      <c r="AJ101" s="286"/>
    </row>
    <row r="102" spans="26:36" ht="63" x14ac:dyDescent="0.75">
      <c r="Z102" s="287" t="s">
        <v>1752</v>
      </c>
      <c r="AA102" s="287"/>
      <c r="AB102" s="59">
        <f>G19</f>
        <v>640</v>
      </c>
      <c r="AH102" s="67"/>
      <c r="AI102" s="67"/>
      <c r="AJ102" s="67"/>
    </row>
    <row r="103" spans="26:36" ht="63" x14ac:dyDescent="0.75">
      <c r="Z103" s="288" t="s">
        <v>1743</v>
      </c>
      <c r="AA103" s="288"/>
      <c r="AB103" s="44" t="s">
        <v>1724</v>
      </c>
      <c r="AH103" s="66" t="s">
        <v>1486</v>
      </c>
      <c r="AI103" s="65" t="s">
        <v>1740</v>
      </c>
      <c r="AJ103" s="66" t="s">
        <v>1734</v>
      </c>
    </row>
    <row r="104" spans="26:36" ht="24" x14ac:dyDescent="0.3">
      <c r="Z104" s="55"/>
      <c r="AA104" s="55"/>
      <c r="AB104" s="55"/>
      <c r="AH104" s="82" t="s">
        <v>1494</v>
      </c>
      <c r="AI104" s="83">
        <v>0.48281249999999998</v>
      </c>
      <c r="AJ104" s="82">
        <v>309</v>
      </c>
    </row>
    <row r="105" spans="26:36" ht="24" x14ac:dyDescent="0.3">
      <c r="Z105" s="55"/>
      <c r="AA105" s="45" t="s">
        <v>1471</v>
      </c>
      <c r="AB105" s="45" t="s">
        <v>1491</v>
      </c>
      <c r="AH105" s="68" t="s">
        <v>1492</v>
      </c>
      <c r="AI105" s="69">
        <v>0.39687499999999998</v>
      </c>
      <c r="AJ105" s="68">
        <v>254</v>
      </c>
    </row>
    <row r="106" spans="26:36" ht="37" x14ac:dyDescent="0.45">
      <c r="Z106" s="58" t="s">
        <v>1729</v>
      </c>
      <c r="AA106" s="51" t="s">
        <v>37</v>
      </c>
      <c r="AB106" s="125">
        <v>14</v>
      </c>
      <c r="AH106" s="63" t="s">
        <v>1493</v>
      </c>
      <c r="AI106" s="64">
        <v>0.1203125</v>
      </c>
      <c r="AJ106" s="123">
        <v>77</v>
      </c>
    </row>
    <row r="107" spans="26:36" x14ac:dyDescent="0.2">
      <c r="Z107" s="57" t="s">
        <v>1466</v>
      </c>
      <c r="AA107" s="127" t="s">
        <v>1387</v>
      </c>
      <c r="AB107" s="126">
        <v>1</v>
      </c>
    </row>
    <row r="108" spans="26:36" x14ac:dyDescent="0.2">
      <c r="Z108" s="57"/>
      <c r="AA108" s="127" t="s">
        <v>204</v>
      </c>
      <c r="AB108" s="126">
        <v>1</v>
      </c>
    </row>
    <row r="109" spans="26:36" x14ac:dyDescent="0.2">
      <c r="Z109" s="57"/>
      <c r="AA109" s="127" t="s">
        <v>38</v>
      </c>
      <c r="AB109" s="126">
        <v>1</v>
      </c>
    </row>
    <row r="110" spans="26:36" x14ac:dyDescent="0.2">
      <c r="Z110" s="57"/>
      <c r="AA110" s="127" t="s">
        <v>554</v>
      </c>
      <c r="AB110" s="126">
        <v>1</v>
      </c>
    </row>
    <row r="111" spans="26:36" x14ac:dyDescent="0.2">
      <c r="Z111" s="57"/>
      <c r="AA111" s="127" t="s">
        <v>670</v>
      </c>
      <c r="AB111" s="126">
        <v>1</v>
      </c>
    </row>
    <row r="112" spans="26:36" x14ac:dyDescent="0.2">
      <c r="Z112" s="57"/>
      <c r="AA112" s="127" t="s">
        <v>1099</v>
      </c>
      <c r="AB112" s="126">
        <v>1</v>
      </c>
    </row>
    <row r="113" spans="26:33" x14ac:dyDescent="0.2">
      <c r="Z113" s="57"/>
      <c r="AA113" s="127" t="s">
        <v>1279</v>
      </c>
      <c r="AB113" s="126">
        <v>1</v>
      </c>
    </row>
    <row r="114" spans="26:33" x14ac:dyDescent="0.2">
      <c r="Z114" s="57"/>
      <c r="AA114" s="127" t="s">
        <v>320</v>
      </c>
      <c r="AB114" s="126">
        <v>1</v>
      </c>
      <c r="AG114" t="s">
        <v>1769</v>
      </c>
    </row>
    <row r="115" spans="26:33" x14ac:dyDescent="0.2">
      <c r="Z115" s="57"/>
      <c r="AA115" s="127" t="s">
        <v>81</v>
      </c>
      <c r="AB115" s="126">
        <v>1</v>
      </c>
    </row>
    <row r="116" spans="26:33" x14ac:dyDescent="0.2">
      <c r="Z116" s="57"/>
      <c r="AA116" s="127" t="s">
        <v>610</v>
      </c>
      <c r="AB116" s="126">
        <v>1</v>
      </c>
    </row>
    <row r="117" spans="26:33" x14ac:dyDescent="0.2">
      <c r="Z117" s="57"/>
      <c r="AA117" s="127" t="s">
        <v>156</v>
      </c>
      <c r="AB117" s="126">
        <v>1</v>
      </c>
    </row>
    <row r="118" spans="26:33" x14ac:dyDescent="0.2">
      <c r="Z118" s="57"/>
      <c r="AA118" s="127" t="s">
        <v>1156</v>
      </c>
      <c r="AB118" s="126">
        <v>1</v>
      </c>
    </row>
    <row r="119" spans="26:33" x14ac:dyDescent="0.2">
      <c r="Z119" s="57"/>
      <c r="AA119" s="127" t="s">
        <v>1358</v>
      </c>
      <c r="AB119" s="126">
        <v>1</v>
      </c>
    </row>
    <row r="120" spans="26:33" x14ac:dyDescent="0.2">
      <c r="Z120" s="57"/>
      <c r="AA120" s="127" t="s">
        <v>809</v>
      </c>
      <c r="AB120" s="126">
        <v>1</v>
      </c>
    </row>
    <row r="121" spans="26:33" ht="27" x14ac:dyDescent="0.35">
      <c r="Z121" s="53" t="s">
        <v>1730</v>
      </c>
      <c r="AA121" s="52" t="s">
        <v>132</v>
      </c>
      <c r="AB121" s="124">
        <v>9</v>
      </c>
    </row>
    <row r="122" spans="26:33" ht="24" x14ac:dyDescent="0.3">
      <c r="Z122" s="54" t="s">
        <v>1731</v>
      </c>
      <c r="AA122" s="52" t="s">
        <v>56</v>
      </c>
      <c r="AB122" s="124">
        <v>7</v>
      </c>
    </row>
    <row r="131" spans="26:35" ht="63" x14ac:dyDescent="0.75">
      <c r="Z131" s="49" t="s">
        <v>1481</v>
      </c>
      <c r="AA131" s="45"/>
      <c r="AB131" s="45"/>
      <c r="AC131" s="45"/>
      <c r="AD131" s="45"/>
      <c r="AE131" s="45"/>
      <c r="AF131" s="45"/>
      <c r="AG131" s="280" t="s">
        <v>1726</v>
      </c>
      <c r="AH131" s="280"/>
      <c r="AI131" s="280"/>
    </row>
    <row r="132" spans="26:35" ht="63" x14ac:dyDescent="0.75">
      <c r="Z132" s="46" t="s">
        <v>1732</v>
      </c>
      <c r="AA132" s="48"/>
      <c r="AB132" s="48"/>
      <c r="AC132" s="48"/>
      <c r="AD132" s="48"/>
      <c r="AE132" s="48"/>
      <c r="AF132" s="48"/>
      <c r="AG132" s="281" t="s">
        <v>1727</v>
      </c>
      <c r="AH132" s="281"/>
      <c r="AI132" s="281"/>
    </row>
    <row r="133" spans="26:35" ht="22" x14ac:dyDescent="0.3">
      <c r="Z133" s="9"/>
    </row>
    <row r="147" spans="26:35" x14ac:dyDescent="0.2">
      <c r="Z147" s="45" t="s">
        <v>1471</v>
      </c>
      <c r="AA147" s="45" t="s">
        <v>1716</v>
      </c>
      <c r="AB147" s="45" t="s">
        <v>1735</v>
      </c>
      <c r="AC147" s="45" t="s">
        <v>1736</v>
      </c>
    </row>
    <row r="148" spans="26:35" ht="27" x14ac:dyDescent="0.35">
      <c r="Z148" s="76" t="s">
        <v>1495</v>
      </c>
      <c r="AA148" s="119">
        <v>283</v>
      </c>
      <c r="AB148" s="119">
        <v>312</v>
      </c>
      <c r="AC148" s="119">
        <v>2783</v>
      </c>
      <c r="AE148" s="20"/>
      <c r="AF148" s="56" t="s">
        <v>1495</v>
      </c>
      <c r="AG148" s="50" t="s">
        <v>1498</v>
      </c>
      <c r="AH148" s="50" t="s">
        <v>1497</v>
      </c>
      <c r="AI148" s="50" t="s">
        <v>1496</v>
      </c>
    </row>
    <row r="149" spans="26:35" ht="32" x14ac:dyDescent="0.4">
      <c r="Z149" s="77" t="s">
        <v>1498</v>
      </c>
      <c r="AA149" s="121">
        <v>228</v>
      </c>
      <c r="AB149" s="121">
        <v>275</v>
      </c>
      <c r="AC149" s="121">
        <v>1630</v>
      </c>
      <c r="AE149" s="17" t="s">
        <v>1719</v>
      </c>
      <c r="AF149" s="88">
        <v>0.51</v>
      </c>
      <c r="AG149" s="90">
        <v>0.41</v>
      </c>
      <c r="AH149" s="42">
        <v>7.0000000000000007E-2</v>
      </c>
      <c r="AI149" s="89">
        <v>0.01</v>
      </c>
    </row>
    <row r="150" spans="26:35" ht="32" x14ac:dyDescent="0.4">
      <c r="Z150" s="7" t="s">
        <v>1497</v>
      </c>
      <c r="AA150" s="118">
        <v>37</v>
      </c>
      <c r="AB150" s="118">
        <v>48</v>
      </c>
      <c r="AC150" s="118">
        <v>189</v>
      </c>
      <c r="AE150" s="17" t="s">
        <v>1720</v>
      </c>
      <c r="AF150" s="88">
        <v>0.49</v>
      </c>
      <c r="AG150" s="90">
        <v>0.43</v>
      </c>
      <c r="AH150" s="42">
        <v>7.0000000000000007E-2</v>
      </c>
      <c r="AI150" s="89">
        <v>7.7999999999999996E-3</v>
      </c>
    </row>
    <row r="151" spans="26:35" ht="32" x14ac:dyDescent="0.4">
      <c r="Z151" s="7" t="s">
        <v>1496</v>
      </c>
      <c r="AA151" s="120">
        <v>5</v>
      </c>
      <c r="AB151" s="120">
        <v>5</v>
      </c>
      <c r="AC151" s="120">
        <v>16</v>
      </c>
      <c r="AE151" s="17" t="s">
        <v>1721</v>
      </c>
      <c r="AF151" s="88">
        <v>0.62</v>
      </c>
      <c r="AG151" s="90">
        <v>0.34</v>
      </c>
      <c r="AH151" s="42">
        <v>0.04</v>
      </c>
      <c r="AI151" s="89">
        <v>3.3E-3</v>
      </c>
    </row>
    <row r="152" spans="26:35" x14ac:dyDescent="0.2">
      <c r="Z152" s="47" t="s">
        <v>1472</v>
      </c>
      <c r="AA152" s="45">
        <v>553</v>
      </c>
      <c r="AB152" s="45">
        <v>640</v>
      </c>
      <c r="AC152" s="45">
        <v>4618</v>
      </c>
    </row>
  </sheetData>
  <mergeCells count="17">
    <mergeCell ref="K5:M5"/>
    <mergeCell ref="E8:F9"/>
    <mergeCell ref="AG131:AI131"/>
    <mergeCell ref="AG132:AI132"/>
    <mergeCell ref="AD92:AE92"/>
    <mergeCell ref="AD93:AE93"/>
    <mergeCell ref="K7:M7"/>
    <mergeCell ref="Z101:AA101"/>
    <mergeCell ref="Z102:AA102"/>
    <mergeCell ref="Z103:AA103"/>
    <mergeCell ref="AH100:AJ100"/>
    <mergeCell ref="AH101:AJ101"/>
    <mergeCell ref="D8:D10"/>
    <mergeCell ref="AD91:AE91"/>
    <mergeCell ref="AD94:AE96"/>
    <mergeCell ref="AA94:AA96"/>
    <mergeCell ref="AH94:AH96"/>
  </mergeCells>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518C7-C583-B240-B898-2C22CB84C9D3}">
  <dimension ref="B1:V118"/>
  <sheetViews>
    <sheetView showGridLines="0" topLeftCell="A72" zoomScale="50" zoomScaleNormal="50" workbookViewId="0">
      <selection activeCell="T93" sqref="T93"/>
    </sheetView>
  </sheetViews>
  <sheetFormatPr baseColWidth="10" defaultRowHeight="16" x14ac:dyDescent="0.2"/>
  <cols>
    <col min="2" max="2" width="30.83203125" bestFit="1" customWidth="1"/>
    <col min="3" max="3" width="27.6640625" customWidth="1"/>
    <col min="4" max="4" width="13" bestFit="1" customWidth="1"/>
    <col min="5" max="5" width="15" bestFit="1" customWidth="1"/>
    <col min="6" max="6" width="16" bestFit="1" customWidth="1"/>
    <col min="7" max="7" width="19.5" customWidth="1"/>
    <col min="8" max="8" width="32.33203125" bestFit="1" customWidth="1"/>
    <col min="9" max="9" width="10.83203125" bestFit="1" customWidth="1"/>
    <col min="10" max="10" width="15.33203125" bestFit="1" customWidth="1"/>
    <col min="11" max="11" width="16" bestFit="1" customWidth="1"/>
    <col min="12" max="12" width="15.1640625" bestFit="1" customWidth="1"/>
    <col min="13" max="13" width="14" customWidth="1"/>
    <col min="14" max="14" width="14.6640625" bestFit="1" customWidth="1"/>
    <col min="15" max="15" width="12.6640625" customWidth="1"/>
    <col min="16" max="16" width="28.6640625" customWidth="1"/>
    <col min="20" max="20" width="27" bestFit="1" customWidth="1"/>
  </cols>
  <sheetData>
    <row r="1" spans="2:18" ht="63" x14ac:dyDescent="0.75">
      <c r="H1" s="291" t="s">
        <v>1829</v>
      </c>
      <c r="I1" s="291"/>
      <c r="J1" s="291"/>
      <c r="K1" s="291"/>
      <c r="L1" s="291"/>
      <c r="M1" s="291"/>
      <c r="N1" s="291"/>
      <c r="P1" s="62"/>
      <c r="Q1" s="62"/>
      <c r="R1" s="62"/>
    </row>
    <row r="2" spans="2:18" ht="24" x14ac:dyDescent="0.3">
      <c r="H2" s="182" t="s">
        <v>1770</v>
      </c>
      <c r="J2" s="183" t="s">
        <v>1475</v>
      </c>
      <c r="L2" s="290" t="s">
        <v>1827</v>
      </c>
      <c r="M2" s="290"/>
      <c r="N2" s="290"/>
      <c r="P2" s="62"/>
      <c r="Q2" s="62"/>
      <c r="R2" s="62"/>
    </row>
    <row r="3" spans="2:18" ht="27" x14ac:dyDescent="0.35">
      <c r="B3" s="163" t="s">
        <v>1792</v>
      </c>
      <c r="C3" s="137"/>
      <c r="D3" s="153"/>
      <c r="E3" s="153"/>
      <c r="F3" s="153"/>
      <c r="G3" s="153"/>
      <c r="H3" s="158"/>
      <c r="I3" s="158"/>
      <c r="J3" s="158"/>
      <c r="K3" s="158"/>
      <c r="L3" s="158"/>
      <c r="M3" s="158"/>
      <c r="N3" s="158"/>
      <c r="O3" s="158"/>
      <c r="P3" s="62"/>
      <c r="Q3" s="62"/>
      <c r="R3" s="62"/>
    </row>
    <row r="4" spans="2:18" x14ac:dyDescent="0.2">
      <c r="C4" s="137"/>
      <c r="D4" s="26" t="s">
        <v>1812</v>
      </c>
      <c r="E4" s="26" t="s">
        <v>1811</v>
      </c>
      <c r="F4" s="26" t="s">
        <v>1798</v>
      </c>
      <c r="G4" s="137"/>
      <c r="H4" s="28" t="s">
        <v>1793</v>
      </c>
      <c r="I4" s="158"/>
      <c r="J4" s="28" t="s">
        <v>1808</v>
      </c>
      <c r="K4" s="158"/>
      <c r="L4" s="28" t="s">
        <v>1804</v>
      </c>
      <c r="M4" s="158"/>
      <c r="N4" s="158" t="s">
        <v>1837</v>
      </c>
      <c r="O4" s="158"/>
      <c r="P4" s="62"/>
      <c r="Q4" s="245"/>
      <c r="R4" s="62"/>
    </row>
    <row r="5" spans="2:18" ht="22" x14ac:dyDescent="0.3">
      <c r="C5" s="137" t="s">
        <v>1814</v>
      </c>
      <c r="D5" s="139">
        <v>2</v>
      </c>
      <c r="E5" s="137">
        <f>COUNTIF(b.nike.views[View_Count],"2")</f>
        <v>87</v>
      </c>
      <c r="F5" s="157">
        <f>E5/H5</f>
        <v>0.15732368896925858</v>
      </c>
      <c r="G5" s="137"/>
      <c r="H5" s="169">
        <f>COUNTA(_xlfn.UNIQUE(b.nike.views[product_ID]))</f>
        <v>553</v>
      </c>
      <c r="I5" s="158"/>
      <c r="J5" s="169" t="str">
        <f>DOLLAR(ROUND(AVERAGE(b.nike.views[Sales_Price]),1))</f>
        <v>$102.30</v>
      </c>
      <c r="K5" s="158"/>
      <c r="L5" s="169" t="str">
        <f>DOLLAR(MAX(b.nike.views[Sales_Price]))</f>
        <v>$365.00</v>
      </c>
      <c r="M5" s="158"/>
      <c r="N5" s="158">
        <f>MAX(b.nike.views[Review_Count])</f>
        <v>223</v>
      </c>
      <c r="O5" s="158"/>
      <c r="P5" s="62"/>
      <c r="Q5" s="245"/>
      <c r="R5" s="62"/>
    </row>
    <row r="6" spans="2:18" x14ac:dyDescent="0.2">
      <c r="C6" s="137" t="s">
        <v>1813</v>
      </c>
      <c r="D6" s="176">
        <v>1</v>
      </c>
      <c r="E6" s="177">
        <f>COUNTIF(b.nike.views[View_Count],"1")</f>
        <v>466</v>
      </c>
      <c r="F6" s="178">
        <f>E6/H5</f>
        <v>0.84267631103074137</v>
      </c>
      <c r="G6" s="137"/>
      <c r="H6" s="158"/>
      <c r="I6" s="158"/>
      <c r="J6" s="158"/>
      <c r="K6" s="158"/>
      <c r="L6" s="158"/>
      <c r="M6" s="158"/>
      <c r="N6" s="158"/>
      <c r="O6" s="158"/>
      <c r="P6" s="62"/>
      <c r="Q6" s="245"/>
      <c r="R6" s="62"/>
    </row>
    <row r="7" spans="2:18" x14ac:dyDescent="0.2">
      <c r="C7" s="137"/>
      <c r="D7" s="139">
        <v>0</v>
      </c>
      <c r="E7" s="137">
        <f>COUNTIF(b.nike.views[View_Count],"0")</f>
        <v>0</v>
      </c>
      <c r="F7" s="157">
        <f>E7/H5</f>
        <v>0</v>
      </c>
      <c r="G7" s="137"/>
      <c r="H7" s="158"/>
      <c r="I7" s="158"/>
      <c r="J7" s="158"/>
      <c r="K7" s="158"/>
      <c r="L7" s="158"/>
      <c r="M7" s="158"/>
      <c r="N7" s="158"/>
      <c r="O7" s="205"/>
      <c r="P7" s="62"/>
      <c r="Q7" s="62"/>
      <c r="R7" s="246"/>
    </row>
    <row r="8" spans="2:18" x14ac:dyDescent="0.2">
      <c r="C8" s="137"/>
      <c r="D8" s="158" t="s">
        <v>1801</v>
      </c>
      <c r="E8" s="166">
        <f>H5</f>
        <v>553</v>
      </c>
      <c r="F8" s="137"/>
      <c r="G8" s="137"/>
      <c r="H8" s="28" t="s">
        <v>6</v>
      </c>
      <c r="I8" s="158"/>
      <c r="J8" s="28" t="s">
        <v>1809</v>
      </c>
      <c r="K8" s="158"/>
      <c r="L8" s="28" t="s">
        <v>1806</v>
      </c>
      <c r="M8" s="158"/>
      <c r="N8" s="158"/>
      <c r="O8" s="158"/>
      <c r="P8" s="62"/>
      <c r="Q8" s="62"/>
      <c r="R8" s="62"/>
    </row>
    <row r="9" spans="2:18" ht="22" x14ac:dyDescent="0.3">
      <c r="C9" s="137"/>
      <c r="D9" s="137"/>
      <c r="E9" s="137"/>
      <c r="F9" s="137"/>
      <c r="G9" s="137"/>
      <c r="H9" s="169">
        <f>SUM(b.nike.views[Review_Count])</f>
        <v>4618</v>
      </c>
      <c r="I9" s="158"/>
      <c r="J9" s="169">
        <f>ROUND(AVERAGE(b.nike.views[Review_Count]),0)</f>
        <v>8</v>
      </c>
      <c r="K9" s="158"/>
      <c r="L9" s="169" t="str">
        <f>DOLLAR(MIN(b.nike.views[Sales_Price]))</f>
        <v>$16.00</v>
      </c>
      <c r="M9" s="158"/>
      <c r="N9" s="158"/>
      <c r="O9" s="158"/>
      <c r="P9" s="62"/>
      <c r="Q9" s="62"/>
      <c r="R9" s="62"/>
    </row>
    <row r="10" spans="2:18" x14ac:dyDescent="0.2">
      <c r="C10" s="137"/>
      <c r="D10" s="28" t="s">
        <v>1821</v>
      </c>
      <c r="E10" s="26" t="s">
        <v>1798</v>
      </c>
      <c r="F10" s="28" t="s">
        <v>1811</v>
      </c>
      <c r="G10" s="137"/>
      <c r="H10" s="158"/>
      <c r="I10" s="158"/>
      <c r="J10" s="158"/>
      <c r="K10" s="158"/>
      <c r="L10" s="158"/>
      <c r="M10" s="158"/>
      <c r="N10" s="158"/>
      <c r="O10" s="158"/>
      <c r="P10" s="62"/>
      <c r="Q10" s="62"/>
      <c r="R10" s="62"/>
    </row>
    <row r="11" spans="2:18" x14ac:dyDescent="0.2">
      <c r="C11" s="137" t="s">
        <v>1815</v>
      </c>
      <c r="D11" s="179" t="s">
        <v>1802</v>
      </c>
      <c r="E11" s="165">
        <f>F11/H5</f>
        <v>0.74321880650994576</v>
      </c>
      <c r="F11" s="180">
        <f>COUNTA(_xlfn.UNIQUE(d.nike.bias[product_ID]))</f>
        <v>411</v>
      </c>
      <c r="G11" s="137"/>
      <c r="H11" s="158"/>
      <c r="I11" s="158"/>
      <c r="J11" s="158"/>
      <c r="K11" s="158"/>
      <c r="L11" s="158"/>
      <c r="M11" s="158"/>
      <c r="N11" s="158"/>
      <c r="O11" s="158"/>
    </row>
    <row r="12" spans="2:18" x14ac:dyDescent="0.2">
      <c r="C12" s="137" t="s">
        <v>1790</v>
      </c>
      <c r="D12" s="156" t="s">
        <v>1803</v>
      </c>
      <c r="E12" s="165">
        <f>F12/H5</f>
        <v>0.25678119349005424</v>
      </c>
      <c r="F12" s="152">
        <f>COUNTA(_xlfn.UNIQUE(c.nike.unbias[product_ID]))</f>
        <v>142</v>
      </c>
      <c r="G12" s="137"/>
      <c r="H12" s="28" t="s">
        <v>1805</v>
      </c>
      <c r="I12" s="158"/>
      <c r="J12" s="28" t="s">
        <v>1805</v>
      </c>
      <c r="K12" s="158"/>
      <c r="L12" s="28" t="s">
        <v>1805</v>
      </c>
      <c r="M12" s="158"/>
      <c r="N12" s="158"/>
      <c r="O12" s="158"/>
    </row>
    <row r="13" spans="2:18" x14ac:dyDescent="0.2">
      <c r="C13" s="137"/>
      <c r="D13" s="158" t="s">
        <v>1801</v>
      </c>
      <c r="E13" s="158"/>
      <c r="F13" s="166">
        <f>H5</f>
        <v>553</v>
      </c>
      <c r="G13" s="137"/>
      <c r="H13" s="28" t="s">
        <v>1724</v>
      </c>
      <c r="I13" s="158"/>
      <c r="J13" s="28" t="s">
        <v>1807</v>
      </c>
      <c r="K13" s="158"/>
      <c r="L13" s="28" t="s">
        <v>1826</v>
      </c>
      <c r="M13" s="158"/>
      <c r="N13" s="158"/>
      <c r="O13" s="158"/>
    </row>
    <row r="14" spans="2:18" ht="22" x14ac:dyDescent="0.3">
      <c r="C14" s="137"/>
      <c r="D14" s="137"/>
      <c r="E14" s="137"/>
      <c r="F14" s="137"/>
      <c r="G14" s="137"/>
      <c r="H14" s="169">
        <f>SUM(b.nike.views[View_Count])</f>
        <v>640</v>
      </c>
      <c r="I14" s="158"/>
      <c r="J14" s="169">
        <f>ROUND(AVERAGE(b.nike.views[View_Count]), 0)</f>
        <v>1</v>
      </c>
      <c r="K14" s="158"/>
      <c r="L14" s="169">
        <f>GETPIVOTDATA("View_Count",'j.nike.today.view'!$D$15,"Product","Nike Air Max 90")</f>
        <v>14</v>
      </c>
      <c r="M14" s="158"/>
      <c r="N14" s="158"/>
      <c r="O14" s="158"/>
    </row>
    <row r="15" spans="2:18" x14ac:dyDescent="0.2">
      <c r="C15" s="137"/>
      <c r="D15" s="28" t="s">
        <v>1821</v>
      </c>
      <c r="E15" s="28" t="s">
        <v>1820</v>
      </c>
      <c r="F15" s="26" t="s">
        <v>1798</v>
      </c>
      <c r="G15" s="137"/>
      <c r="H15" s="158"/>
      <c r="I15" s="158"/>
      <c r="J15" s="158"/>
      <c r="K15" s="158"/>
      <c r="L15" s="158"/>
      <c r="M15" s="158"/>
      <c r="N15" s="158"/>
      <c r="O15" s="158"/>
    </row>
    <row r="16" spans="2:18" x14ac:dyDescent="0.2">
      <c r="C16" s="137"/>
      <c r="D16" s="156" t="s">
        <v>1802</v>
      </c>
      <c r="E16" s="137">
        <f>SUM(d.nike.bias[Review_Count])</f>
        <v>620</v>
      </c>
      <c r="F16" s="157">
        <f>E16/E18</f>
        <v>0.1342572542226072</v>
      </c>
      <c r="G16" s="137"/>
      <c r="H16" s="158"/>
      <c r="I16" s="158"/>
      <c r="J16" s="158"/>
      <c r="K16" s="158"/>
      <c r="L16" s="158"/>
      <c r="M16" s="158"/>
      <c r="N16" s="158"/>
      <c r="O16" s="158"/>
    </row>
    <row r="17" spans="2:15" x14ac:dyDescent="0.2">
      <c r="C17" s="137"/>
      <c r="D17" s="156" t="s">
        <v>1803</v>
      </c>
      <c r="E17" s="137">
        <f>SUM(c.nike.unbias[Review_Count])</f>
        <v>3998</v>
      </c>
      <c r="F17" s="157">
        <f>E17/E18</f>
        <v>0.86574274577739285</v>
      </c>
      <c r="G17" s="137"/>
      <c r="H17" s="158"/>
      <c r="I17" s="158"/>
      <c r="J17" s="158"/>
      <c r="K17" s="158"/>
      <c r="L17" s="158"/>
      <c r="M17" s="158"/>
      <c r="N17" s="158"/>
      <c r="O17" s="158"/>
    </row>
    <row r="18" spans="2:15" x14ac:dyDescent="0.2">
      <c r="C18" s="137"/>
      <c r="D18" s="158" t="s">
        <v>1801</v>
      </c>
      <c r="E18" s="166">
        <f>H9</f>
        <v>4618</v>
      </c>
      <c r="F18" s="137"/>
      <c r="G18" s="137"/>
      <c r="H18" s="158"/>
      <c r="I18" s="158"/>
      <c r="J18" s="158"/>
      <c r="K18" s="158"/>
      <c r="L18" s="158"/>
      <c r="M18" s="158"/>
      <c r="N18" s="158"/>
      <c r="O18" s="158"/>
    </row>
    <row r="19" spans="2:15" x14ac:dyDescent="0.2">
      <c r="C19" s="137"/>
      <c r="D19" s="137"/>
      <c r="E19" s="137"/>
      <c r="F19" s="137"/>
      <c r="G19" s="137"/>
      <c r="H19" s="158"/>
      <c r="I19" s="158"/>
      <c r="J19" s="158"/>
      <c r="K19" s="158"/>
      <c r="L19" s="158"/>
      <c r="M19" s="158"/>
      <c r="N19" s="158"/>
      <c r="O19" s="158"/>
    </row>
    <row r="21" spans="2:15" ht="27" x14ac:dyDescent="0.35">
      <c r="B21" s="162" t="s">
        <v>1819</v>
      </c>
      <c r="C21" s="6"/>
      <c r="D21" s="6"/>
      <c r="E21" s="6"/>
      <c r="F21" s="6"/>
      <c r="G21" s="6"/>
      <c r="H21" s="160"/>
      <c r="I21" s="160"/>
      <c r="J21" s="160"/>
      <c r="K21" s="160"/>
      <c r="L21" s="160"/>
      <c r="M21" s="160"/>
      <c r="N21" s="160"/>
      <c r="O21" s="160"/>
    </row>
    <row r="22" spans="2:15" x14ac:dyDescent="0.2">
      <c r="C22" s="138" t="s">
        <v>2</v>
      </c>
      <c r="D22" s="151" t="s">
        <v>1824</v>
      </c>
      <c r="E22" s="154" t="s">
        <v>1798</v>
      </c>
      <c r="F22" s="154" t="s">
        <v>1822</v>
      </c>
      <c r="G22" s="6"/>
      <c r="H22" s="97" t="s">
        <v>1810</v>
      </c>
      <c r="I22" s="160"/>
      <c r="J22" s="97" t="s">
        <v>1808</v>
      </c>
      <c r="K22" s="160"/>
      <c r="L22" s="97" t="s">
        <v>1804</v>
      </c>
      <c r="M22" s="160"/>
      <c r="N22" s="97" t="s">
        <v>1806</v>
      </c>
      <c r="O22" s="160"/>
    </row>
    <row r="23" spans="2:15" ht="22" x14ac:dyDescent="0.3">
      <c r="C23" s="6"/>
      <c r="D23" s="155" t="s">
        <v>1800</v>
      </c>
      <c r="E23" s="161">
        <f>(F25-F24)/ F25</f>
        <v>0.65280289330922248</v>
      </c>
      <c r="F23" s="6">
        <f>F25-F24</f>
        <v>361</v>
      </c>
      <c r="G23" s="6"/>
      <c r="H23" s="170">
        <f>F24</f>
        <v>192</v>
      </c>
      <c r="I23" s="160"/>
      <c r="J23" s="170" t="str">
        <f>DOLLAR(ROUND(AVERAGE(e.nike.discount[Sales_Price]),1))</f>
        <v>$84.50</v>
      </c>
      <c r="K23" s="160"/>
      <c r="L23" s="170" t="str">
        <f>DOLLAR(MAX(e.nike.discount[Sales_Price]))</f>
        <v>$160.00</v>
      </c>
      <c r="M23" s="160"/>
      <c r="N23" s="170" t="str">
        <f>DOLLAR(MIN(e.nike.discount[Sales_Price]))</f>
        <v>$21.00</v>
      </c>
      <c r="O23" s="160"/>
    </row>
    <row r="24" spans="2:15" ht="22" x14ac:dyDescent="0.3">
      <c r="C24" s="6"/>
      <c r="D24" s="155" t="s">
        <v>2</v>
      </c>
      <c r="E24" s="181">
        <f>F24/H5</f>
        <v>0.34719710669077758</v>
      </c>
      <c r="F24" s="138">
        <f>COUNTA(e.nike.discount[product_ID])</f>
        <v>192</v>
      </c>
      <c r="G24" s="6"/>
      <c r="H24" s="160"/>
      <c r="I24" s="160"/>
      <c r="J24" s="160"/>
      <c r="K24" s="160"/>
      <c r="L24" s="160"/>
      <c r="M24" s="160"/>
      <c r="N24" s="160"/>
      <c r="O24" s="160"/>
    </row>
    <row r="25" spans="2:15" x14ac:dyDescent="0.2">
      <c r="C25" s="6"/>
      <c r="D25" s="160" t="s">
        <v>1801</v>
      </c>
      <c r="E25" s="160"/>
      <c r="F25" s="167">
        <f>COUNTA(_xlfn.UNIQUE(b.nike.views[product_ID]))</f>
        <v>553</v>
      </c>
      <c r="G25" s="6"/>
      <c r="H25" s="160"/>
      <c r="I25" s="160"/>
      <c r="J25" s="160"/>
      <c r="K25" s="160"/>
      <c r="L25" s="160"/>
      <c r="M25" s="160"/>
      <c r="N25" s="160"/>
      <c r="O25" s="160"/>
    </row>
    <row r="26" spans="2:15" x14ac:dyDescent="0.2">
      <c r="C26" s="6"/>
      <c r="D26" s="6"/>
      <c r="E26" s="6"/>
      <c r="F26" s="6"/>
      <c r="G26" s="6"/>
      <c r="H26" s="97" t="s">
        <v>1823</v>
      </c>
      <c r="I26" s="160"/>
      <c r="J26" s="97" t="s">
        <v>1817</v>
      </c>
      <c r="K26" s="160"/>
      <c r="L26" s="97" t="s">
        <v>1791</v>
      </c>
      <c r="M26" s="160"/>
      <c r="N26" s="97" t="s">
        <v>1816</v>
      </c>
      <c r="O26" s="160"/>
    </row>
    <row r="27" spans="2:15" ht="22" x14ac:dyDescent="0.3">
      <c r="C27" s="138" t="s">
        <v>1724</v>
      </c>
      <c r="D27" s="154" t="s">
        <v>1799</v>
      </c>
      <c r="E27" s="154" t="s">
        <v>1798</v>
      </c>
      <c r="F27" s="154" t="s">
        <v>1776</v>
      </c>
      <c r="G27" s="6"/>
      <c r="H27" s="170">
        <f>F29</f>
        <v>217</v>
      </c>
      <c r="I27" s="160"/>
      <c r="J27" s="171">
        <f>MEDIAN(e.nike.discount[discount])</f>
        <v>0.3</v>
      </c>
      <c r="K27" s="160"/>
      <c r="L27" s="171">
        <f>MAX(a.nike.original.man[Discount %])</f>
        <v>0.4</v>
      </c>
      <c r="M27" s="160"/>
      <c r="N27" s="171">
        <f>MIN(e.nike.discount[discount])</f>
        <v>0.2</v>
      </c>
      <c r="O27" s="160"/>
    </row>
    <row r="28" spans="2:15" x14ac:dyDescent="0.2">
      <c r="C28" s="6"/>
      <c r="D28" s="155" t="s">
        <v>1800</v>
      </c>
      <c r="E28" s="161">
        <f>F28/F30</f>
        <v>0.66093749999999996</v>
      </c>
      <c r="F28" s="6">
        <f>F30-F29</f>
        <v>423</v>
      </c>
      <c r="G28" s="6"/>
      <c r="H28" s="160"/>
      <c r="I28" s="160"/>
      <c r="J28" s="160"/>
      <c r="K28" s="160"/>
      <c r="L28" s="160"/>
      <c r="M28" s="160"/>
      <c r="N28" s="160"/>
      <c r="O28" s="160"/>
    </row>
    <row r="29" spans="2:15" ht="22" x14ac:dyDescent="0.3">
      <c r="C29" s="6"/>
      <c r="D29" s="155" t="s">
        <v>2</v>
      </c>
      <c r="E29" s="181">
        <f>F29/H14</f>
        <v>0.33906249999999999</v>
      </c>
      <c r="F29" s="138">
        <f>SUM(e.nike.discount[View_Count])</f>
        <v>217</v>
      </c>
      <c r="G29" s="6"/>
      <c r="H29" s="160"/>
      <c r="I29" s="160"/>
      <c r="J29" s="160"/>
      <c r="K29" s="160"/>
      <c r="L29" s="160"/>
      <c r="M29" s="160"/>
      <c r="N29" s="160"/>
      <c r="O29" s="160"/>
    </row>
    <row r="30" spans="2:15" x14ac:dyDescent="0.2">
      <c r="C30" s="6"/>
      <c r="D30" s="160" t="s">
        <v>1801</v>
      </c>
      <c r="E30" s="160"/>
      <c r="F30" s="167">
        <f>SUM(b.nike.views[View_Count])</f>
        <v>640</v>
      </c>
      <c r="G30" s="6"/>
      <c r="H30" s="97" t="s">
        <v>6</v>
      </c>
      <c r="I30" s="160"/>
      <c r="J30" s="160"/>
      <c r="K30" s="160"/>
      <c r="L30" s="160"/>
      <c r="M30" s="160"/>
      <c r="N30" s="160"/>
      <c r="O30" s="160"/>
    </row>
    <row r="31" spans="2:15" ht="22" x14ac:dyDescent="0.3">
      <c r="C31" s="6"/>
      <c r="D31" s="6"/>
      <c r="E31" s="6"/>
      <c r="F31" s="6"/>
      <c r="G31" s="6"/>
      <c r="H31" s="170">
        <f>SUM(e.nike.discount[Review_Count])</f>
        <v>1419</v>
      </c>
      <c r="I31" s="160"/>
      <c r="J31" s="160"/>
      <c r="K31" s="160"/>
      <c r="L31" s="160"/>
      <c r="M31" s="160"/>
      <c r="N31" s="160"/>
      <c r="O31" s="160"/>
    </row>
    <row r="32" spans="2:15" x14ac:dyDescent="0.2">
      <c r="C32" s="6"/>
      <c r="D32" s="6"/>
      <c r="E32" s="6"/>
      <c r="F32" s="6"/>
      <c r="G32" s="6"/>
      <c r="H32" s="160"/>
      <c r="I32" s="160"/>
      <c r="J32" s="160"/>
      <c r="K32" s="160"/>
      <c r="L32" s="160"/>
      <c r="M32" s="160"/>
      <c r="N32" s="160"/>
      <c r="O32" s="160"/>
    </row>
    <row r="33" spans="2:15" x14ac:dyDescent="0.2">
      <c r="C33" s="138" t="s">
        <v>1825</v>
      </c>
      <c r="D33" s="154" t="s">
        <v>6</v>
      </c>
      <c r="E33" s="154" t="s">
        <v>1798</v>
      </c>
      <c r="F33" s="154" t="s">
        <v>1811</v>
      </c>
      <c r="G33" s="6"/>
      <c r="H33" s="160"/>
      <c r="I33" s="160"/>
      <c r="J33" s="160"/>
      <c r="K33" s="160"/>
      <c r="L33" s="160"/>
      <c r="M33" s="160"/>
      <c r="N33" s="160"/>
      <c r="O33" s="160"/>
    </row>
    <row r="34" spans="2:15" ht="22" x14ac:dyDescent="0.3">
      <c r="C34" s="6"/>
      <c r="D34" s="173" t="s">
        <v>1802</v>
      </c>
      <c r="E34" s="172">
        <f>F34/F24</f>
        <v>0.70833333333333337</v>
      </c>
      <c r="F34" s="175">
        <f>COUNTIF(e.nike.discount[Review_Group],"Below Average")</f>
        <v>136</v>
      </c>
      <c r="G34" s="6"/>
      <c r="H34" s="160"/>
      <c r="I34" s="160"/>
      <c r="J34" s="160"/>
      <c r="K34" s="160"/>
      <c r="L34" s="160"/>
      <c r="M34" s="160"/>
      <c r="N34" s="160"/>
      <c r="O34" s="160"/>
    </row>
    <row r="35" spans="2:15" x14ac:dyDescent="0.2">
      <c r="C35" s="6"/>
      <c r="D35" s="155" t="s">
        <v>1803</v>
      </c>
      <c r="E35" s="161">
        <f>F35/F36</f>
        <v>0.29166666666666669</v>
      </c>
      <c r="F35" s="138">
        <f>COUNTIF(e.nike.discount[Review_Group],"Average +")</f>
        <v>56</v>
      </c>
      <c r="G35" s="6"/>
      <c r="H35" s="160"/>
      <c r="I35" s="160"/>
      <c r="J35" s="160"/>
      <c r="K35" s="160"/>
      <c r="L35" s="160"/>
      <c r="M35" s="160"/>
      <c r="N35" s="160"/>
      <c r="O35" s="160"/>
    </row>
    <row r="36" spans="2:15" x14ac:dyDescent="0.2">
      <c r="C36" s="6"/>
      <c r="D36" s="160" t="s">
        <v>1801</v>
      </c>
      <c r="E36" s="160"/>
      <c r="F36" s="167">
        <f>F34+F35</f>
        <v>192</v>
      </c>
      <c r="G36" s="6"/>
      <c r="H36" s="160"/>
      <c r="I36" s="160"/>
      <c r="J36" s="160"/>
      <c r="K36" s="160"/>
      <c r="L36" s="160"/>
      <c r="M36" s="160"/>
      <c r="N36" s="160"/>
      <c r="O36" s="160"/>
    </row>
    <row r="37" spans="2:15" x14ac:dyDescent="0.2">
      <c r="C37" s="6"/>
      <c r="D37" s="6"/>
      <c r="E37" s="6"/>
      <c r="F37" s="6"/>
      <c r="G37" s="6"/>
      <c r="H37" s="160"/>
      <c r="I37" s="160"/>
      <c r="J37" s="160"/>
      <c r="K37" s="160"/>
      <c r="L37" s="160"/>
      <c r="M37" s="160"/>
      <c r="N37" s="160"/>
      <c r="O37" s="160"/>
    </row>
    <row r="38" spans="2:15" x14ac:dyDescent="0.2">
      <c r="C38" s="138" t="s">
        <v>2</v>
      </c>
      <c r="D38" s="100" t="s">
        <v>1471</v>
      </c>
      <c r="E38" t="s">
        <v>1716</v>
      </c>
      <c r="F38" t="s">
        <v>1896</v>
      </c>
      <c r="G38" s="6"/>
      <c r="H38" s="160"/>
      <c r="I38" s="160"/>
      <c r="J38" s="160"/>
      <c r="K38" s="160"/>
      <c r="L38" s="160"/>
      <c r="M38" s="160"/>
      <c r="N38" s="160"/>
      <c r="O38" s="160"/>
    </row>
    <row r="39" spans="2:15" x14ac:dyDescent="0.2">
      <c r="C39" s="6"/>
      <c r="D39" s="7" t="s">
        <v>1494</v>
      </c>
      <c r="E39" s="122">
        <v>0.515625</v>
      </c>
      <c r="F39">
        <v>99</v>
      </c>
      <c r="G39" s="6"/>
      <c r="H39" s="160"/>
      <c r="I39" s="160"/>
      <c r="J39" s="160"/>
      <c r="K39" s="160"/>
      <c r="L39" s="160"/>
      <c r="M39" s="160"/>
      <c r="N39" s="160"/>
      <c r="O39" s="160"/>
    </row>
    <row r="40" spans="2:15" x14ac:dyDescent="0.2">
      <c r="C40" s="6"/>
      <c r="D40" s="7" t="s">
        <v>1492</v>
      </c>
      <c r="E40" s="122">
        <v>0.328125</v>
      </c>
      <c r="F40">
        <v>63</v>
      </c>
      <c r="G40" s="6"/>
      <c r="H40" s="160"/>
      <c r="I40" s="160"/>
      <c r="J40" s="160"/>
      <c r="K40" s="160"/>
      <c r="L40" s="160"/>
      <c r="M40" s="160"/>
      <c r="N40" s="160"/>
      <c r="O40" s="160"/>
    </row>
    <row r="41" spans="2:15" x14ac:dyDescent="0.2">
      <c r="C41" s="6"/>
      <c r="D41" s="7" t="s">
        <v>1493</v>
      </c>
      <c r="E41" s="122">
        <v>0.15625</v>
      </c>
      <c r="F41">
        <v>30</v>
      </c>
      <c r="G41" s="6"/>
      <c r="H41" s="160"/>
      <c r="I41" s="160"/>
      <c r="J41" s="160"/>
      <c r="K41" s="160"/>
      <c r="L41" s="160"/>
      <c r="M41" s="160"/>
      <c r="N41" s="160"/>
      <c r="O41" s="160"/>
    </row>
    <row r="42" spans="2:15" x14ac:dyDescent="0.2">
      <c r="C42" s="6"/>
      <c r="D42" s="6"/>
      <c r="E42" s="6"/>
      <c r="F42" s="6"/>
      <c r="G42" s="6"/>
      <c r="H42" s="160"/>
      <c r="I42" s="160"/>
      <c r="J42" s="160"/>
      <c r="K42" s="160"/>
      <c r="L42" s="160"/>
      <c r="M42" s="160"/>
      <c r="N42" s="160"/>
      <c r="O42" s="160"/>
    </row>
    <row r="43" spans="2:15" x14ac:dyDescent="0.2">
      <c r="C43" s="6"/>
      <c r="D43" s="6"/>
      <c r="E43" s="6"/>
      <c r="F43" s="6"/>
      <c r="G43" s="6"/>
      <c r="H43" s="160"/>
      <c r="I43" s="160"/>
      <c r="J43" s="160"/>
      <c r="K43" s="160"/>
      <c r="L43" s="160"/>
      <c r="M43" s="160"/>
      <c r="N43" s="160"/>
      <c r="O43" s="160"/>
    </row>
    <row r="44" spans="2:15" x14ac:dyDescent="0.2">
      <c r="C44" s="6"/>
      <c r="D44" s="6"/>
      <c r="E44" s="6"/>
      <c r="F44" s="6"/>
      <c r="G44" s="6"/>
      <c r="H44" s="160"/>
      <c r="I44" s="160"/>
      <c r="J44" s="160"/>
      <c r="K44" s="160"/>
      <c r="L44" s="160"/>
      <c r="M44" s="160"/>
      <c r="N44" s="160"/>
      <c r="O44" s="160"/>
    </row>
    <row r="46" spans="2:15" ht="27" x14ac:dyDescent="0.35">
      <c r="B46" s="164" t="s">
        <v>1818</v>
      </c>
      <c r="C46" s="168"/>
      <c r="D46" s="168"/>
      <c r="E46" s="168"/>
      <c r="F46" s="168"/>
      <c r="G46" s="168"/>
      <c r="H46" s="188" t="str">
        <f>D48</f>
        <v>4 - 5</v>
      </c>
      <c r="I46" s="168"/>
      <c r="J46" s="168"/>
      <c r="K46" s="168"/>
      <c r="L46" s="168"/>
      <c r="M46" s="168"/>
      <c r="N46" s="168"/>
      <c r="O46" s="168"/>
    </row>
    <row r="47" spans="2:15" ht="22" x14ac:dyDescent="0.3">
      <c r="C47" s="168"/>
      <c r="D47" s="86" t="s">
        <v>1486</v>
      </c>
      <c r="E47" s="87" t="s">
        <v>1740</v>
      </c>
      <c r="F47" s="66" t="s">
        <v>1734</v>
      </c>
      <c r="G47" s="168"/>
      <c r="H47" s="188" t="s">
        <v>1832</v>
      </c>
      <c r="I47" s="168"/>
      <c r="J47" s="168"/>
      <c r="K47" s="168"/>
      <c r="L47" s="168"/>
      <c r="M47" s="168"/>
      <c r="N47" s="168"/>
      <c r="O47" s="168"/>
    </row>
    <row r="48" spans="2:15" ht="24" x14ac:dyDescent="0.3">
      <c r="C48" s="168"/>
      <c r="D48" s="82" t="s">
        <v>1494</v>
      </c>
      <c r="E48" s="83">
        <v>0.48281249999999998</v>
      </c>
      <c r="F48" s="82">
        <v>309</v>
      </c>
      <c r="G48" s="168"/>
      <c r="H48" s="168"/>
      <c r="I48" s="168"/>
      <c r="J48" s="168"/>
      <c r="K48" s="168"/>
      <c r="L48" s="168"/>
      <c r="M48" s="168"/>
      <c r="N48" s="168"/>
      <c r="O48" s="168"/>
    </row>
    <row r="49" spans="3:15" ht="24" x14ac:dyDescent="0.3">
      <c r="C49" s="168"/>
      <c r="D49" s="68" t="s">
        <v>1492</v>
      </c>
      <c r="E49" s="69">
        <v>0.39687499999999998</v>
      </c>
      <c r="F49" s="68">
        <v>254</v>
      </c>
      <c r="G49" s="168"/>
      <c r="H49" s="168"/>
      <c r="I49" s="168"/>
      <c r="J49" s="168"/>
      <c r="K49" s="168"/>
      <c r="L49" s="168"/>
      <c r="M49" s="168"/>
      <c r="N49" s="168"/>
      <c r="O49" s="168"/>
    </row>
    <row r="50" spans="3:15" ht="22" x14ac:dyDescent="0.3">
      <c r="C50" s="168"/>
      <c r="D50" s="63" t="s">
        <v>1493</v>
      </c>
      <c r="E50" s="64">
        <v>0.1203125</v>
      </c>
      <c r="F50" s="123">
        <v>77</v>
      </c>
      <c r="G50" s="168"/>
      <c r="H50" s="168"/>
      <c r="I50" s="168"/>
      <c r="J50" s="168"/>
      <c r="K50" s="168"/>
      <c r="L50" s="168"/>
      <c r="M50" s="168"/>
      <c r="N50" s="168"/>
      <c r="O50" s="168"/>
    </row>
    <row r="51" spans="3:15" x14ac:dyDescent="0.2">
      <c r="C51" s="168"/>
      <c r="D51" s="168"/>
      <c r="E51" s="168"/>
      <c r="F51" s="168"/>
      <c r="G51" s="168"/>
      <c r="H51" s="168"/>
      <c r="I51" s="168"/>
      <c r="J51" s="168"/>
      <c r="K51" s="168"/>
      <c r="L51" s="168"/>
      <c r="M51" s="168"/>
      <c r="N51" s="168"/>
      <c r="O51" s="168"/>
    </row>
    <row r="52" spans="3:15" x14ac:dyDescent="0.2">
      <c r="C52" s="168"/>
      <c r="D52" s="168"/>
      <c r="E52" s="168"/>
      <c r="F52" s="168"/>
      <c r="G52" s="168"/>
      <c r="H52" s="168"/>
      <c r="I52" s="168"/>
      <c r="J52" s="168"/>
      <c r="K52" s="168"/>
      <c r="L52" s="168"/>
      <c r="M52" s="168"/>
      <c r="N52" s="168"/>
      <c r="O52" s="168"/>
    </row>
    <row r="53" spans="3:15" x14ac:dyDescent="0.2">
      <c r="C53" s="168"/>
      <c r="D53" s="168"/>
      <c r="E53" s="168"/>
      <c r="F53" s="168"/>
      <c r="G53" s="168"/>
      <c r="H53" s="168"/>
      <c r="I53" s="168"/>
      <c r="J53" s="168"/>
      <c r="K53" s="168"/>
      <c r="L53" s="168"/>
      <c r="M53" s="168"/>
      <c r="N53" s="168"/>
      <c r="O53" s="168"/>
    </row>
    <row r="54" spans="3:15" x14ac:dyDescent="0.2">
      <c r="C54" s="168"/>
      <c r="D54" s="168"/>
      <c r="E54" s="168"/>
      <c r="F54" s="168"/>
      <c r="G54" s="168"/>
      <c r="H54" s="168"/>
      <c r="I54" s="168"/>
      <c r="J54" s="168"/>
      <c r="K54" s="168"/>
      <c r="L54" s="168"/>
      <c r="M54" s="168"/>
      <c r="N54" s="168"/>
      <c r="O54" s="168"/>
    </row>
    <row r="55" spans="3:15" x14ac:dyDescent="0.2">
      <c r="C55" s="168"/>
      <c r="D55" s="168"/>
      <c r="E55" s="168"/>
      <c r="F55" s="168"/>
      <c r="G55" s="168"/>
      <c r="H55" s="168"/>
      <c r="I55" s="168"/>
      <c r="J55" s="168"/>
      <c r="K55" s="168"/>
      <c r="L55" s="168"/>
      <c r="M55" s="168"/>
      <c r="N55" s="168"/>
      <c r="O55" s="168"/>
    </row>
    <row r="56" spans="3:15" x14ac:dyDescent="0.2">
      <c r="C56" s="168"/>
      <c r="D56" s="168"/>
      <c r="E56" s="168"/>
      <c r="F56" s="168"/>
      <c r="G56" s="168"/>
      <c r="H56" s="168"/>
      <c r="I56" s="168"/>
      <c r="J56" s="168"/>
      <c r="K56" s="168"/>
      <c r="L56" s="168"/>
      <c r="M56" s="168"/>
      <c r="N56" s="168"/>
      <c r="O56" s="168"/>
    </row>
    <row r="57" spans="3:15" x14ac:dyDescent="0.2">
      <c r="C57" s="168"/>
      <c r="D57" s="168"/>
      <c r="E57" s="168"/>
      <c r="F57" s="168"/>
      <c r="G57" s="168"/>
      <c r="H57" s="168"/>
      <c r="I57" s="168"/>
      <c r="J57" s="168"/>
      <c r="K57" s="168"/>
      <c r="L57" s="168"/>
      <c r="M57" s="168"/>
      <c r="N57" s="168"/>
      <c r="O57" s="168"/>
    </row>
    <row r="58" spans="3:15" x14ac:dyDescent="0.2">
      <c r="C58" s="168"/>
      <c r="D58" s="168"/>
      <c r="E58" s="168"/>
      <c r="F58" s="168"/>
      <c r="G58" s="168"/>
      <c r="H58" s="168"/>
      <c r="I58" s="168"/>
      <c r="J58" s="168"/>
      <c r="K58" s="168"/>
      <c r="L58" s="168"/>
      <c r="M58" s="168"/>
      <c r="N58" s="168"/>
      <c r="O58" s="168"/>
    </row>
    <row r="59" spans="3:15" x14ac:dyDescent="0.2">
      <c r="C59" s="168"/>
      <c r="D59" s="168"/>
      <c r="E59" s="168"/>
      <c r="F59" s="168"/>
      <c r="G59" s="168"/>
      <c r="H59" s="168"/>
      <c r="I59" s="168"/>
      <c r="J59" s="168"/>
      <c r="K59" s="168"/>
      <c r="L59" s="168"/>
      <c r="M59" s="168"/>
      <c r="N59" s="168"/>
      <c r="O59" s="168"/>
    </row>
    <row r="60" spans="3:15" x14ac:dyDescent="0.2">
      <c r="C60" s="168"/>
      <c r="D60" s="168"/>
      <c r="E60" s="168"/>
      <c r="F60" s="168"/>
      <c r="G60" s="168"/>
      <c r="H60" s="168"/>
      <c r="I60" s="168"/>
      <c r="J60" s="168"/>
      <c r="K60" s="168"/>
      <c r="L60" s="168"/>
      <c r="M60" s="168"/>
      <c r="N60" s="168"/>
      <c r="O60" s="168"/>
    </row>
    <row r="61" spans="3:15" x14ac:dyDescent="0.2">
      <c r="C61" s="168"/>
      <c r="D61" s="168"/>
      <c r="E61" s="168"/>
      <c r="F61" s="168"/>
      <c r="G61" s="168"/>
      <c r="H61" s="168"/>
      <c r="I61" s="168"/>
      <c r="J61" s="168"/>
      <c r="K61" s="168"/>
      <c r="L61" s="168"/>
      <c r="M61" s="168"/>
      <c r="N61" s="168"/>
      <c r="O61" s="168"/>
    </row>
    <row r="62" spans="3:15" x14ac:dyDescent="0.2">
      <c r="C62" s="168"/>
      <c r="D62" s="168"/>
      <c r="E62" s="168"/>
      <c r="F62" s="168"/>
      <c r="G62" s="168"/>
      <c r="H62" s="168"/>
      <c r="I62" s="168"/>
      <c r="J62" s="168"/>
      <c r="K62" s="168"/>
      <c r="L62" s="168"/>
      <c r="M62" s="168"/>
      <c r="N62" s="168"/>
      <c r="O62" s="168"/>
    </row>
    <row r="63" spans="3:15" x14ac:dyDescent="0.2">
      <c r="C63" s="168"/>
      <c r="D63" s="168"/>
      <c r="E63" s="168"/>
      <c r="F63" s="168"/>
      <c r="G63" s="168"/>
      <c r="H63" s="168"/>
      <c r="I63" s="168"/>
      <c r="J63" s="168"/>
      <c r="K63" s="168"/>
      <c r="L63" s="168"/>
      <c r="M63" s="168"/>
      <c r="N63" s="168"/>
      <c r="O63" s="168"/>
    </row>
    <row r="65" spans="2:15" ht="27" x14ac:dyDescent="0.35">
      <c r="B65" s="187" t="s">
        <v>1831</v>
      </c>
      <c r="C65" s="186"/>
      <c r="D65" s="186"/>
      <c r="E65" s="186"/>
      <c r="F65" s="186"/>
      <c r="G65" s="186"/>
      <c r="H65" s="186"/>
      <c r="I65" s="186"/>
      <c r="J65" s="186"/>
      <c r="K65" s="186"/>
      <c r="L65" s="186"/>
      <c r="M65" s="186"/>
      <c r="N65" s="186"/>
      <c r="O65" s="186"/>
    </row>
    <row r="66" spans="2:15" x14ac:dyDescent="0.2">
      <c r="C66" s="186"/>
      <c r="D66" s="186"/>
      <c r="E66" s="186"/>
      <c r="F66" s="186"/>
      <c r="G66" s="186"/>
      <c r="H66" s="186"/>
      <c r="I66" s="186"/>
      <c r="J66" s="186"/>
      <c r="K66" s="186"/>
      <c r="L66" s="186"/>
      <c r="M66" s="186"/>
      <c r="N66" s="186"/>
      <c r="O66" s="186"/>
    </row>
    <row r="67" spans="2:15" x14ac:dyDescent="0.2">
      <c r="C67" s="186"/>
      <c r="D67" s="84" t="s">
        <v>1471</v>
      </c>
      <c r="E67" s="84" t="s">
        <v>1716</v>
      </c>
      <c r="F67" s="45" t="s">
        <v>1735</v>
      </c>
      <c r="G67" s="45" t="s">
        <v>1736</v>
      </c>
      <c r="H67" s="186"/>
      <c r="I67" s="186"/>
      <c r="J67" s="186"/>
      <c r="K67" s="186"/>
      <c r="L67" s="186"/>
      <c r="M67" s="186"/>
      <c r="N67" s="186"/>
      <c r="O67" s="186"/>
    </row>
    <row r="68" spans="2:15" ht="27" x14ac:dyDescent="0.35">
      <c r="C68" s="186"/>
      <c r="D68" s="76" t="s">
        <v>1495</v>
      </c>
      <c r="E68" s="119">
        <v>283</v>
      </c>
      <c r="F68" s="119">
        <v>312</v>
      </c>
      <c r="G68" s="119">
        <v>2783</v>
      </c>
      <c r="H68" s="186"/>
      <c r="I68" s="186"/>
      <c r="J68" s="186"/>
      <c r="K68" s="186"/>
      <c r="L68" s="186"/>
      <c r="M68" s="186"/>
      <c r="N68" s="186"/>
      <c r="O68" s="186"/>
    </row>
    <row r="69" spans="2:15" ht="19" x14ac:dyDescent="0.25">
      <c r="C69" s="186"/>
      <c r="D69" s="77" t="s">
        <v>1498</v>
      </c>
      <c r="E69" s="128">
        <v>228</v>
      </c>
      <c r="F69" s="128">
        <v>275</v>
      </c>
      <c r="G69" s="128">
        <v>1630</v>
      </c>
      <c r="H69" s="186"/>
      <c r="I69" s="186"/>
      <c r="J69" s="186"/>
      <c r="K69" s="186"/>
      <c r="L69" s="186"/>
      <c r="M69" s="186"/>
      <c r="N69" s="186"/>
      <c r="O69" s="186"/>
    </row>
    <row r="70" spans="2:15" x14ac:dyDescent="0.2">
      <c r="C70" s="186"/>
      <c r="D70" s="7" t="s">
        <v>1497</v>
      </c>
      <c r="E70" s="118">
        <v>37</v>
      </c>
      <c r="F70" s="118">
        <v>48</v>
      </c>
      <c r="G70" s="118">
        <v>189</v>
      </c>
      <c r="H70" s="186"/>
      <c r="I70" s="186"/>
      <c r="J70" s="186"/>
      <c r="K70" s="186"/>
      <c r="L70" s="186"/>
      <c r="M70" s="186"/>
      <c r="N70" s="186"/>
      <c r="O70" s="186"/>
    </row>
    <row r="71" spans="2:15" x14ac:dyDescent="0.2">
      <c r="C71" s="186"/>
      <c r="D71" s="7" t="s">
        <v>1496</v>
      </c>
      <c r="E71" s="120">
        <v>5</v>
      </c>
      <c r="F71" s="120">
        <v>5</v>
      </c>
      <c r="G71" s="120">
        <v>16</v>
      </c>
      <c r="H71" s="186"/>
      <c r="I71" s="186"/>
      <c r="J71" s="186"/>
      <c r="K71" s="186"/>
      <c r="L71" s="186"/>
      <c r="M71" s="186"/>
      <c r="N71" s="186"/>
      <c r="O71" s="186"/>
    </row>
    <row r="72" spans="2:15" x14ac:dyDescent="0.2">
      <c r="C72" s="186"/>
      <c r="D72" s="47" t="s">
        <v>1472</v>
      </c>
      <c r="E72" s="45">
        <v>553</v>
      </c>
      <c r="F72" s="45">
        <v>640</v>
      </c>
      <c r="G72" s="45">
        <v>4618</v>
      </c>
      <c r="H72" s="186"/>
      <c r="I72" s="186"/>
      <c r="J72" s="186"/>
      <c r="K72" s="186"/>
      <c r="L72" s="186"/>
      <c r="M72" s="186"/>
      <c r="N72" s="186"/>
      <c r="O72" s="186"/>
    </row>
    <row r="73" spans="2:15" x14ac:dyDescent="0.2">
      <c r="C73" s="186"/>
      <c r="D73" s="186"/>
      <c r="E73" s="186"/>
      <c r="F73" s="186"/>
      <c r="G73" s="186"/>
      <c r="H73" s="186"/>
      <c r="I73" s="186"/>
      <c r="J73" s="186"/>
      <c r="K73" s="186"/>
      <c r="L73" s="186"/>
      <c r="M73" s="186"/>
      <c r="N73" s="186"/>
      <c r="O73" s="186"/>
    </row>
    <row r="74" spans="2:15" ht="22" x14ac:dyDescent="0.3">
      <c r="C74" s="186"/>
      <c r="D74" s="20"/>
      <c r="E74" s="56" t="s">
        <v>1495</v>
      </c>
      <c r="F74" s="50" t="s">
        <v>1498</v>
      </c>
      <c r="G74" s="50" t="s">
        <v>1497</v>
      </c>
      <c r="H74" s="50" t="s">
        <v>1496</v>
      </c>
      <c r="I74" s="186"/>
      <c r="J74" s="186"/>
      <c r="K74" s="186"/>
      <c r="L74" s="186"/>
      <c r="M74" s="186"/>
      <c r="N74" s="186"/>
      <c r="O74" s="186"/>
    </row>
    <row r="75" spans="2:15" ht="27" x14ac:dyDescent="0.35">
      <c r="C75" s="186"/>
      <c r="D75" s="17" t="s">
        <v>1719</v>
      </c>
      <c r="E75" s="60">
        <f>GETPIVOTDATA("Count of Product",$D$67,"Sales_Price_Group","$100 +")/GETPIVOTDATA("Count of Product",$D$67)</f>
        <v>0.51175406871609408</v>
      </c>
      <c r="F75" s="61">
        <f>GETPIVOTDATA("Count of Product",$D$67,"Sales_Price_Group","under $100")/GETPIVOTDATA("Count of Product",$D$67)</f>
        <v>0.41229656419529837</v>
      </c>
      <c r="G75" s="42">
        <f>GETPIVOTDATA("Count of Product",$D$67,"Sales_Price_Group","$50 and under")/GETPIVOTDATA("Count of Product",$D$67)</f>
        <v>6.6907775768535266E-2</v>
      </c>
      <c r="H75" s="89">
        <f>GETPIVOTDATA("Count of Product",$D$67,"Sales_Price_Group","$20 and under")/GETPIVOTDATA("Count of Product",$D$67)</f>
        <v>9.0415913200723331E-3</v>
      </c>
      <c r="I75" s="186"/>
      <c r="J75" s="186"/>
      <c r="K75" s="186"/>
      <c r="L75" s="186"/>
      <c r="M75" s="186"/>
      <c r="N75" s="186"/>
      <c r="O75" s="186"/>
    </row>
    <row r="76" spans="2:15" ht="27" x14ac:dyDescent="0.35">
      <c r="C76" s="186"/>
      <c r="D76" s="17" t="s">
        <v>1720</v>
      </c>
      <c r="E76" s="60">
        <f>GETPIVOTDATA("Total_Views",$D$67,"Sales_Price_Group","$100 +")/GETPIVOTDATA("Total_Views",$D$67)</f>
        <v>0.48749999999999999</v>
      </c>
      <c r="F76" s="61">
        <f>GETPIVOTDATA("Total_Views",$D$67,"Sales_Price_Group","under $100")/GETPIVOTDATA("Total_Views",$D$67)</f>
        <v>0.4296875</v>
      </c>
      <c r="G76" s="42">
        <f>GETPIVOTDATA("Total_Views",$D$67,"Sales_Price_Group","$50 and under")/GETPIVOTDATA("Total_Views",$D$67)</f>
        <v>7.4999999999999997E-2</v>
      </c>
      <c r="H76" s="89">
        <f>GETPIVOTDATA("Total_Views",$D$67,"Sales_Price_Group","$20 and under")/GETPIVOTDATA("Total_Views",$D$67)</f>
        <v>7.8125E-3</v>
      </c>
      <c r="I76" s="186"/>
      <c r="J76" s="186"/>
      <c r="K76" s="186"/>
      <c r="L76" s="186"/>
      <c r="M76" s="186"/>
      <c r="N76" s="186"/>
      <c r="O76" s="186"/>
    </row>
    <row r="77" spans="2:15" ht="27" x14ac:dyDescent="0.35">
      <c r="C77" s="186"/>
      <c r="D77" s="17" t="s">
        <v>1721</v>
      </c>
      <c r="E77" s="60">
        <f>GETPIVOTDATA("Total_Review_Count",$D$67,"Sales_Price_Group","$100 +")/GETPIVOTDATA("Total_Review_Count",$D$67)</f>
        <v>0.60264183629276746</v>
      </c>
      <c r="F77" s="61">
        <f>GETPIVOTDATA("Total_Review_Count",$D$67,"Sales_Price_Group","under $100")/GETPIVOTDATA("Total_Review_Count",$D$67)</f>
        <v>0.35296665223040274</v>
      </c>
      <c r="G77" s="42">
        <f>GETPIVOTDATA("Total_Review_Count",$D$67,"Sales_Price_Group","$50 and under")/GETPIVOTDATA("Total_Review_Count",$D$67)</f>
        <v>4.0926808142052837E-2</v>
      </c>
      <c r="H77" s="89">
        <f>GETPIVOTDATA("Total_Review_Count",$D$67,"Sales_Price_Group","$20 and under")/GETPIVOTDATA("Total_Review_Count",$D$67)</f>
        <v>3.4647033347769596E-3</v>
      </c>
      <c r="I77" s="186"/>
      <c r="J77" s="186"/>
      <c r="K77" s="186"/>
      <c r="L77" s="186"/>
      <c r="M77" s="186"/>
      <c r="N77" s="186"/>
      <c r="O77" s="186"/>
    </row>
    <row r="78" spans="2:15" x14ac:dyDescent="0.2">
      <c r="C78" s="186"/>
      <c r="D78" s="186"/>
      <c r="E78" s="186"/>
      <c r="F78" s="186"/>
      <c r="G78" s="186"/>
      <c r="H78" s="186"/>
      <c r="I78" s="186"/>
      <c r="J78" s="186"/>
      <c r="K78" s="186"/>
      <c r="L78" s="186"/>
      <c r="M78" s="186"/>
      <c r="N78" s="186"/>
      <c r="O78" s="186"/>
    </row>
    <row r="79" spans="2:15" x14ac:dyDescent="0.2">
      <c r="C79" s="186"/>
      <c r="D79" s="186"/>
      <c r="E79" s="186"/>
      <c r="F79" s="186"/>
      <c r="G79" s="186"/>
      <c r="H79" s="186"/>
      <c r="I79" s="186"/>
      <c r="J79" s="186"/>
      <c r="K79" s="186"/>
      <c r="L79" s="186"/>
      <c r="M79" s="186"/>
      <c r="N79" s="186"/>
      <c r="O79" s="186"/>
    </row>
    <row r="80" spans="2:15" x14ac:dyDescent="0.2">
      <c r="C80" s="186"/>
      <c r="D80" s="186"/>
      <c r="E80" s="186"/>
      <c r="F80" s="186"/>
      <c r="G80" s="186"/>
      <c r="H80" s="186"/>
      <c r="I80" s="186"/>
      <c r="J80" s="186"/>
      <c r="K80" s="186"/>
      <c r="L80" s="186"/>
      <c r="M80" s="186"/>
      <c r="N80" s="186"/>
      <c r="O80" s="186"/>
    </row>
    <row r="81" spans="3:22" x14ac:dyDescent="0.2">
      <c r="C81" s="186"/>
      <c r="D81" s="186"/>
      <c r="E81" s="186"/>
      <c r="F81" s="186"/>
      <c r="G81" s="186"/>
      <c r="H81" s="186"/>
      <c r="I81" s="186"/>
      <c r="J81" s="186"/>
      <c r="K81" s="186"/>
      <c r="L81" s="186"/>
      <c r="M81" s="186"/>
      <c r="N81" s="186"/>
      <c r="O81" s="186"/>
    </row>
    <row r="82" spans="3:22" x14ac:dyDescent="0.2">
      <c r="C82" s="186"/>
      <c r="D82" s="186"/>
      <c r="E82" s="186"/>
      <c r="F82" s="186"/>
      <c r="G82" s="186"/>
      <c r="H82" s="186"/>
      <c r="I82" s="186"/>
      <c r="J82" s="186"/>
      <c r="K82" s="186"/>
      <c r="L82" s="186"/>
      <c r="M82" s="186"/>
      <c r="N82" s="186"/>
      <c r="O82" s="186"/>
    </row>
    <row r="83" spans="3:22" x14ac:dyDescent="0.2">
      <c r="C83" s="186"/>
      <c r="D83" s="186"/>
      <c r="E83" s="186"/>
      <c r="F83" s="186"/>
      <c r="G83" s="186"/>
      <c r="H83" s="186"/>
      <c r="I83" s="186"/>
      <c r="J83" s="186"/>
      <c r="K83" s="186"/>
      <c r="L83" s="186"/>
      <c r="M83" s="186"/>
      <c r="N83" s="186"/>
      <c r="O83" s="186"/>
    </row>
    <row r="88" spans="3:22" x14ac:dyDescent="0.2">
      <c r="C88" t="s">
        <v>1840</v>
      </c>
      <c r="D88" t="s">
        <v>1836</v>
      </c>
      <c r="E88" t="s">
        <v>1838</v>
      </c>
      <c r="F88" t="s">
        <v>1839</v>
      </c>
      <c r="L88" t="s">
        <v>1841</v>
      </c>
      <c r="P88" t="s">
        <v>1493</v>
      </c>
      <c r="T88" t="s">
        <v>1897</v>
      </c>
    </row>
    <row r="89" spans="3:22" ht="27" x14ac:dyDescent="0.35">
      <c r="C89" t="str">
        <f>_xlfn.XLOOKUP(N5,b.nike.views[Review_Count],b.nike.views[product_ID],"not found")</f>
        <v>310805-137</v>
      </c>
      <c r="D89" t="str">
        <f>_xlfn.XLOOKUP(N5,b.nike.views[Review_Count],b.nike.views[Product],"not found")</f>
        <v>Air Jordan 10 Retro</v>
      </c>
      <c r="L89" s="72" t="s">
        <v>358</v>
      </c>
      <c r="M89" s="73">
        <v>223</v>
      </c>
      <c r="N89">
        <v>1</v>
      </c>
      <c r="P89" s="263" t="s">
        <v>312</v>
      </c>
      <c r="Q89">
        <v>144</v>
      </c>
      <c r="R89" s="227">
        <v>2</v>
      </c>
      <c r="T89" s="263" t="s">
        <v>863</v>
      </c>
      <c r="U89">
        <v>71</v>
      </c>
      <c r="V89" s="227">
        <v>1</v>
      </c>
    </row>
    <row r="90" spans="3:22" x14ac:dyDescent="0.2">
      <c r="L90" s="40" t="s">
        <v>11</v>
      </c>
      <c r="M90">
        <v>145</v>
      </c>
      <c r="N90">
        <v>2</v>
      </c>
      <c r="P90" t="s">
        <v>878</v>
      </c>
      <c r="Q90">
        <v>68</v>
      </c>
      <c r="R90" s="227">
        <v>2</v>
      </c>
      <c r="T90" t="s">
        <v>245</v>
      </c>
      <c r="U90">
        <v>22</v>
      </c>
      <c r="V90" s="227">
        <v>2</v>
      </c>
    </row>
    <row r="91" spans="3:22" x14ac:dyDescent="0.2">
      <c r="C91" s="84" t="s">
        <v>1471</v>
      </c>
      <c r="D91" s="45" t="s">
        <v>1491</v>
      </c>
      <c r="L91" s="40" t="s">
        <v>903</v>
      </c>
      <c r="M91">
        <v>117</v>
      </c>
      <c r="N91">
        <v>2</v>
      </c>
      <c r="P91" t="s">
        <v>72</v>
      </c>
      <c r="Q91">
        <v>62</v>
      </c>
      <c r="R91" s="227">
        <v>2</v>
      </c>
      <c r="T91" t="s">
        <v>262</v>
      </c>
      <c r="U91">
        <v>20</v>
      </c>
      <c r="V91" s="227">
        <v>1</v>
      </c>
    </row>
    <row r="92" spans="3:22" ht="34" x14ac:dyDescent="0.4">
      <c r="C92" s="51" t="s">
        <v>37</v>
      </c>
      <c r="D92" s="125">
        <v>14</v>
      </c>
      <c r="L92" s="40" t="s">
        <v>502</v>
      </c>
      <c r="M92">
        <v>105</v>
      </c>
      <c r="N92">
        <v>1</v>
      </c>
      <c r="P92" t="s">
        <v>508</v>
      </c>
      <c r="Q92">
        <v>61</v>
      </c>
      <c r="R92" s="227">
        <v>1</v>
      </c>
      <c r="T92" t="s">
        <v>220</v>
      </c>
      <c r="U92">
        <v>19</v>
      </c>
      <c r="V92" s="227">
        <v>1</v>
      </c>
    </row>
    <row r="93" spans="3:22" x14ac:dyDescent="0.2">
      <c r="C93" s="127" t="s">
        <v>1387</v>
      </c>
      <c r="D93" s="126">
        <v>1</v>
      </c>
      <c r="L93" s="40" t="s">
        <v>435</v>
      </c>
      <c r="M93">
        <v>97</v>
      </c>
      <c r="N93">
        <v>2</v>
      </c>
      <c r="P93" t="s">
        <v>31</v>
      </c>
      <c r="Q93">
        <v>54</v>
      </c>
      <c r="R93" s="227">
        <v>1</v>
      </c>
      <c r="T93" t="s">
        <v>31</v>
      </c>
      <c r="U93">
        <v>17</v>
      </c>
      <c r="V93" s="227">
        <v>3</v>
      </c>
    </row>
    <row r="94" spans="3:22" x14ac:dyDescent="0.2">
      <c r="C94" s="127" t="s">
        <v>204</v>
      </c>
      <c r="D94" s="126">
        <v>1</v>
      </c>
      <c r="R94" s="227"/>
      <c r="V94" s="227"/>
    </row>
    <row r="95" spans="3:22" ht="19" x14ac:dyDescent="0.25">
      <c r="C95" s="127" t="s">
        <v>38</v>
      </c>
      <c r="D95" s="126">
        <v>1</v>
      </c>
      <c r="H95" s="75" t="s">
        <v>1486</v>
      </c>
      <c r="I95" s="206" t="s">
        <v>1751</v>
      </c>
      <c r="J95" s="98" t="s">
        <v>1750</v>
      </c>
    </row>
    <row r="96" spans="3:22" ht="22" x14ac:dyDescent="0.3">
      <c r="C96" s="127" t="s">
        <v>554</v>
      </c>
      <c r="D96" s="126">
        <v>1</v>
      </c>
      <c r="H96" s="96" t="s">
        <v>1494</v>
      </c>
      <c r="I96" s="254">
        <v>687</v>
      </c>
      <c r="J96" s="255">
        <v>8</v>
      </c>
    </row>
    <row r="97" spans="3:10" ht="27" x14ac:dyDescent="0.35">
      <c r="C97" s="127" t="s">
        <v>670</v>
      </c>
      <c r="D97" s="126">
        <v>1</v>
      </c>
      <c r="G97" s="242" t="s">
        <v>1729</v>
      </c>
      <c r="H97" s="72" t="s">
        <v>358</v>
      </c>
      <c r="I97" s="73">
        <v>223</v>
      </c>
      <c r="J97" s="260">
        <v>1</v>
      </c>
    </row>
    <row r="98" spans="3:10" ht="22" x14ac:dyDescent="0.3">
      <c r="C98" s="127" t="s">
        <v>1099</v>
      </c>
      <c r="D98" s="126">
        <v>1</v>
      </c>
      <c r="G98" s="242" t="s">
        <v>1730</v>
      </c>
      <c r="H98" s="74" t="s">
        <v>11</v>
      </c>
      <c r="I98" s="259">
        <v>145</v>
      </c>
      <c r="J98" s="260">
        <v>2</v>
      </c>
    </row>
    <row r="99" spans="3:10" ht="22" x14ac:dyDescent="0.3">
      <c r="C99" s="127" t="s">
        <v>1279</v>
      </c>
      <c r="D99" s="126">
        <v>1</v>
      </c>
      <c r="G99" s="242" t="s">
        <v>1731</v>
      </c>
      <c r="H99" s="74" t="s">
        <v>903</v>
      </c>
      <c r="I99" s="259">
        <v>117</v>
      </c>
      <c r="J99" s="260">
        <v>2</v>
      </c>
    </row>
    <row r="100" spans="3:10" ht="22" x14ac:dyDescent="0.3">
      <c r="C100" s="127" t="s">
        <v>320</v>
      </c>
      <c r="D100" s="126">
        <v>1</v>
      </c>
      <c r="G100" s="242" t="s">
        <v>1842</v>
      </c>
      <c r="H100" s="74" t="s">
        <v>502</v>
      </c>
      <c r="I100" s="259">
        <v>105</v>
      </c>
      <c r="J100" s="260">
        <v>1</v>
      </c>
    </row>
    <row r="101" spans="3:10" ht="22" x14ac:dyDescent="0.3">
      <c r="C101" s="127" t="s">
        <v>81</v>
      </c>
      <c r="D101" s="126">
        <v>1</v>
      </c>
      <c r="G101" s="242" t="s">
        <v>1843</v>
      </c>
      <c r="H101" s="74" t="s">
        <v>435</v>
      </c>
      <c r="I101" s="259">
        <v>97</v>
      </c>
      <c r="J101" s="260">
        <v>2</v>
      </c>
    </row>
    <row r="102" spans="3:10" x14ac:dyDescent="0.2">
      <c r="C102" s="127" t="s">
        <v>610</v>
      </c>
      <c r="D102" s="126">
        <v>1</v>
      </c>
    </row>
    <row r="103" spans="3:10" x14ac:dyDescent="0.2">
      <c r="C103" s="127" t="s">
        <v>156</v>
      </c>
      <c r="D103" s="126">
        <v>1</v>
      </c>
    </row>
    <row r="104" spans="3:10" x14ac:dyDescent="0.2">
      <c r="C104" s="127" t="s">
        <v>1156</v>
      </c>
      <c r="D104" s="126">
        <v>1</v>
      </c>
    </row>
    <row r="105" spans="3:10" x14ac:dyDescent="0.2">
      <c r="C105" s="127" t="s">
        <v>1358</v>
      </c>
      <c r="D105" s="126">
        <v>1</v>
      </c>
    </row>
    <row r="106" spans="3:10" x14ac:dyDescent="0.2">
      <c r="C106" s="127" t="s">
        <v>809</v>
      </c>
      <c r="D106" s="126">
        <v>1</v>
      </c>
    </row>
    <row r="107" spans="3:10" ht="22" x14ac:dyDescent="0.3">
      <c r="C107" s="52" t="s">
        <v>132</v>
      </c>
      <c r="D107" s="124">
        <v>9</v>
      </c>
    </row>
    <row r="108" spans="3:10" ht="22" x14ac:dyDescent="0.3">
      <c r="C108" s="52" t="s">
        <v>56</v>
      </c>
      <c r="D108" s="124">
        <v>7</v>
      </c>
    </row>
    <row r="112" spans="3:10" ht="22" x14ac:dyDescent="0.3">
      <c r="C112" s="289" t="s">
        <v>1764</v>
      </c>
      <c r="D112" s="289"/>
      <c r="E112" s="289"/>
    </row>
    <row r="113" spans="3:5" ht="27" x14ac:dyDescent="0.35">
      <c r="C113" s="286" t="s">
        <v>1741</v>
      </c>
      <c r="D113" s="286"/>
      <c r="E113" s="286"/>
    </row>
    <row r="114" spans="3:5" x14ac:dyDescent="0.2">
      <c r="C114" s="67"/>
      <c r="D114" s="67"/>
      <c r="E114" s="67"/>
    </row>
    <row r="115" spans="3:5" ht="22" x14ac:dyDescent="0.3">
      <c r="C115" s="86" t="s">
        <v>1486</v>
      </c>
      <c r="D115" s="87" t="s">
        <v>1740</v>
      </c>
      <c r="E115" s="66" t="s">
        <v>1734</v>
      </c>
    </row>
    <row r="116" spans="3:5" ht="24" x14ac:dyDescent="0.3">
      <c r="C116" s="82" t="s">
        <v>1494</v>
      </c>
      <c r="D116" s="83">
        <v>0.48281249999999998</v>
      </c>
      <c r="E116" s="82">
        <v>309</v>
      </c>
    </row>
    <row r="117" spans="3:5" ht="24" x14ac:dyDescent="0.3">
      <c r="C117" s="240" t="s">
        <v>1492</v>
      </c>
      <c r="D117" s="241">
        <v>0.39687499999999998</v>
      </c>
      <c r="E117" s="240">
        <v>254</v>
      </c>
    </row>
    <row r="118" spans="3:5" ht="22" x14ac:dyDescent="0.3">
      <c r="C118" s="63" t="s">
        <v>1493</v>
      </c>
      <c r="D118" s="64">
        <v>0.1203125</v>
      </c>
      <c r="E118" s="123">
        <v>77</v>
      </c>
    </row>
  </sheetData>
  <mergeCells count="4">
    <mergeCell ref="L2:N2"/>
    <mergeCell ref="H1:N1"/>
    <mergeCell ref="C112:E112"/>
    <mergeCell ref="C113:E113"/>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601DF-CABC-2A4F-AE91-E12850AA2F95}">
  <dimension ref="A1:AK84"/>
  <sheetViews>
    <sheetView showGridLines="0" topLeftCell="H50" zoomScale="57" zoomScaleNormal="40" workbookViewId="0">
      <selection activeCell="M68" sqref="M68"/>
    </sheetView>
  </sheetViews>
  <sheetFormatPr baseColWidth="10" defaultRowHeight="16" x14ac:dyDescent="0.2"/>
  <cols>
    <col min="6" max="6" width="40" customWidth="1"/>
    <col min="7" max="7" width="51" customWidth="1"/>
    <col min="8" max="8" width="32.33203125" customWidth="1"/>
    <col min="9" max="9" width="12.33203125" customWidth="1"/>
    <col min="10" max="10" width="31.83203125" customWidth="1"/>
    <col min="11" max="11" width="42.83203125" customWidth="1"/>
    <col min="12" max="12" width="33.1640625" customWidth="1"/>
    <col min="13" max="13" width="42.5" bestFit="1" customWidth="1"/>
    <col min="14" max="14" width="25.83203125" customWidth="1"/>
    <col min="15" max="15" width="27.83203125" customWidth="1"/>
    <col min="16" max="16" width="14.83203125" bestFit="1" customWidth="1"/>
    <col min="17" max="17" width="29.33203125" customWidth="1"/>
    <col min="18" max="18" width="33.1640625" customWidth="1"/>
    <col min="19" max="19" width="31" bestFit="1" customWidth="1"/>
    <col min="22" max="22" width="62.1640625" bestFit="1" customWidth="1"/>
    <col min="23" max="23" width="20" bestFit="1" customWidth="1"/>
    <col min="24" max="24" width="21.6640625" bestFit="1" customWidth="1"/>
    <col min="25" max="25" width="31" bestFit="1" customWidth="1"/>
  </cols>
  <sheetData>
    <row r="1" spans="1:37" ht="16" customHeight="1" x14ac:dyDescent="0.2">
      <c r="A1" s="298" t="s">
        <v>1886</v>
      </c>
      <c r="B1" s="299"/>
      <c r="C1" s="299"/>
      <c r="D1" s="299"/>
      <c r="E1" s="299"/>
      <c r="F1" s="299"/>
      <c r="G1" s="299"/>
      <c r="H1" s="299"/>
      <c r="I1" s="299"/>
      <c r="J1" s="299"/>
      <c r="K1" s="294" t="s">
        <v>1859</v>
      </c>
      <c r="L1" s="294"/>
      <c r="M1" s="294"/>
      <c r="N1" s="294"/>
      <c r="O1" s="294"/>
      <c r="P1" s="294"/>
      <c r="Q1" s="294"/>
      <c r="R1" s="294"/>
      <c r="S1" s="301" t="s">
        <v>1902</v>
      </c>
      <c r="T1" s="301"/>
      <c r="U1" s="301"/>
      <c r="V1" s="301"/>
      <c r="W1" s="301" t="s">
        <v>1903</v>
      </c>
      <c r="X1" s="301"/>
      <c r="Y1" s="301"/>
      <c r="Z1" s="301"/>
    </row>
    <row r="2" spans="1:37" ht="16" customHeight="1" x14ac:dyDescent="0.2">
      <c r="A2" s="299"/>
      <c r="B2" s="299"/>
      <c r="C2" s="299"/>
      <c r="D2" s="299"/>
      <c r="E2" s="299"/>
      <c r="F2" s="299"/>
      <c r="G2" s="299"/>
      <c r="H2" s="299"/>
      <c r="I2" s="299"/>
      <c r="J2" s="299"/>
      <c r="K2" s="294"/>
      <c r="L2" s="294"/>
      <c r="M2" s="294"/>
      <c r="N2" s="294"/>
      <c r="O2" s="294"/>
      <c r="P2" s="294"/>
      <c r="Q2" s="294"/>
      <c r="R2" s="294"/>
      <c r="S2" s="301"/>
      <c r="T2" s="301"/>
      <c r="U2" s="301"/>
      <c r="V2" s="301"/>
      <c r="W2" s="301"/>
      <c r="X2" s="301"/>
      <c r="Y2" s="301"/>
      <c r="Z2" s="301"/>
    </row>
    <row r="3" spans="1:37" ht="16" customHeight="1" x14ac:dyDescent="0.2">
      <c r="A3" s="299"/>
      <c r="B3" s="299"/>
      <c r="C3" s="299"/>
      <c r="D3" s="299"/>
      <c r="E3" s="299"/>
      <c r="F3" s="299"/>
      <c r="G3" s="299"/>
      <c r="H3" s="299"/>
      <c r="I3" s="299"/>
      <c r="J3" s="299"/>
      <c r="K3" s="294"/>
      <c r="L3" s="294"/>
      <c r="M3" s="294"/>
      <c r="N3" s="294"/>
      <c r="O3" s="294"/>
      <c r="P3" s="294"/>
      <c r="Q3" s="294"/>
      <c r="R3" s="294"/>
      <c r="S3" s="301"/>
      <c r="T3" s="301"/>
      <c r="U3" s="301"/>
      <c r="V3" s="301"/>
      <c r="W3" s="301"/>
      <c r="X3" s="301"/>
      <c r="Y3" s="301"/>
      <c r="Z3" s="301"/>
    </row>
    <row r="4" spans="1:37" ht="16" customHeight="1" x14ac:dyDescent="0.2">
      <c r="A4" s="299"/>
      <c r="B4" s="299"/>
      <c r="C4" s="299"/>
      <c r="D4" s="299"/>
      <c r="E4" s="299"/>
      <c r="F4" s="299"/>
      <c r="G4" s="299"/>
      <c r="H4" s="299"/>
      <c r="I4" s="299"/>
      <c r="J4" s="299"/>
      <c r="K4" s="294"/>
      <c r="L4" s="294"/>
      <c r="M4" s="294"/>
      <c r="N4" s="294"/>
      <c r="O4" s="294"/>
      <c r="P4" s="294"/>
      <c r="Q4" s="294"/>
      <c r="R4" s="294"/>
      <c r="S4" s="301"/>
      <c r="T4" s="301"/>
      <c r="U4" s="301"/>
      <c r="V4" s="301"/>
      <c r="W4" s="301"/>
      <c r="X4" s="301"/>
      <c r="Y4" s="301"/>
      <c r="Z4" s="301"/>
    </row>
    <row r="5" spans="1:37" ht="46" customHeight="1" x14ac:dyDescent="0.2">
      <c r="A5" s="299"/>
      <c r="B5" s="299"/>
      <c r="C5" s="299"/>
      <c r="D5" s="299"/>
      <c r="E5" s="299"/>
      <c r="F5" s="299"/>
      <c r="G5" s="299"/>
      <c r="H5" s="299"/>
      <c r="I5" s="299"/>
      <c r="J5" s="299"/>
      <c r="K5" s="294"/>
      <c r="L5" s="294"/>
      <c r="M5" s="294"/>
      <c r="N5" s="294"/>
      <c r="O5" s="294"/>
      <c r="P5" s="294"/>
      <c r="Q5" s="294"/>
      <c r="R5" s="294"/>
      <c r="S5" s="301"/>
      <c r="T5" s="301"/>
      <c r="U5" s="301"/>
      <c r="V5" s="301"/>
      <c r="W5" s="301" t="s">
        <v>1904</v>
      </c>
      <c r="X5" s="301"/>
      <c r="Y5" s="301"/>
      <c r="Z5" s="301"/>
    </row>
    <row r="6" spans="1:37" ht="16" customHeight="1" x14ac:dyDescent="0.2">
      <c r="A6" s="299"/>
      <c r="B6" s="299"/>
      <c r="C6" s="299"/>
      <c r="D6" s="299"/>
      <c r="E6" s="299"/>
      <c r="F6" s="299"/>
      <c r="G6" s="299"/>
      <c r="H6" s="299"/>
      <c r="I6" s="299"/>
      <c r="J6" s="299"/>
      <c r="K6" s="294"/>
      <c r="L6" s="294"/>
      <c r="M6" s="294"/>
      <c r="N6" s="294"/>
      <c r="O6" s="294"/>
      <c r="P6" s="294"/>
      <c r="Q6" s="294"/>
      <c r="R6" s="294"/>
      <c r="S6" s="301" t="s">
        <v>1773</v>
      </c>
      <c r="T6" s="301"/>
      <c r="U6" s="301"/>
      <c r="V6" s="301"/>
      <c r="W6" s="325" t="s">
        <v>1905</v>
      </c>
      <c r="X6" s="325"/>
      <c r="Y6" s="325"/>
      <c r="Z6" s="325"/>
    </row>
    <row r="7" spans="1:37" ht="16" customHeight="1" x14ac:dyDescent="0.2">
      <c r="A7" s="299"/>
      <c r="B7" s="299"/>
      <c r="C7" s="299"/>
      <c r="D7" s="299"/>
      <c r="E7" s="299"/>
      <c r="F7" s="299"/>
      <c r="G7" s="299"/>
      <c r="H7" s="299"/>
      <c r="I7" s="299"/>
      <c r="J7" s="299"/>
      <c r="K7" s="295" t="s">
        <v>1789</v>
      </c>
      <c r="L7" s="295"/>
      <c r="M7" s="295"/>
      <c r="N7" s="295"/>
      <c r="O7" s="295"/>
      <c r="P7" s="295"/>
      <c r="Q7" s="295"/>
      <c r="R7" s="295"/>
      <c r="S7" s="301"/>
      <c r="T7" s="301"/>
      <c r="U7" s="301"/>
      <c r="V7" s="301"/>
      <c r="W7" s="325"/>
      <c r="X7" s="325"/>
      <c r="Y7" s="325"/>
      <c r="Z7" s="325"/>
    </row>
    <row r="8" spans="1:37" ht="60" customHeight="1" x14ac:dyDescent="0.2">
      <c r="A8" s="299"/>
      <c r="B8" s="299"/>
      <c r="C8" s="299"/>
      <c r="D8" s="299"/>
      <c r="E8" s="299"/>
      <c r="F8" s="299"/>
      <c r="G8" s="299"/>
      <c r="H8" s="299"/>
      <c r="I8" s="299"/>
      <c r="J8" s="299"/>
      <c r="K8" s="295"/>
      <c r="L8" s="295"/>
      <c r="M8" s="295"/>
      <c r="N8" s="295"/>
      <c r="O8" s="295"/>
      <c r="P8" s="295"/>
      <c r="Q8" s="295"/>
      <c r="R8" s="295"/>
      <c r="S8" s="301"/>
      <c r="T8" s="301"/>
      <c r="U8" s="301"/>
      <c r="V8" s="301"/>
      <c r="W8" s="325"/>
      <c r="X8" s="325"/>
      <c r="Y8" s="325"/>
      <c r="Z8" s="325"/>
    </row>
    <row r="9" spans="1:37" ht="34" x14ac:dyDescent="0.4">
      <c r="A9" s="231"/>
      <c r="B9" s="231"/>
      <c r="C9" s="231"/>
      <c r="D9" s="231"/>
      <c r="E9" s="16"/>
      <c r="F9" s="300"/>
      <c r="G9" s="300"/>
      <c r="H9" s="300"/>
      <c r="I9" s="300"/>
      <c r="J9" s="300"/>
      <c r="K9" s="16"/>
      <c r="L9" s="16"/>
      <c r="M9" s="16"/>
      <c r="N9" s="16"/>
      <c r="O9" s="16"/>
      <c r="P9" s="16"/>
      <c r="Q9" s="16"/>
      <c r="R9" s="16"/>
      <c r="S9" s="16"/>
      <c r="T9" s="16"/>
      <c r="U9" s="16"/>
      <c r="V9" s="16"/>
      <c r="W9" s="16"/>
      <c r="X9" s="16"/>
      <c r="Y9" s="16"/>
      <c r="Z9" s="16"/>
      <c r="AH9" s="62"/>
      <c r="AI9" s="62"/>
      <c r="AJ9" s="62"/>
      <c r="AK9" s="62"/>
    </row>
    <row r="10" spans="1:37" x14ac:dyDescent="0.2">
      <c r="A10" s="231"/>
      <c r="B10" s="231"/>
      <c r="C10" s="231"/>
      <c r="D10" s="231"/>
      <c r="E10" s="16"/>
      <c r="F10" s="16"/>
      <c r="G10" s="19"/>
      <c r="H10" s="19"/>
      <c r="I10" s="19"/>
      <c r="J10" s="19"/>
      <c r="K10" s="16"/>
      <c r="L10" s="16"/>
      <c r="M10" s="16"/>
      <c r="N10" s="16"/>
      <c r="O10" s="16"/>
      <c r="P10" s="16"/>
      <c r="Q10" s="16"/>
      <c r="R10" s="16"/>
      <c r="S10" s="16"/>
      <c r="T10" s="16"/>
      <c r="U10" s="16"/>
      <c r="V10" s="16"/>
      <c r="W10" s="16"/>
      <c r="X10" s="16"/>
      <c r="Y10" s="16"/>
      <c r="Z10" s="16"/>
      <c r="AH10" s="62"/>
      <c r="AI10" s="62"/>
      <c r="AJ10" s="62"/>
      <c r="AK10" s="62"/>
    </row>
    <row r="11" spans="1:37" ht="37" x14ac:dyDescent="0.45">
      <c r="A11" s="231"/>
      <c r="B11" s="231"/>
      <c r="C11" s="231"/>
      <c r="D11" s="231"/>
      <c r="E11" s="16"/>
      <c r="F11" s="16"/>
      <c r="G11" s="111"/>
      <c r="H11" s="111"/>
      <c r="I11" s="111"/>
      <c r="J11" s="111"/>
      <c r="K11" s="16"/>
      <c r="L11" s="16"/>
      <c r="M11" s="16"/>
      <c r="N11" s="292"/>
      <c r="O11" s="292"/>
      <c r="P11" s="292"/>
      <c r="Q11" s="16"/>
      <c r="R11" s="16"/>
      <c r="S11" s="16"/>
      <c r="T11" s="16"/>
      <c r="U11" s="16"/>
      <c r="V11" s="16"/>
      <c r="W11" s="16"/>
      <c r="X11" s="16"/>
      <c r="Y11" s="16"/>
      <c r="Z11" s="16"/>
      <c r="AH11" s="62"/>
      <c r="AI11" s="62"/>
      <c r="AJ11" s="62"/>
      <c r="AK11" s="62"/>
    </row>
    <row r="12" spans="1:37" ht="77" customHeight="1" x14ac:dyDescent="0.75">
      <c r="A12" s="231"/>
      <c r="B12" s="231"/>
      <c r="C12" s="231"/>
      <c r="D12" s="231"/>
      <c r="E12" s="16"/>
      <c r="F12" s="16"/>
      <c r="G12" s="106"/>
      <c r="H12" s="106"/>
      <c r="I12" s="106"/>
      <c r="J12" s="106"/>
      <c r="K12" s="16"/>
      <c r="L12" s="16"/>
      <c r="M12" s="16"/>
      <c r="N12" s="297"/>
      <c r="O12" s="297"/>
      <c r="P12" s="297"/>
      <c r="Q12" s="16"/>
      <c r="R12" s="16"/>
      <c r="S12" s="16"/>
      <c r="T12" s="16"/>
      <c r="U12" s="16"/>
      <c r="V12" s="16"/>
      <c r="W12" s="16"/>
      <c r="X12" s="16"/>
      <c r="Y12" s="16"/>
      <c r="Z12" s="16"/>
      <c r="AH12" s="62"/>
      <c r="AI12" s="62"/>
      <c r="AJ12" s="62"/>
      <c r="AK12" s="62"/>
    </row>
    <row r="13" spans="1:37" x14ac:dyDescent="0.2">
      <c r="A13" s="231"/>
      <c r="B13" s="231"/>
      <c r="C13" s="231"/>
      <c r="D13" s="231"/>
      <c r="E13" s="16"/>
      <c r="F13" s="16"/>
      <c r="G13" s="16"/>
      <c r="H13" s="16"/>
      <c r="I13" s="16"/>
      <c r="J13" s="16"/>
      <c r="K13" s="16"/>
      <c r="L13" s="16"/>
      <c r="M13" s="16"/>
      <c r="N13" s="16"/>
      <c r="O13" s="16"/>
      <c r="P13" s="16"/>
      <c r="Q13" s="16"/>
      <c r="R13" s="16"/>
      <c r="S13" s="16"/>
      <c r="T13" s="16"/>
      <c r="U13" s="16"/>
      <c r="V13" s="16"/>
      <c r="W13" s="16"/>
      <c r="X13" s="16"/>
      <c r="Y13" s="16"/>
      <c r="Z13" s="16"/>
      <c r="AH13" s="62"/>
      <c r="AI13" s="62"/>
      <c r="AJ13" s="62"/>
      <c r="AK13" s="62"/>
    </row>
    <row r="14" spans="1:37" x14ac:dyDescent="0.2">
      <c r="A14" s="231"/>
      <c r="B14" s="231"/>
      <c r="C14" s="231"/>
      <c r="D14" s="231"/>
      <c r="E14" s="16"/>
      <c r="F14" s="16"/>
      <c r="G14" s="16"/>
      <c r="H14" s="16"/>
      <c r="I14" s="16"/>
      <c r="J14" s="16"/>
      <c r="K14" s="16"/>
      <c r="L14" s="16"/>
      <c r="M14" s="16"/>
      <c r="N14" s="16"/>
      <c r="O14" s="16"/>
      <c r="P14" s="16"/>
      <c r="Q14" s="16"/>
      <c r="R14" s="16"/>
      <c r="S14" s="16"/>
      <c r="T14" s="16"/>
      <c r="U14" s="16"/>
      <c r="V14" s="16"/>
      <c r="W14" s="16"/>
      <c r="X14" s="16"/>
      <c r="Y14" s="16"/>
      <c r="Z14" s="16"/>
      <c r="AH14" s="62"/>
      <c r="AI14" s="62"/>
      <c r="AJ14" s="62"/>
      <c r="AK14" s="62"/>
    </row>
    <row r="15" spans="1:37" ht="37" x14ac:dyDescent="0.45">
      <c r="A15" s="231"/>
      <c r="B15" s="231"/>
      <c r="C15" s="231"/>
      <c r="D15" s="231"/>
      <c r="E15" s="16"/>
      <c r="F15" s="113"/>
      <c r="G15" s="113"/>
      <c r="H15" s="113"/>
      <c r="I15" s="113"/>
      <c r="J15" s="113"/>
      <c r="K15" s="16"/>
      <c r="L15" s="16"/>
      <c r="M15" s="16"/>
      <c r="N15" s="111"/>
      <c r="O15" s="111"/>
      <c r="P15" s="111"/>
      <c r="Q15" s="16"/>
      <c r="R15" s="16"/>
      <c r="S15" s="16"/>
      <c r="T15" s="16"/>
      <c r="U15" s="16"/>
      <c r="V15" s="16"/>
      <c r="W15" s="16"/>
      <c r="X15" s="16"/>
      <c r="Y15" s="16"/>
      <c r="Z15" s="16"/>
      <c r="AH15" s="62"/>
      <c r="AI15" s="62"/>
      <c r="AJ15" s="62"/>
      <c r="AK15" s="62"/>
    </row>
    <row r="16" spans="1:37" ht="63" x14ac:dyDescent="0.75">
      <c r="A16" s="231"/>
      <c r="B16" s="231"/>
      <c r="C16" s="231"/>
      <c r="D16" s="231"/>
      <c r="E16" s="16"/>
      <c r="F16" s="106"/>
      <c r="G16" s="103" t="s">
        <v>1835</v>
      </c>
      <c r="H16" s="106"/>
      <c r="I16" s="106"/>
      <c r="J16" s="296" t="s">
        <v>1732</v>
      </c>
      <c r="K16" s="296"/>
      <c r="L16" s="296"/>
      <c r="M16" s="296"/>
      <c r="N16" s="296"/>
      <c r="O16" s="296"/>
      <c r="P16" s="296"/>
      <c r="Q16" s="296"/>
      <c r="R16" s="296"/>
      <c r="S16" s="296"/>
      <c r="T16" s="16"/>
      <c r="U16" s="16"/>
      <c r="V16" s="16"/>
      <c r="W16" s="16"/>
      <c r="X16" s="16"/>
      <c r="Y16" s="16"/>
      <c r="Z16" s="16"/>
      <c r="AH16" s="62"/>
      <c r="AI16" s="62"/>
      <c r="AJ16" s="62"/>
      <c r="AK16" s="62"/>
    </row>
    <row r="17" spans="1:26" ht="63" x14ac:dyDescent="0.75">
      <c r="A17" s="159"/>
      <c r="B17" s="159"/>
      <c r="C17" s="159"/>
      <c r="D17" s="159"/>
      <c r="E17" s="226"/>
      <c r="F17" s="16"/>
      <c r="G17" s="105"/>
      <c r="H17" s="105"/>
      <c r="I17" s="105"/>
      <c r="T17" s="16"/>
      <c r="U17" s="231"/>
      <c r="V17" s="231"/>
      <c r="W17" s="231"/>
      <c r="X17" s="231"/>
      <c r="Y17" s="231"/>
      <c r="Z17" s="16"/>
    </row>
    <row r="18" spans="1:26" x14ac:dyDescent="0.2">
      <c r="A18" s="159"/>
      <c r="B18" s="159"/>
      <c r="C18" s="159"/>
      <c r="D18" s="159"/>
      <c r="E18" s="226"/>
      <c r="F18" s="16"/>
      <c r="G18" s="16"/>
      <c r="H18" s="16"/>
      <c r="I18" s="16"/>
      <c r="T18" s="16"/>
      <c r="U18" s="231"/>
      <c r="V18" s="231"/>
      <c r="W18" s="231"/>
      <c r="X18" s="231"/>
      <c r="Y18" s="231"/>
      <c r="Z18" s="16"/>
    </row>
    <row r="19" spans="1:26" ht="37" x14ac:dyDescent="0.45">
      <c r="A19" s="159"/>
      <c r="B19" s="159"/>
      <c r="C19" s="159"/>
      <c r="D19" s="159"/>
      <c r="E19" s="226"/>
      <c r="F19" s="111"/>
      <c r="G19" s="111"/>
      <c r="H19" s="111"/>
      <c r="I19" s="111"/>
      <c r="T19" s="16"/>
      <c r="U19" s="231"/>
      <c r="V19" s="231"/>
      <c r="W19" s="231"/>
      <c r="X19" s="231"/>
      <c r="Y19" s="231"/>
      <c r="Z19" s="16"/>
    </row>
    <row r="20" spans="1:26" ht="63" x14ac:dyDescent="0.2">
      <c r="A20" s="159"/>
      <c r="B20" s="159"/>
      <c r="C20" s="159"/>
      <c r="D20" s="159"/>
      <c r="E20" s="226"/>
      <c r="F20" s="189"/>
      <c r="G20" s="189"/>
      <c r="H20" s="189"/>
      <c r="I20" s="189"/>
      <c r="T20" s="16"/>
      <c r="U20" s="231"/>
      <c r="V20" s="231"/>
      <c r="W20" s="231"/>
      <c r="X20" s="231"/>
      <c r="Y20" s="231"/>
      <c r="Z20" s="16"/>
    </row>
    <row r="21" spans="1:26" ht="63" x14ac:dyDescent="0.75">
      <c r="A21" s="159"/>
      <c r="B21" s="159"/>
      <c r="C21" s="159"/>
      <c r="D21" s="159"/>
      <c r="E21" s="226"/>
      <c r="F21" s="16"/>
      <c r="G21" s="107"/>
      <c r="H21" s="107"/>
      <c r="I21" s="107"/>
      <c r="T21" s="16"/>
      <c r="U21" s="231"/>
      <c r="V21" s="231"/>
      <c r="W21" s="231"/>
      <c r="X21" s="231"/>
      <c r="Y21" s="231"/>
      <c r="Z21" s="16"/>
    </row>
    <row r="22" spans="1:26" ht="16" customHeight="1" x14ac:dyDescent="0.2">
      <c r="A22" s="159"/>
      <c r="B22" s="159"/>
      <c r="C22" s="159"/>
      <c r="D22" s="159"/>
      <c r="E22" s="226"/>
      <c r="F22" s="16"/>
      <c r="G22" s="16"/>
      <c r="H22" s="16"/>
      <c r="I22" s="16"/>
      <c r="T22" s="16"/>
      <c r="U22" s="231"/>
      <c r="V22" s="231"/>
      <c r="W22" s="231"/>
      <c r="X22" s="231"/>
      <c r="Y22" s="231"/>
      <c r="Z22" s="16"/>
    </row>
    <row r="23" spans="1:26" x14ac:dyDescent="0.2">
      <c r="A23" s="159"/>
      <c r="B23" s="159"/>
      <c r="C23" s="159"/>
      <c r="D23" s="159"/>
      <c r="E23" s="226"/>
      <c r="F23" s="16"/>
      <c r="G23" s="16"/>
      <c r="H23" s="16"/>
      <c r="I23" s="16"/>
      <c r="T23" s="16"/>
      <c r="U23" s="231"/>
      <c r="V23" s="231"/>
      <c r="W23" s="231"/>
      <c r="X23" s="231"/>
      <c r="Y23" s="231"/>
      <c r="Z23" s="16"/>
    </row>
    <row r="24" spans="1:26" x14ac:dyDescent="0.2">
      <c r="A24" s="231"/>
      <c r="B24" s="231"/>
      <c r="C24" s="231"/>
      <c r="D24" s="231"/>
      <c r="E24" s="226"/>
      <c r="F24" s="16"/>
      <c r="G24" s="16"/>
      <c r="H24" s="16"/>
      <c r="I24" s="16"/>
      <c r="T24" s="16"/>
      <c r="U24" s="231"/>
      <c r="V24" s="231"/>
      <c r="W24" s="231"/>
      <c r="X24" s="231"/>
      <c r="Y24" s="231"/>
      <c r="Z24" s="16"/>
    </row>
    <row r="25" spans="1:26" x14ac:dyDescent="0.2">
      <c r="A25" s="231"/>
      <c r="B25" s="231"/>
      <c r="C25" s="231"/>
      <c r="D25" s="231"/>
      <c r="E25" s="226"/>
      <c r="F25" s="16"/>
      <c r="G25" s="16"/>
      <c r="H25" s="16"/>
      <c r="I25" s="16"/>
      <c r="T25" s="16"/>
      <c r="U25" s="231"/>
      <c r="V25" s="231"/>
      <c r="W25" s="231"/>
      <c r="X25" s="231"/>
      <c r="Y25" s="231"/>
      <c r="Z25" s="16"/>
    </row>
    <row r="26" spans="1:26" x14ac:dyDescent="0.2">
      <c r="A26" s="231"/>
      <c r="B26" s="231"/>
      <c r="C26" s="231"/>
      <c r="D26" s="231"/>
      <c r="E26" s="226"/>
      <c r="F26" s="16"/>
      <c r="G26" s="16"/>
      <c r="H26" s="16"/>
      <c r="I26" s="16"/>
      <c r="T26" s="16"/>
      <c r="U26" s="231"/>
      <c r="V26" s="231"/>
      <c r="W26" s="231"/>
      <c r="X26" s="231"/>
      <c r="Y26" s="231"/>
      <c r="Z26" s="16"/>
    </row>
    <row r="27" spans="1:26" x14ac:dyDescent="0.2">
      <c r="A27" s="231"/>
      <c r="B27" s="231"/>
      <c r="C27" s="231"/>
      <c r="D27" s="231"/>
      <c r="E27" s="226"/>
      <c r="F27" s="16"/>
      <c r="G27" s="16"/>
      <c r="H27" s="16"/>
      <c r="I27" s="16"/>
      <c r="T27" s="16"/>
      <c r="U27" s="231"/>
      <c r="V27" s="231"/>
      <c r="W27" s="231"/>
      <c r="X27" s="231"/>
      <c r="Y27" s="231"/>
      <c r="Z27" s="16"/>
    </row>
    <row r="28" spans="1:26" ht="16" customHeight="1" x14ac:dyDescent="0.2">
      <c r="A28" s="231"/>
      <c r="B28" s="231"/>
      <c r="C28" s="231"/>
      <c r="D28" s="231"/>
      <c r="E28" s="226"/>
      <c r="F28" s="16"/>
      <c r="G28" s="16"/>
      <c r="H28" s="16"/>
      <c r="I28" s="16"/>
      <c r="T28" s="16"/>
      <c r="U28" s="231"/>
      <c r="V28" s="231"/>
      <c r="W28" s="231"/>
      <c r="X28" s="231"/>
      <c r="Y28" s="231"/>
      <c r="Z28" s="16"/>
    </row>
    <row r="29" spans="1:26" ht="16" customHeight="1" x14ac:dyDescent="0.2">
      <c r="A29" s="231"/>
      <c r="B29" s="231"/>
      <c r="C29" s="231"/>
      <c r="D29" s="231"/>
      <c r="E29" s="226"/>
      <c r="F29" s="16"/>
      <c r="G29" s="16"/>
      <c r="H29" s="16"/>
      <c r="I29" s="16"/>
      <c r="T29" s="16"/>
      <c r="U29" s="231"/>
      <c r="V29" s="231"/>
      <c r="W29" s="231"/>
      <c r="X29" s="231"/>
      <c r="Y29" s="231"/>
      <c r="Z29" s="16"/>
    </row>
    <row r="30" spans="1:26" ht="16" customHeight="1" x14ac:dyDescent="0.2">
      <c r="A30" s="231"/>
      <c r="B30" s="231"/>
      <c r="C30" s="231"/>
      <c r="D30" s="231"/>
      <c r="E30" s="226"/>
      <c r="F30" s="16"/>
      <c r="G30" s="16"/>
      <c r="H30" s="16"/>
      <c r="I30" s="16"/>
      <c r="T30" s="16"/>
      <c r="U30" s="231"/>
      <c r="V30" s="231"/>
      <c r="W30" s="231"/>
      <c r="X30" s="231"/>
      <c r="Y30" s="231"/>
      <c r="Z30" s="16"/>
    </row>
    <row r="31" spans="1:26" ht="42" customHeight="1" x14ac:dyDescent="0.2">
      <c r="A31" s="231"/>
      <c r="B31" s="231"/>
      <c r="C31" s="231"/>
      <c r="D31" s="231"/>
      <c r="E31" s="226"/>
      <c r="F31" s="16"/>
      <c r="G31" s="16"/>
      <c r="H31" s="16"/>
      <c r="I31" s="16"/>
      <c r="T31" s="16"/>
      <c r="U31" s="231"/>
      <c r="V31" s="231"/>
      <c r="W31" s="231"/>
      <c r="X31" s="231"/>
      <c r="Y31" s="231"/>
      <c r="Z31" s="16"/>
    </row>
    <row r="32" spans="1:26" x14ac:dyDescent="0.2">
      <c r="A32" s="231"/>
      <c r="B32" s="231"/>
      <c r="C32" s="231"/>
      <c r="D32" s="231"/>
      <c r="E32" s="226"/>
      <c r="F32" s="16"/>
      <c r="G32" s="16"/>
      <c r="H32" s="16"/>
      <c r="I32" s="16"/>
      <c r="T32" s="16"/>
      <c r="U32" s="231"/>
      <c r="V32" s="231"/>
      <c r="W32" s="231"/>
      <c r="X32" s="231"/>
      <c r="Y32" s="231"/>
      <c r="Z32" s="16"/>
    </row>
    <row r="33" spans="1:26" x14ac:dyDescent="0.2">
      <c r="A33" s="231"/>
      <c r="B33" s="231"/>
      <c r="C33" s="231"/>
      <c r="D33" s="231"/>
      <c r="E33" s="226"/>
      <c r="F33" s="16"/>
      <c r="G33" s="16"/>
      <c r="H33" s="16"/>
      <c r="I33" s="16"/>
      <c r="T33" s="16"/>
      <c r="U33" s="231"/>
      <c r="V33" s="231"/>
      <c r="W33" s="231"/>
      <c r="X33" s="231"/>
      <c r="Y33" s="231"/>
      <c r="Z33" s="16"/>
    </row>
    <row r="34" spans="1:26" x14ac:dyDescent="0.2">
      <c r="A34" s="231"/>
      <c r="B34" s="231"/>
      <c r="C34" s="231"/>
      <c r="D34" s="231"/>
      <c r="E34" s="226"/>
      <c r="F34" s="16"/>
      <c r="G34" s="16"/>
      <c r="H34" s="16"/>
      <c r="I34" s="16"/>
      <c r="T34" s="16"/>
      <c r="U34" s="231"/>
      <c r="V34" s="231"/>
      <c r="W34" s="231"/>
      <c r="X34" s="231"/>
      <c r="Y34" s="231"/>
      <c r="Z34" s="16"/>
    </row>
    <row r="35" spans="1:26" x14ac:dyDescent="0.2">
      <c r="A35" s="231"/>
      <c r="B35" s="231"/>
      <c r="C35" s="231"/>
      <c r="D35" s="231"/>
      <c r="E35" s="226"/>
      <c r="F35" s="16"/>
      <c r="G35" s="16"/>
      <c r="H35" s="16"/>
      <c r="I35" s="16"/>
      <c r="T35" s="16"/>
      <c r="U35" s="16"/>
      <c r="V35" s="16"/>
      <c r="W35" s="16"/>
      <c r="X35" s="16"/>
      <c r="Y35" s="16"/>
      <c r="Z35" s="16"/>
    </row>
    <row r="36" spans="1:26" x14ac:dyDescent="0.2">
      <c r="A36" s="231"/>
      <c r="B36" s="231"/>
      <c r="C36" s="231"/>
      <c r="D36" s="231"/>
      <c r="E36" s="226"/>
      <c r="F36" s="16"/>
      <c r="G36" s="16"/>
      <c r="H36" s="16"/>
      <c r="I36" s="16"/>
      <c r="T36" s="16"/>
      <c r="U36" s="16"/>
      <c r="V36" s="16"/>
      <c r="W36" s="16"/>
      <c r="X36" s="16"/>
      <c r="Y36" s="16"/>
      <c r="Z36" s="16"/>
    </row>
    <row r="37" spans="1:26" x14ac:dyDescent="0.2">
      <c r="A37" s="231"/>
      <c r="B37" s="231"/>
      <c r="C37" s="231"/>
      <c r="D37" s="231"/>
      <c r="E37" s="226"/>
      <c r="F37" s="16"/>
      <c r="G37" s="16"/>
      <c r="H37" s="16"/>
      <c r="I37" s="16"/>
      <c r="T37" s="16"/>
      <c r="U37" s="16"/>
      <c r="V37" s="16"/>
      <c r="W37" s="16"/>
      <c r="X37" s="16"/>
      <c r="Y37" s="16"/>
      <c r="Z37" s="16"/>
    </row>
    <row r="38" spans="1:26" ht="63" x14ac:dyDescent="0.75">
      <c r="A38" s="231"/>
      <c r="B38" s="231"/>
      <c r="C38" s="231"/>
      <c r="D38" s="231"/>
      <c r="E38" s="226"/>
      <c r="F38" s="16"/>
      <c r="G38" s="16"/>
      <c r="H38" s="16"/>
      <c r="I38" s="16"/>
      <c r="N38" s="48"/>
      <c r="O38" s="48"/>
      <c r="P38" s="48"/>
      <c r="Q38" s="204"/>
      <c r="R38" s="204"/>
      <c r="S38" s="204"/>
      <c r="T38" s="16"/>
      <c r="U38" s="16"/>
      <c r="V38" s="16"/>
      <c r="W38" s="16"/>
      <c r="X38" s="16"/>
      <c r="Y38" s="16"/>
      <c r="Z38" s="16"/>
    </row>
    <row r="39" spans="1:26" ht="22" x14ac:dyDescent="0.3">
      <c r="A39" s="231"/>
      <c r="B39" s="231"/>
      <c r="C39" s="231"/>
      <c r="D39" s="231"/>
      <c r="E39" s="226"/>
      <c r="F39" s="16"/>
      <c r="G39" s="16"/>
      <c r="H39" s="16"/>
      <c r="I39" s="16"/>
      <c r="J39" s="9"/>
      <c r="T39" s="16"/>
      <c r="U39" s="16"/>
      <c r="V39" s="16"/>
      <c r="W39" s="16"/>
      <c r="X39" s="16"/>
      <c r="Y39" s="16"/>
      <c r="Z39" s="16"/>
    </row>
    <row r="40" spans="1:26" x14ac:dyDescent="0.2">
      <c r="A40" s="231"/>
      <c r="B40" s="231"/>
      <c r="C40" s="231"/>
      <c r="D40" s="231"/>
      <c r="E40" s="226"/>
      <c r="F40" s="16"/>
      <c r="G40" s="16"/>
      <c r="H40" s="16"/>
      <c r="I40" s="16"/>
      <c r="T40" s="16"/>
      <c r="U40" s="16"/>
      <c r="V40" s="16"/>
      <c r="W40" s="16"/>
      <c r="X40" s="16"/>
      <c r="Y40" s="16"/>
      <c r="Z40" s="16"/>
    </row>
    <row r="41" spans="1:26" x14ac:dyDescent="0.2">
      <c r="A41" s="231"/>
      <c r="B41" s="231"/>
      <c r="C41" s="231"/>
      <c r="D41" s="231"/>
      <c r="E41" s="226"/>
      <c r="F41" s="16"/>
      <c r="G41" s="16"/>
      <c r="H41" s="16"/>
      <c r="I41" s="16"/>
      <c r="T41" s="16"/>
      <c r="U41" s="16"/>
      <c r="V41" s="16"/>
      <c r="W41" s="16"/>
      <c r="X41" s="16"/>
      <c r="Y41" s="16"/>
      <c r="Z41" s="16"/>
    </row>
    <row r="42" spans="1:26" x14ac:dyDescent="0.2">
      <c r="A42" s="231"/>
      <c r="B42" s="231"/>
      <c r="C42" s="231"/>
      <c r="D42" s="231"/>
      <c r="E42" s="226"/>
      <c r="F42" s="16"/>
      <c r="G42" s="16"/>
      <c r="H42" s="16"/>
      <c r="I42" s="16"/>
      <c r="T42" s="16"/>
      <c r="U42" s="16"/>
      <c r="V42" s="16"/>
      <c r="W42" s="16"/>
      <c r="X42" s="16"/>
      <c r="Y42" s="16"/>
      <c r="Z42" s="16"/>
    </row>
    <row r="43" spans="1:26" x14ac:dyDescent="0.2">
      <c r="A43" s="231"/>
      <c r="B43" s="231"/>
      <c r="C43" s="231"/>
      <c r="D43" s="231"/>
      <c r="E43" s="226"/>
      <c r="F43" s="16"/>
      <c r="G43" s="16"/>
      <c r="H43" s="16"/>
      <c r="I43" s="16"/>
      <c r="T43" s="16"/>
      <c r="U43" s="16"/>
      <c r="V43" s="16"/>
      <c r="W43" s="16"/>
      <c r="X43" s="16"/>
      <c r="Y43" s="16"/>
      <c r="Z43" s="16"/>
    </row>
    <row r="44" spans="1:26" x14ac:dyDescent="0.2">
      <c r="A44" s="231"/>
      <c r="B44" s="231"/>
      <c r="C44" s="231"/>
      <c r="D44" s="231"/>
      <c r="E44" s="226"/>
      <c r="F44" s="16"/>
      <c r="G44" s="16"/>
      <c r="H44" s="16"/>
      <c r="I44" s="16"/>
      <c r="T44" s="16"/>
      <c r="U44" s="16"/>
      <c r="V44" s="16"/>
      <c r="W44" s="16"/>
      <c r="X44" s="16"/>
      <c r="Y44" s="16"/>
      <c r="Z44" s="16"/>
    </row>
    <row r="45" spans="1:26" x14ac:dyDescent="0.2">
      <c r="A45" s="231"/>
      <c r="B45" s="231"/>
      <c r="C45" s="231"/>
      <c r="D45" s="231"/>
      <c r="E45" s="226"/>
      <c r="F45" s="16"/>
      <c r="G45" s="16"/>
      <c r="H45" s="16"/>
      <c r="I45" s="16"/>
      <c r="T45" s="16"/>
      <c r="U45" s="16"/>
      <c r="V45" s="16"/>
      <c r="W45" s="16"/>
      <c r="X45" s="16"/>
      <c r="Y45" s="16"/>
      <c r="Z45" s="16"/>
    </row>
    <row r="46" spans="1:26" x14ac:dyDescent="0.2">
      <c r="A46" s="231"/>
      <c r="B46" s="231"/>
      <c r="C46" s="231"/>
      <c r="D46" s="231"/>
      <c r="E46" s="226"/>
      <c r="F46" s="16"/>
      <c r="G46" s="16"/>
      <c r="H46" s="16"/>
      <c r="I46" s="16"/>
      <c r="T46" s="16"/>
      <c r="U46" s="16"/>
      <c r="V46" s="16"/>
      <c r="W46" s="16"/>
      <c r="X46" s="16"/>
      <c r="Y46" s="16"/>
      <c r="Z46" s="16"/>
    </row>
    <row r="47" spans="1:26" x14ac:dyDescent="0.2">
      <c r="A47" s="231"/>
      <c r="B47" s="231"/>
      <c r="C47" s="231"/>
      <c r="D47" s="231"/>
      <c r="E47" s="226"/>
      <c r="F47" s="16"/>
      <c r="G47" s="16"/>
      <c r="H47" s="16"/>
      <c r="I47" s="16"/>
      <c r="T47" s="16"/>
      <c r="U47" s="16"/>
      <c r="V47" s="16"/>
      <c r="W47" s="16"/>
      <c r="X47" s="16"/>
      <c r="Y47" s="16"/>
      <c r="Z47" s="16"/>
    </row>
    <row r="48" spans="1:26" x14ac:dyDescent="0.2">
      <c r="A48" s="231"/>
      <c r="B48" s="231"/>
      <c r="C48" s="231"/>
      <c r="D48" s="231"/>
      <c r="E48" s="226"/>
      <c r="F48" s="16"/>
      <c r="G48" s="16"/>
      <c r="H48" s="16"/>
      <c r="I48" s="16"/>
      <c r="T48" s="16"/>
      <c r="U48" s="16"/>
      <c r="V48" s="16"/>
      <c r="W48" s="16"/>
      <c r="X48" s="16"/>
      <c r="Y48" s="16"/>
      <c r="Z48" s="16"/>
    </row>
    <row r="49" spans="1:26" x14ac:dyDescent="0.2">
      <c r="A49" s="231"/>
      <c r="B49" s="231"/>
      <c r="C49" s="231"/>
      <c r="D49" s="231"/>
      <c r="E49" s="226"/>
      <c r="F49" s="16"/>
      <c r="G49" s="16"/>
      <c r="H49" s="16"/>
      <c r="I49" s="16"/>
      <c r="T49" s="16"/>
      <c r="U49" s="16"/>
      <c r="V49" s="16"/>
      <c r="W49" s="16"/>
      <c r="X49" s="16"/>
      <c r="Y49" s="16"/>
      <c r="Z49" s="16"/>
    </row>
    <row r="50" spans="1:26" x14ac:dyDescent="0.2">
      <c r="A50" s="231"/>
      <c r="B50" s="231"/>
      <c r="C50" s="231"/>
      <c r="D50" s="231"/>
      <c r="E50" s="226"/>
      <c r="F50" s="16"/>
      <c r="G50" s="16"/>
      <c r="H50" s="16"/>
      <c r="I50" s="16"/>
      <c r="T50" s="16"/>
      <c r="U50" s="16"/>
      <c r="V50" s="16"/>
      <c r="W50" s="16"/>
      <c r="X50" s="16"/>
      <c r="Y50" s="16"/>
      <c r="Z50" s="16"/>
    </row>
    <row r="51" spans="1:26" x14ac:dyDescent="0.2">
      <c r="A51" s="231"/>
      <c r="B51" s="231"/>
      <c r="C51" s="231"/>
      <c r="D51" s="231"/>
      <c r="E51" s="226"/>
      <c r="F51" s="16"/>
      <c r="G51" s="16"/>
      <c r="H51" s="16"/>
      <c r="I51" s="16"/>
      <c r="J51" s="16"/>
      <c r="K51" s="16"/>
      <c r="L51" s="16"/>
      <c r="M51" s="16"/>
      <c r="N51" s="16"/>
      <c r="T51" s="16"/>
      <c r="U51" s="16"/>
      <c r="V51" s="16"/>
      <c r="W51" s="16"/>
      <c r="X51" s="16"/>
      <c r="Y51" s="16"/>
      <c r="Z51" s="16"/>
    </row>
    <row r="52" spans="1:26" x14ac:dyDescent="0.2">
      <c r="A52" s="231"/>
      <c r="B52" s="231"/>
      <c r="C52" s="231"/>
      <c r="D52" s="231"/>
      <c r="E52" s="226"/>
      <c r="F52" s="16"/>
      <c r="G52" s="16"/>
      <c r="H52" s="16"/>
      <c r="I52" s="16"/>
      <c r="J52" s="16"/>
      <c r="K52" s="16"/>
      <c r="L52" s="16"/>
      <c r="M52" s="16"/>
      <c r="N52" s="16"/>
      <c r="O52" s="16"/>
      <c r="P52" s="16"/>
      <c r="Q52" s="16"/>
      <c r="R52" s="16"/>
      <c r="S52" s="16"/>
      <c r="T52" s="16"/>
      <c r="U52" s="16"/>
      <c r="V52" s="16"/>
      <c r="W52" s="16"/>
      <c r="X52" s="16"/>
      <c r="Y52" s="16"/>
      <c r="Z52" s="16"/>
    </row>
    <row r="53" spans="1:26" ht="37" x14ac:dyDescent="0.45">
      <c r="A53" s="231"/>
      <c r="B53" s="231"/>
      <c r="C53" s="231"/>
      <c r="D53" s="231"/>
      <c r="E53" s="226"/>
      <c r="F53" s="289" t="s">
        <v>1764</v>
      </c>
      <c r="G53" s="289"/>
      <c r="H53" s="289"/>
      <c r="I53" s="221"/>
      <c r="J53" s="16"/>
      <c r="K53" s="16"/>
      <c r="L53" s="16"/>
      <c r="M53" s="16"/>
      <c r="N53" s="222"/>
      <c r="O53" s="222"/>
      <c r="P53" s="222"/>
      <c r="Q53" s="222"/>
      <c r="R53" s="222"/>
      <c r="S53" s="222"/>
      <c r="T53" s="16"/>
      <c r="U53" s="230"/>
      <c r="V53" s="230"/>
      <c r="W53" s="230"/>
      <c r="X53" s="85"/>
      <c r="Y53" s="85"/>
      <c r="Z53" s="16"/>
    </row>
    <row r="54" spans="1:26" ht="37" x14ac:dyDescent="0.45">
      <c r="A54" s="231"/>
      <c r="B54" s="231"/>
      <c r="C54" s="231"/>
      <c r="D54" s="231"/>
      <c r="E54" s="226"/>
      <c r="F54" s="292" t="s">
        <v>1741</v>
      </c>
      <c r="G54" s="292"/>
      <c r="H54" s="292"/>
      <c r="I54" s="104"/>
      <c r="J54" s="190" t="s">
        <v>1471</v>
      </c>
      <c r="K54" s="190" t="s">
        <v>1716</v>
      </c>
      <c r="L54" s="191" t="s">
        <v>1735</v>
      </c>
      <c r="M54" s="191" t="s">
        <v>1736</v>
      </c>
      <c r="N54" s="222"/>
      <c r="O54" s="191"/>
      <c r="P54" s="194" t="s">
        <v>1495</v>
      </c>
      <c r="Q54" s="194" t="s">
        <v>1498</v>
      </c>
      <c r="R54" s="194" t="s">
        <v>1497</v>
      </c>
      <c r="S54" s="194" t="s">
        <v>1496</v>
      </c>
      <c r="T54" s="16"/>
      <c r="Z54" s="16"/>
    </row>
    <row r="55" spans="1:26" ht="37" x14ac:dyDescent="0.45">
      <c r="A55" s="231"/>
      <c r="B55" s="231"/>
      <c r="C55" s="231"/>
      <c r="D55" s="231"/>
      <c r="E55" s="226"/>
      <c r="F55" s="211"/>
      <c r="G55" s="211"/>
      <c r="H55" s="211"/>
      <c r="I55" s="222"/>
      <c r="J55" s="192" t="s">
        <v>1495</v>
      </c>
      <c r="K55" s="193">
        <v>283</v>
      </c>
      <c r="L55" s="193">
        <v>312</v>
      </c>
      <c r="M55" s="193">
        <v>2783</v>
      </c>
      <c r="N55" s="222"/>
      <c r="O55" s="111" t="s">
        <v>1882</v>
      </c>
      <c r="P55" s="196">
        <v>0.51</v>
      </c>
      <c r="Q55" s="197">
        <v>0.41</v>
      </c>
      <c r="R55" s="198">
        <v>7.0000000000000007E-2</v>
      </c>
      <c r="S55" s="199">
        <v>0.01</v>
      </c>
      <c r="T55" s="16"/>
      <c r="U55" s="16"/>
      <c r="V55" s="228" t="s">
        <v>1486</v>
      </c>
      <c r="W55" s="16" t="s">
        <v>1845</v>
      </c>
      <c r="X55" s="229" t="s">
        <v>1751</v>
      </c>
      <c r="Y55" s="215" t="s">
        <v>1750</v>
      </c>
      <c r="Z55" s="16"/>
    </row>
    <row r="56" spans="1:26" ht="37" x14ac:dyDescent="0.45">
      <c r="A56" s="231"/>
      <c r="B56" s="231"/>
      <c r="C56" s="231"/>
      <c r="D56" s="231"/>
      <c r="E56" s="226"/>
      <c r="F56" s="212" t="s">
        <v>1486</v>
      </c>
      <c r="G56" s="212" t="s">
        <v>1740</v>
      </c>
      <c r="H56" s="203" t="s">
        <v>1734</v>
      </c>
      <c r="I56" s="203"/>
      <c r="J56" s="192" t="s">
        <v>1498</v>
      </c>
      <c r="K56" s="195">
        <v>228</v>
      </c>
      <c r="L56" s="195">
        <v>275</v>
      </c>
      <c r="M56" s="195">
        <v>1630</v>
      </c>
      <c r="N56" s="222"/>
      <c r="O56" s="111" t="s">
        <v>1740</v>
      </c>
      <c r="P56" s="196">
        <v>0.49</v>
      </c>
      <c r="Q56" s="197">
        <v>0.43</v>
      </c>
      <c r="R56" s="198">
        <v>7.0000000000000007E-2</v>
      </c>
      <c r="S56" s="199">
        <v>7.7999999999999996E-3</v>
      </c>
      <c r="T56" s="16"/>
      <c r="U56" s="293" t="s">
        <v>1744</v>
      </c>
      <c r="V56" s="243" t="s">
        <v>1494</v>
      </c>
      <c r="W56" s="256">
        <v>687</v>
      </c>
      <c r="X56" s="256">
        <v>687</v>
      </c>
      <c r="Y56" s="257">
        <v>8</v>
      </c>
      <c r="Z56" s="16"/>
    </row>
    <row r="57" spans="1:26" ht="37" x14ac:dyDescent="0.45">
      <c r="A57" s="231"/>
      <c r="B57" s="231"/>
      <c r="C57" s="231"/>
      <c r="D57" s="231"/>
      <c r="E57" s="226"/>
      <c r="F57" s="207" t="s">
        <v>1494</v>
      </c>
      <c r="G57" s="208">
        <v>0.48281249999999998</v>
      </c>
      <c r="H57" s="207">
        <v>309</v>
      </c>
      <c r="I57" s="223"/>
      <c r="J57" s="200" t="s">
        <v>1497</v>
      </c>
      <c r="K57" s="201">
        <v>37</v>
      </c>
      <c r="L57" s="201">
        <v>48</v>
      </c>
      <c r="M57" s="201">
        <v>189</v>
      </c>
      <c r="N57" s="222"/>
      <c r="O57" s="111" t="s">
        <v>1721</v>
      </c>
      <c r="P57" s="196">
        <v>0.62</v>
      </c>
      <c r="Q57" s="197">
        <v>0.34</v>
      </c>
      <c r="R57" s="198">
        <v>0.04</v>
      </c>
      <c r="S57" s="199">
        <v>3.3E-3</v>
      </c>
      <c r="T57" s="16"/>
      <c r="U57" s="293"/>
      <c r="V57" s="213" t="s">
        <v>358</v>
      </c>
      <c r="W57" s="258">
        <v>223</v>
      </c>
      <c r="X57" s="261">
        <v>223</v>
      </c>
      <c r="Y57" s="262">
        <v>1</v>
      </c>
      <c r="Z57" s="16"/>
    </row>
    <row r="58" spans="1:26" ht="37" x14ac:dyDescent="0.45">
      <c r="A58" s="231"/>
      <c r="B58" s="231"/>
      <c r="C58" s="231"/>
      <c r="D58" s="231"/>
      <c r="E58" s="226"/>
      <c r="F58" s="233" t="s">
        <v>1492</v>
      </c>
      <c r="G58" s="234">
        <v>0.39687499999999998</v>
      </c>
      <c r="H58" s="233">
        <v>254</v>
      </c>
      <c r="I58" s="223"/>
      <c r="J58" s="200" t="s">
        <v>1496</v>
      </c>
      <c r="K58" s="202">
        <v>5</v>
      </c>
      <c r="L58" s="202">
        <v>5</v>
      </c>
      <c r="M58" s="202">
        <v>16</v>
      </c>
      <c r="N58" s="222"/>
      <c r="O58" s="222"/>
      <c r="P58" s="222"/>
      <c r="Q58" s="222"/>
      <c r="R58" s="222"/>
      <c r="S58" s="222"/>
      <c r="T58" s="16"/>
      <c r="U58" s="183" t="s">
        <v>1745</v>
      </c>
      <c r="V58" s="214" t="s">
        <v>11</v>
      </c>
      <c r="W58" s="258">
        <v>145</v>
      </c>
      <c r="X58" s="258">
        <v>145</v>
      </c>
      <c r="Y58" s="262">
        <v>2</v>
      </c>
      <c r="Z58" s="16"/>
    </row>
    <row r="59" spans="1:26" ht="37" x14ac:dyDescent="0.45">
      <c r="A59" s="231"/>
      <c r="B59" s="231"/>
      <c r="C59" s="231"/>
      <c r="D59" s="231"/>
      <c r="E59" s="226"/>
      <c r="F59" s="209" t="s">
        <v>1493</v>
      </c>
      <c r="G59" s="210">
        <v>0.1203125</v>
      </c>
      <c r="H59" s="209">
        <v>77</v>
      </c>
      <c r="I59" s="224"/>
      <c r="J59" s="203" t="s">
        <v>1472</v>
      </c>
      <c r="K59" s="191">
        <v>553</v>
      </c>
      <c r="L59" s="191">
        <v>640</v>
      </c>
      <c r="M59" s="191">
        <v>4618</v>
      </c>
      <c r="N59" s="16"/>
      <c r="O59" s="16"/>
      <c r="P59" s="16"/>
      <c r="Q59" s="16"/>
      <c r="R59" s="16"/>
      <c r="S59" s="16"/>
      <c r="T59" s="16"/>
      <c r="U59" s="235" t="s">
        <v>1746</v>
      </c>
      <c r="V59" s="214" t="s">
        <v>903</v>
      </c>
      <c r="W59" s="258">
        <v>117</v>
      </c>
      <c r="X59" s="258">
        <v>117</v>
      </c>
      <c r="Y59" s="262">
        <v>2</v>
      </c>
      <c r="Z59" s="16"/>
    </row>
    <row r="60" spans="1:26" ht="37" x14ac:dyDescent="0.45">
      <c r="A60" s="231"/>
      <c r="B60" s="231"/>
      <c r="C60" s="231"/>
      <c r="D60" s="231"/>
      <c r="E60" s="226"/>
      <c r="F60" s="16"/>
      <c r="G60" s="16"/>
      <c r="H60" s="16"/>
      <c r="I60" s="16"/>
      <c r="J60" s="16"/>
      <c r="K60" s="16"/>
      <c r="L60" s="16"/>
      <c r="M60" s="16"/>
      <c r="N60" s="16"/>
      <c r="O60" s="16"/>
      <c r="P60" s="16"/>
      <c r="Q60" s="16"/>
      <c r="R60" s="16"/>
      <c r="S60" s="16"/>
      <c r="T60" s="16"/>
      <c r="U60" s="239" t="s">
        <v>1747</v>
      </c>
      <c r="V60" s="214" t="s">
        <v>502</v>
      </c>
      <c r="W60" s="258">
        <v>105</v>
      </c>
      <c r="X60" s="258">
        <v>105</v>
      </c>
      <c r="Y60" s="262">
        <v>1</v>
      </c>
      <c r="Z60" s="16"/>
    </row>
    <row r="61" spans="1:26" ht="37" x14ac:dyDescent="0.45">
      <c r="A61" s="231"/>
      <c r="B61" s="231"/>
      <c r="C61" s="231"/>
      <c r="D61" s="231"/>
      <c r="E61" s="226"/>
      <c r="F61" s="16"/>
      <c r="G61" s="16"/>
      <c r="H61" s="16"/>
      <c r="I61" s="16"/>
      <c r="J61" s="16"/>
      <c r="K61" s="16"/>
      <c r="L61" s="16"/>
      <c r="M61" s="16"/>
      <c r="N61" s="16"/>
      <c r="O61" s="16"/>
      <c r="P61" s="16"/>
      <c r="Q61" s="16"/>
      <c r="R61" s="16"/>
      <c r="S61" s="16"/>
      <c r="T61" s="16"/>
      <c r="U61" s="238" t="s">
        <v>1748</v>
      </c>
      <c r="V61" s="214" t="s">
        <v>435</v>
      </c>
      <c r="W61" s="258">
        <v>97</v>
      </c>
      <c r="X61" s="258">
        <v>97</v>
      </c>
      <c r="Y61" s="262">
        <v>2</v>
      </c>
      <c r="Z61" s="16"/>
    </row>
    <row r="62" spans="1:26" x14ac:dyDescent="0.2">
      <c r="A62" s="231"/>
      <c r="B62" s="231"/>
      <c r="C62" s="231"/>
      <c r="D62" s="231"/>
      <c r="E62" s="226"/>
      <c r="F62" s="16"/>
      <c r="G62" s="16"/>
      <c r="H62" s="16"/>
      <c r="I62" s="16"/>
      <c r="J62" s="16"/>
      <c r="K62" s="16"/>
      <c r="L62" s="16"/>
      <c r="M62" s="16"/>
      <c r="N62" s="16"/>
      <c r="O62" s="16"/>
      <c r="P62" s="16"/>
      <c r="Q62" s="16"/>
      <c r="R62" s="16"/>
      <c r="S62" s="16"/>
      <c r="T62" s="16"/>
      <c r="U62" s="16"/>
      <c r="V62" s="16"/>
      <c r="W62" s="16"/>
      <c r="X62" s="16"/>
      <c r="Y62" s="16"/>
      <c r="Z62" s="16"/>
    </row>
    <row r="63" spans="1:26" x14ac:dyDescent="0.2">
      <c r="A63" s="231"/>
      <c r="B63" s="231"/>
      <c r="C63" s="231"/>
      <c r="D63" s="231"/>
      <c r="E63" s="226"/>
      <c r="F63" s="16"/>
      <c r="G63" s="16"/>
      <c r="H63" s="16"/>
      <c r="I63" s="16"/>
      <c r="J63" s="16"/>
      <c r="K63" s="16"/>
      <c r="L63" s="16"/>
      <c r="M63" s="16"/>
      <c r="N63" s="16"/>
      <c r="O63" s="16"/>
      <c r="P63" s="16"/>
      <c r="Q63" s="16"/>
      <c r="R63" s="16"/>
      <c r="S63" s="16"/>
      <c r="T63" s="16"/>
      <c r="U63" s="16"/>
      <c r="V63" s="16"/>
      <c r="W63" s="16"/>
      <c r="X63" s="16"/>
      <c r="Y63" s="16"/>
      <c r="Z63" s="16"/>
    </row>
    <row r="64" spans="1:26" x14ac:dyDescent="0.2">
      <c r="A64" s="231"/>
      <c r="B64" s="231"/>
      <c r="C64" s="231"/>
      <c r="D64" s="231"/>
      <c r="E64" s="226"/>
      <c r="F64" s="16"/>
      <c r="G64" s="16"/>
      <c r="H64" s="16"/>
      <c r="I64" s="16"/>
      <c r="J64" s="16"/>
      <c r="K64" s="16"/>
      <c r="L64" s="16"/>
      <c r="M64" s="16"/>
      <c r="N64" s="16"/>
      <c r="O64" s="16"/>
      <c r="P64" s="16"/>
      <c r="Q64" s="16"/>
      <c r="R64" s="16"/>
      <c r="S64" s="16"/>
      <c r="T64" s="16"/>
      <c r="U64" s="16"/>
      <c r="V64" s="16"/>
      <c r="W64" s="16"/>
      <c r="X64" s="16"/>
      <c r="Y64" s="16"/>
      <c r="Z64" s="16"/>
    </row>
    <row r="65" spans="1:26" x14ac:dyDescent="0.2">
      <c r="A65" s="231"/>
      <c r="B65" s="231"/>
      <c r="C65" s="231"/>
      <c r="D65" s="231"/>
      <c r="E65" s="226"/>
      <c r="F65" s="16"/>
      <c r="G65" s="16"/>
      <c r="H65" s="16"/>
      <c r="I65" s="16"/>
      <c r="J65" s="16"/>
      <c r="K65" s="16"/>
      <c r="L65" s="16"/>
      <c r="M65" s="16"/>
      <c r="N65" s="16"/>
      <c r="O65" s="16"/>
      <c r="P65" s="16"/>
      <c r="Q65" s="16"/>
      <c r="R65" s="16"/>
      <c r="S65" s="16"/>
      <c r="T65" s="16"/>
      <c r="U65" s="16"/>
      <c r="V65" s="16"/>
      <c r="W65" s="16"/>
      <c r="X65" s="16"/>
      <c r="Y65" s="16"/>
      <c r="Z65" s="16"/>
    </row>
    <row r="66" spans="1:26" x14ac:dyDescent="0.2">
      <c r="A66" s="231"/>
      <c r="B66" s="231"/>
      <c r="C66" s="231"/>
      <c r="D66" s="231"/>
      <c r="E66" s="226"/>
      <c r="F66" s="16"/>
      <c r="G66" s="16"/>
      <c r="H66" s="16"/>
      <c r="I66" s="16"/>
      <c r="J66" s="16"/>
      <c r="K66" s="16"/>
      <c r="L66" s="16"/>
      <c r="M66" s="16"/>
      <c r="N66" s="16"/>
      <c r="O66" s="16"/>
      <c r="P66" s="16"/>
      <c r="Q66" s="16"/>
      <c r="R66" s="16"/>
      <c r="S66" s="16"/>
      <c r="T66" s="16"/>
      <c r="U66" s="16"/>
      <c r="V66" s="16"/>
      <c r="W66" s="16"/>
      <c r="X66" s="16"/>
      <c r="Y66" s="16"/>
      <c r="Z66" s="16"/>
    </row>
    <row r="67" spans="1:26" ht="63" x14ac:dyDescent="0.75">
      <c r="A67" s="62"/>
      <c r="B67" s="62"/>
      <c r="C67" s="62"/>
      <c r="D67" s="62"/>
      <c r="E67" s="62"/>
      <c r="F67" s="62"/>
      <c r="G67" s="62"/>
      <c r="H67" s="62"/>
      <c r="I67" s="62"/>
      <c r="K67" s="62"/>
      <c r="L67" s="62"/>
      <c r="M67" s="225"/>
      <c r="N67" s="62"/>
      <c r="O67" s="62"/>
      <c r="P67" s="62"/>
      <c r="Q67" s="62"/>
      <c r="R67" s="62"/>
      <c r="S67" s="62"/>
      <c r="T67" s="62"/>
      <c r="U67" s="62"/>
      <c r="Z67" s="62"/>
    </row>
    <row r="68" spans="1:26" ht="29" x14ac:dyDescent="0.35">
      <c r="A68" s="62"/>
      <c r="B68" s="62"/>
      <c r="C68" t="s">
        <v>1900</v>
      </c>
      <c r="D68" s="62"/>
      <c r="E68" s="62"/>
      <c r="F68" s="62"/>
      <c r="G68" s="62"/>
      <c r="H68" s="62"/>
      <c r="I68" s="62"/>
      <c r="J68" s="185" t="s">
        <v>1830</v>
      </c>
      <c r="P68" s="62"/>
      <c r="Q68" s="62"/>
      <c r="R68" s="62"/>
      <c r="S68" s="62"/>
      <c r="T68" s="62"/>
      <c r="U68" s="62"/>
      <c r="Z68" s="62"/>
    </row>
    <row r="69" spans="1:26" x14ac:dyDescent="0.2">
      <c r="A69" s="62"/>
      <c r="B69" s="62"/>
      <c r="C69" t="s">
        <v>1901</v>
      </c>
      <c r="D69" s="62"/>
      <c r="E69" s="62"/>
      <c r="F69" s="62"/>
      <c r="G69" s="62"/>
      <c r="H69" s="62"/>
      <c r="I69" s="62"/>
      <c r="J69" t="s">
        <v>1888</v>
      </c>
      <c r="P69" s="62"/>
      <c r="Q69" s="62"/>
      <c r="R69" s="62"/>
      <c r="S69" s="62"/>
      <c r="T69" s="62"/>
      <c r="U69" s="62"/>
      <c r="Z69" s="62"/>
    </row>
    <row r="70" spans="1:26" x14ac:dyDescent="0.2">
      <c r="A70" s="62"/>
      <c r="B70" s="62"/>
      <c r="C70" t="s">
        <v>1733</v>
      </c>
      <c r="D70" s="62"/>
      <c r="E70" s="62"/>
      <c r="F70" s="62"/>
      <c r="G70" s="62"/>
      <c r="H70" s="62"/>
      <c r="I70" s="62"/>
      <c r="J70" t="s">
        <v>1722</v>
      </c>
      <c r="P70" s="62"/>
      <c r="Q70" s="62"/>
      <c r="R70" s="62"/>
      <c r="S70" s="62"/>
      <c r="T70" s="62"/>
      <c r="U70" s="62"/>
      <c r="Z70" s="62"/>
    </row>
    <row r="71" spans="1:26" x14ac:dyDescent="0.2">
      <c r="A71" s="62"/>
      <c r="B71" s="62"/>
      <c r="C71" s="62" t="s">
        <v>1895</v>
      </c>
      <c r="D71" s="62"/>
      <c r="E71" s="62"/>
      <c r="F71" s="62"/>
      <c r="G71" s="62"/>
      <c r="H71" s="62"/>
      <c r="I71" s="62"/>
      <c r="J71" t="s">
        <v>1889</v>
      </c>
      <c r="P71" s="62"/>
      <c r="Q71" s="62"/>
      <c r="R71" s="62"/>
      <c r="S71" s="62"/>
      <c r="T71" s="62"/>
      <c r="Z71" s="62"/>
    </row>
    <row r="72" spans="1:26" x14ac:dyDescent="0.2">
      <c r="A72" s="62"/>
      <c r="B72" s="62"/>
      <c r="C72" t="s">
        <v>1894</v>
      </c>
      <c r="D72" s="62"/>
      <c r="E72" s="62"/>
      <c r="F72" s="62"/>
      <c r="G72" s="62"/>
      <c r="H72" s="62"/>
      <c r="I72" s="62"/>
      <c r="J72" t="s">
        <v>1738</v>
      </c>
      <c r="P72" s="62"/>
      <c r="Q72" s="62"/>
      <c r="R72" s="62"/>
      <c r="S72" s="62"/>
      <c r="T72" s="62"/>
      <c r="Z72" s="62"/>
    </row>
    <row r="73" spans="1:26" x14ac:dyDescent="0.2">
      <c r="A73" s="62"/>
      <c r="B73" s="62"/>
      <c r="C73" t="s">
        <v>1893</v>
      </c>
      <c r="D73" s="62"/>
      <c r="E73" s="62"/>
      <c r="F73" s="62"/>
      <c r="G73" s="62"/>
      <c r="H73" s="62"/>
      <c r="I73" s="62"/>
      <c r="J73" t="s">
        <v>1739</v>
      </c>
      <c r="P73" s="62"/>
      <c r="Q73" s="62"/>
      <c r="R73" s="62"/>
      <c r="S73" s="62"/>
      <c r="T73" s="62"/>
      <c r="Z73" s="62"/>
    </row>
    <row r="74" spans="1:26" x14ac:dyDescent="0.2">
      <c r="A74" s="62"/>
      <c r="B74" s="62"/>
      <c r="D74" s="62"/>
      <c r="E74" s="62"/>
      <c r="F74" s="62"/>
      <c r="G74" s="62"/>
      <c r="H74" s="62"/>
      <c r="I74" s="62"/>
      <c r="K74" s="62"/>
      <c r="L74" s="62"/>
      <c r="M74" s="62"/>
      <c r="N74" s="62"/>
      <c r="O74" s="62"/>
      <c r="P74" s="62"/>
      <c r="Q74" s="62"/>
      <c r="R74" s="62"/>
      <c r="S74" s="62"/>
      <c r="T74" s="62"/>
      <c r="Z74" s="62"/>
    </row>
    <row r="75" spans="1:26" x14ac:dyDescent="0.2">
      <c r="A75" s="62"/>
      <c r="B75" s="62"/>
      <c r="C75" s="62"/>
      <c r="D75" s="62"/>
      <c r="E75" s="62"/>
      <c r="F75" s="62"/>
      <c r="G75" s="62"/>
      <c r="H75" s="62"/>
      <c r="I75" s="62"/>
      <c r="J75" s="62" t="s">
        <v>1890</v>
      </c>
      <c r="K75" s="62"/>
      <c r="L75" s="62"/>
      <c r="M75" s="62"/>
      <c r="N75" s="62"/>
      <c r="O75" s="62"/>
      <c r="P75" s="62"/>
      <c r="Q75" s="62"/>
      <c r="R75" s="62"/>
      <c r="S75" s="62"/>
      <c r="T75" s="62"/>
      <c r="Z75" s="62"/>
    </row>
    <row r="76" spans="1:26" x14ac:dyDescent="0.2">
      <c r="A76" s="62"/>
      <c r="B76" s="62"/>
      <c r="C76" s="62"/>
      <c r="D76" s="62"/>
      <c r="E76" s="62"/>
      <c r="F76" s="62"/>
      <c r="G76" s="62"/>
      <c r="H76" s="62"/>
      <c r="I76" s="62"/>
      <c r="J76" s="62"/>
      <c r="K76" s="62"/>
      <c r="L76" s="62"/>
      <c r="M76" s="62"/>
      <c r="N76" s="62"/>
      <c r="O76" s="62"/>
      <c r="P76" s="62"/>
      <c r="Q76" s="62"/>
      <c r="R76" s="62"/>
      <c r="S76" s="62"/>
      <c r="T76" s="62"/>
      <c r="Z76" s="62"/>
    </row>
    <row r="77" spans="1:26" x14ac:dyDescent="0.2">
      <c r="A77" s="62"/>
      <c r="B77" s="62"/>
      <c r="C77" s="62"/>
      <c r="D77" s="62"/>
      <c r="E77" s="62"/>
      <c r="F77" s="62"/>
      <c r="G77" s="62"/>
      <c r="H77" s="62"/>
      <c r="I77" s="62"/>
      <c r="J77" s="62"/>
      <c r="K77" s="62"/>
      <c r="L77" s="62"/>
      <c r="M77" s="62"/>
      <c r="N77" s="62"/>
      <c r="O77" s="62"/>
      <c r="P77" s="62"/>
      <c r="Q77" s="62"/>
      <c r="R77" s="62"/>
      <c r="S77" s="62"/>
      <c r="T77" s="62"/>
      <c r="Z77" s="62"/>
    </row>
    <row r="78" spans="1:26" x14ac:dyDescent="0.2">
      <c r="A78" s="62"/>
      <c r="B78" s="62"/>
      <c r="C78" s="62"/>
      <c r="D78" s="62"/>
      <c r="E78" s="62"/>
      <c r="F78" s="62"/>
      <c r="G78" s="62"/>
      <c r="H78" s="62"/>
      <c r="I78" s="62"/>
      <c r="J78" s="62"/>
      <c r="K78" s="62"/>
      <c r="L78" s="62"/>
      <c r="M78" s="62"/>
      <c r="N78" s="62"/>
      <c r="O78" s="62"/>
      <c r="P78" s="62"/>
      <c r="Q78" s="62"/>
      <c r="R78" s="62"/>
      <c r="S78" s="62"/>
      <c r="T78" s="62"/>
      <c r="Y78" s="62"/>
      <c r="Z78" s="62"/>
    </row>
    <row r="79" spans="1:26" x14ac:dyDescent="0.2">
      <c r="A79" s="62"/>
      <c r="B79" s="62"/>
      <c r="C79" s="62" t="s">
        <v>1887</v>
      </c>
      <c r="D79" s="62"/>
      <c r="E79" s="62"/>
      <c r="F79" s="62"/>
      <c r="G79" s="62"/>
      <c r="H79" s="62"/>
      <c r="I79" s="62"/>
      <c r="K79" s="62"/>
      <c r="L79" s="62"/>
      <c r="M79" s="62"/>
      <c r="N79" s="62"/>
      <c r="O79" s="62"/>
      <c r="P79" s="62"/>
      <c r="Q79" s="62"/>
      <c r="R79" s="62"/>
      <c r="S79" s="62"/>
      <c r="T79" s="62"/>
      <c r="U79" s="62"/>
      <c r="V79" s="62"/>
      <c r="W79" s="62"/>
      <c r="X79" s="62"/>
      <c r="Y79" s="62"/>
      <c r="Z79" s="62"/>
    </row>
    <row r="80" spans="1:26" x14ac:dyDescent="0.2">
      <c r="A80" s="62"/>
      <c r="B80" s="62"/>
      <c r="D80" s="62"/>
      <c r="E80" s="62"/>
      <c r="F80" s="62"/>
      <c r="G80" s="62"/>
      <c r="H80" s="62"/>
      <c r="I80" s="62"/>
      <c r="K80" s="62"/>
      <c r="L80" s="62"/>
      <c r="M80" s="62"/>
      <c r="N80" s="62"/>
      <c r="O80" s="62"/>
      <c r="P80" s="62"/>
      <c r="Q80" s="62"/>
      <c r="R80" s="62"/>
      <c r="S80" s="62"/>
      <c r="T80" s="62"/>
      <c r="U80" s="62"/>
      <c r="V80" s="62"/>
      <c r="W80" s="62"/>
      <c r="X80" s="62"/>
      <c r="Y80" s="62"/>
      <c r="Z80" s="62"/>
    </row>
    <row r="81" spans="1:26" x14ac:dyDescent="0.2">
      <c r="A81" s="62"/>
      <c r="B81" s="62"/>
      <c r="C81" t="s">
        <v>1717</v>
      </c>
      <c r="D81" s="62"/>
      <c r="E81" s="62"/>
      <c r="F81" s="62"/>
      <c r="G81" s="62"/>
      <c r="H81" s="62"/>
      <c r="I81" s="62"/>
      <c r="K81" s="62"/>
      <c r="L81" s="62"/>
      <c r="M81" s="62"/>
      <c r="N81" s="62"/>
      <c r="O81" s="62"/>
      <c r="P81" s="62"/>
      <c r="Q81" s="62"/>
      <c r="R81" s="62"/>
      <c r="S81" s="62"/>
      <c r="T81" s="62"/>
      <c r="U81" s="62"/>
      <c r="V81" s="62"/>
      <c r="W81" s="62"/>
      <c r="X81" s="62"/>
      <c r="Y81" s="62"/>
      <c r="Z81" s="62"/>
    </row>
    <row r="82" spans="1:26" x14ac:dyDescent="0.2">
      <c r="A82" s="62"/>
      <c r="B82" s="62"/>
      <c r="C82" s="62"/>
      <c r="D82" s="62"/>
      <c r="E82" s="62"/>
      <c r="F82" s="62"/>
      <c r="G82" s="62"/>
      <c r="H82" s="62"/>
      <c r="I82" s="62"/>
      <c r="K82" s="62"/>
      <c r="L82" s="62"/>
      <c r="M82" s="62"/>
      <c r="N82" s="62"/>
      <c r="O82" s="62"/>
      <c r="P82" s="62"/>
      <c r="Q82" s="62"/>
      <c r="R82" s="62"/>
      <c r="S82" s="62"/>
      <c r="T82" s="62"/>
      <c r="U82" s="62"/>
      <c r="V82" s="62"/>
      <c r="W82" s="62"/>
      <c r="X82" s="62"/>
      <c r="Y82" s="62"/>
      <c r="Z82" s="62"/>
    </row>
    <row r="83" spans="1:26" x14ac:dyDescent="0.2">
      <c r="A83" s="62"/>
      <c r="B83" s="62"/>
      <c r="C83" s="62"/>
      <c r="D83" s="62"/>
      <c r="E83" s="62"/>
      <c r="F83" s="62"/>
      <c r="G83" s="62"/>
      <c r="H83" s="62"/>
      <c r="I83" s="62"/>
      <c r="K83" s="62"/>
      <c r="L83" s="62"/>
      <c r="M83" s="62"/>
      <c r="N83" s="62"/>
      <c r="O83" s="62"/>
      <c r="P83" s="62"/>
      <c r="Q83" s="62"/>
      <c r="R83" s="62"/>
      <c r="S83" s="62"/>
      <c r="T83" s="62"/>
      <c r="U83" s="62"/>
      <c r="V83" s="62"/>
      <c r="W83" s="62"/>
      <c r="X83" s="62"/>
      <c r="Y83" s="62"/>
      <c r="Z83" s="62"/>
    </row>
    <row r="84" spans="1:26" x14ac:dyDescent="0.2">
      <c r="A84" s="62"/>
      <c r="B84" s="62"/>
      <c r="C84" s="62"/>
      <c r="D84" s="62"/>
      <c r="E84" s="62"/>
      <c r="F84" s="62"/>
      <c r="G84" s="62"/>
      <c r="H84" s="62"/>
      <c r="I84" s="62"/>
      <c r="K84" s="62"/>
      <c r="L84" s="62"/>
      <c r="M84" s="62"/>
      <c r="N84" s="62"/>
      <c r="O84" s="62"/>
      <c r="P84" s="62"/>
      <c r="Q84" s="62"/>
      <c r="R84" s="62"/>
      <c r="S84" s="62"/>
      <c r="T84" s="62"/>
      <c r="U84" s="62"/>
      <c r="V84" s="62"/>
      <c r="W84" s="62"/>
      <c r="X84" s="62"/>
      <c r="Y84" s="62"/>
      <c r="Z84" s="62"/>
    </row>
  </sheetData>
  <mergeCells count="15">
    <mergeCell ref="W6:Z8"/>
    <mergeCell ref="S1:V5"/>
    <mergeCell ref="S6:V8"/>
    <mergeCell ref="W1:Z4"/>
    <mergeCell ref="W5:Z5"/>
    <mergeCell ref="F53:H53"/>
    <mergeCell ref="F54:H54"/>
    <mergeCell ref="U56:U57"/>
    <mergeCell ref="J16:S16"/>
    <mergeCell ref="N11:P11"/>
    <mergeCell ref="N12:P12"/>
    <mergeCell ref="A1:J8"/>
    <mergeCell ref="F9:J9"/>
    <mergeCell ref="K1:R6"/>
    <mergeCell ref="K7:R8"/>
  </mergeCells>
  <conditionalFormatting pivot="1" sqref="W57:W61">
    <cfRule type="dataBar" priority="5">
      <dataBar showValue="0">
        <cfvo type="min"/>
        <cfvo type="max"/>
        <color rgb="FF63C384"/>
      </dataBar>
      <extLst>
        <ext xmlns:x14="http://schemas.microsoft.com/office/spreadsheetml/2009/9/main" uri="{B025F937-C7B1-47D3-B67F-A62EFF666E3E}">
          <x14:id>{4857B4B8-6DB3-8740-9A72-EA4EFC7CAB33}</x14:id>
        </ext>
      </extLst>
    </cfRule>
  </conditionalFormatting>
  <conditionalFormatting pivot="1">
    <cfRule type="dataBar" priority="4">
      <dataBar showValue="0">
        <cfvo type="min"/>
        <cfvo type="max"/>
        <color rgb="FF63C384"/>
      </dataBar>
      <extLst>
        <ext xmlns:x14="http://schemas.microsoft.com/office/spreadsheetml/2009/9/main" uri="{B025F937-C7B1-47D3-B67F-A62EFF666E3E}">
          <x14:id>{9FC21697-E766-0D4E-815A-DAE0D6282305}</x14:id>
        </ext>
      </extLst>
    </cfRule>
  </conditionalFormatting>
  <conditionalFormatting pivot="1">
    <cfRule type="dataBar" priority="2">
      <dataBar showValue="0">
        <cfvo type="min"/>
        <cfvo type="max"/>
        <color rgb="FFFFB628"/>
      </dataBar>
      <extLst>
        <ext xmlns:x14="http://schemas.microsoft.com/office/spreadsheetml/2009/9/main" uri="{B025F937-C7B1-47D3-B67F-A62EFF666E3E}">
          <x14:id>{A3B0498E-74EE-F14A-A48F-0F24A3B51C0A}</x14:id>
        </ext>
      </extLst>
    </cfRule>
  </conditionalFormatting>
  <conditionalFormatting pivot="1">
    <cfRule type="dataBar" priority="1">
      <dataBar showValue="0">
        <cfvo type="min"/>
        <cfvo type="max"/>
        <color rgb="FFFFFF00"/>
      </dataBar>
      <extLst>
        <ext xmlns:x14="http://schemas.microsoft.com/office/spreadsheetml/2009/9/main" uri="{B025F937-C7B1-47D3-B67F-A62EFF666E3E}">
          <x14:id>{6743FECC-5420-D945-9378-481BDAFFDBFB}</x14:id>
        </ext>
      </extLst>
    </cfRule>
  </conditionalFormatting>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pivot="1">
          <x14:cfRule type="dataBar" id="{4857B4B8-6DB3-8740-9A72-EA4EFC7CAB33}">
            <x14:dataBar minLength="0" maxLength="100" gradient="0">
              <x14:cfvo type="autoMin"/>
              <x14:cfvo type="autoMax"/>
              <x14:negativeFillColor rgb="FFFF0000"/>
              <x14:axisColor rgb="FF000000"/>
            </x14:dataBar>
          </x14:cfRule>
          <xm:sqref>W57:W61</xm:sqref>
        </x14:conditionalFormatting>
        <x14:conditionalFormatting xmlns:xm="http://schemas.microsoft.com/office/excel/2006/main" pivot="1">
          <x14:cfRule type="dataBar" id="{9FC21697-E766-0D4E-815A-DAE0D6282305}">
            <x14:dataBar minLength="0" maxLength="100" gradient="0">
              <x14:cfvo type="autoMin"/>
              <x14:cfvo type="autoMax"/>
              <x14:negativeFillColor rgb="FFFF0000"/>
              <x14:axisColor rgb="FF000000"/>
            </x14:dataBar>
          </x14:cfRule>
        </x14:conditionalFormatting>
        <x14:conditionalFormatting xmlns:xm="http://schemas.microsoft.com/office/excel/2006/main" pivot="1">
          <x14:cfRule type="dataBar" id="{A3B0498E-74EE-F14A-A48F-0F24A3B51C0A}">
            <x14:dataBar minLength="0" maxLength="100" gradient="0">
              <x14:cfvo type="autoMin"/>
              <x14:cfvo type="autoMax"/>
              <x14:negativeFillColor rgb="FFFF0000"/>
              <x14:axisColor rgb="FF000000"/>
            </x14:dataBar>
          </x14:cfRule>
        </x14:conditionalFormatting>
        <x14:conditionalFormatting xmlns:xm="http://schemas.microsoft.com/office/excel/2006/main" pivot="1">
          <x14:cfRule type="dataBar" id="{6743FECC-5420-D945-9378-481BDAFFDBFB}">
            <x14:dataBar minLength="0" maxLength="100" gradient="0">
              <x14:cfvo type="autoMin"/>
              <x14:cfvo type="autoMax"/>
              <x14:negativeFillColor rgb="FFFF0000"/>
              <x14:axisColor rgb="FF000000"/>
            </x14:dataBar>
          </x14:cfRule>
        </x14:conditionalFormatting>
      </x14:conditionalFormattings>
    </ex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C202-C129-4444-B60C-A3F1DD60E41E}">
  <dimension ref="A1:W52"/>
  <sheetViews>
    <sheetView showGridLines="0" topLeftCell="P4" zoomScale="137" zoomScaleNormal="66" workbookViewId="0">
      <selection activeCell="S8" sqref="S8:S10"/>
    </sheetView>
  </sheetViews>
  <sheetFormatPr baseColWidth="10" defaultRowHeight="16" x14ac:dyDescent="0.2"/>
  <cols>
    <col min="4" max="5" width="10.33203125" customWidth="1"/>
    <col min="6" max="6" width="31.1640625" customWidth="1"/>
    <col min="7" max="7" width="17.83203125" customWidth="1"/>
    <col min="8" max="8" width="28.83203125" customWidth="1"/>
    <col min="9" max="9" width="10.83203125" customWidth="1"/>
    <col min="10" max="10" width="40.33203125" customWidth="1"/>
    <col min="11" max="11" width="35.6640625" customWidth="1"/>
    <col min="12" max="12" width="45.83203125" customWidth="1"/>
    <col min="13" max="13" width="10.83203125" customWidth="1"/>
    <col min="14" max="14" width="23.1640625" customWidth="1"/>
    <col min="15" max="15" width="23.83203125" customWidth="1"/>
    <col min="16" max="16" width="29.1640625" customWidth="1"/>
    <col min="17" max="17" width="11.1640625" customWidth="1"/>
    <col min="18" max="18" width="12.83203125" bestFit="1" customWidth="1"/>
    <col min="19" max="19" width="21.83203125" customWidth="1"/>
    <col min="20" max="20" width="28.33203125" bestFit="1" customWidth="1"/>
    <col min="22" max="22" width="15.5" bestFit="1" customWidth="1"/>
    <col min="23" max="23" width="47.5" customWidth="1"/>
  </cols>
  <sheetData>
    <row r="1" spans="1:23" ht="18" customHeight="1" x14ac:dyDescent="0.2">
      <c r="A1" s="299" t="s">
        <v>1787</v>
      </c>
      <c r="B1" s="299"/>
      <c r="C1" s="299"/>
      <c r="D1" s="299"/>
      <c r="E1" s="299"/>
      <c r="F1" s="299"/>
      <c r="G1" s="299"/>
      <c r="H1" s="299"/>
      <c r="I1" s="299"/>
      <c r="J1" s="296" t="s">
        <v>1788</v>
      </c>
      <c r="K1" s="296"/>
      <c r="L1" s="296"/>
      <c r="M1" s="303" t="s">
        <v>1773</v>
      </c>
      <c r="N1" s="303"/>
      <c r="O1" s="303"/>
      <c r="P1" s="303"/>
      <c r="Q1" s="303"/>
    </row>
    <row r="2" spans="1:23" ht="34" customHeight="1" x14ac:dyDescent="0.2">
      <c r="A2" s="299"/>
      <c r="B2" s="299"/>
      <c r="C2" s="299"/>
      <c r="D2" s="299"/>
      <c r="E2" s="299"/>
      <c r="F2" s="299"/>
      <c r="G2" s="299"/>
      <c r="H2" s="299"/>
      <c r="I2" s="299"/>
      <c r="J2" s="296"/>
      <c r="K2" s="296"/>
      <c r="L2" s="296"/>
      <c r="M2" s="303"/>
      <c r="N2" s="303"/>
      <c r="O2" s="303"/>
      <c r="P2" s="303"/>
      <c r="Q2" s="303"/>
    </row>
    <row r="3" spans="1:23" ht="18" customHeight="1" x14ac:dyDescent="0.2">
      <c r="A3" s="299"/>
      <c r="B3" s="299"/>
      <c r="C3" s="299"/>
      <c r="D3" s="299"/>
      <c r="E3" s="299"/>
      <c r="F3" s="299"/>
      <c r="G3" s="299"/>
      <c r="H3" s="299"/>
      <c r="I3" s="299"/>
      <c r="J3" s="296"/>
      <c r="K3" s="296"/>
      <c r="L3" s="296"/>
      <c r="M3" s="303"/>
      <c r="N3" s="303"/>
      <c r="O3" s="303"/>
      <c r="P3" s="303"/>
      <c r="Q3" s="303"/>
    </row>
    <row r="4" spans="1:23" ht="17" customHeight="1" x14ac:dyDescent="0.2">
      <c r="A4" s="299"/>
      <c r="B4" s="299"/>
      <c r="C4" s="299"/>
      <c r="D4" s="299"/>
      <c r="E4" s="299"/>
      <c r="F4" s="299"/>
      <c r="G4" s="299"/>
      <c r="H4" s="299"/>
      <c r="I4" s="299"/>
      <c r="J4" s="296"/>
      <c r="K4" s="296"/>
      <c r="L4" s="296"/>
      <c r="M4" s="303"/>
      <c r="N4" s="303"/>
      <c r="O4" s="303"/>
      <c r="P4" s="303"/>
      <c r="Q4" s="303"/>
    </row>
    <row r="5" spans="1:23" ht="16" customHeight="1" x14ac:dyDescent="0.2">
      <c r="A5" s="299"/>
      <c r="B5" s="299"/>
      <c r="C5" s="299"/>
      <c r="D5" s="299"/>
      <c r="E5" s="299"/>
      <c r="F5" s="299"/>
      <c r="G5" s="299"/>
      <c r="H5" s="299"/>
      <c r="I5" s="299"/>
      <c r="J5" s="296"/>
      <c r="K5" s="296"/>
      <c r="L5" s="296"/>
      <c r="M5" s="303"/>
      <c r="N5" s="303"/>
      <c r="O5" s="303"/>
      <c r="P5" s="303"/>
      <c r="Q5" s="303"/>
    </row>
    <row r="6" spans="1:23" ht="16" customHeight="1" x14ac:dyDescent="0.2">
      <c r="A6" s="299"/>
      <c r="B6" s="299"/>
      <c r="C6" s="299"/>
      <c r="D6" s="299"/>
      <c r="E6" s="299"/>
      <c r="F6" s="299"/>
      <c r="G6" s="299"/>
      <c r="H6" s="299"/>
      <c r="I6" s="299"/>
      <c r="J6" s="296"/>
      <c r="K6" s="296"/>
      <c r="L6" s="296"/>
      <c r="M6" s="303"/>
      <c r="N6" s="303"/>
      <c r="O6" s="303"/>
      <c r="P6" s="303"/>
      <c r="Q6" s="303"/>
    </row>
    <row r="7" spans="1:23" ht="16" customHeight="1" x14ac:dyDescent="0.2">
      <c r="A7" s="299"/>
      <c r="B7" s="299"/>
      <c r="C7" s="299"/>
      <c r="D7" s="299"/>
      <c r="E7" s="299"/>
      <c r="F7" s="299"/>
      <c r="G7" s="299"/>
      <c r="H7" s="299"/>
      <c r="I7" s="299"/>
      <c r="J7" s="306" t="s">
        <v>1789</v>
      </c>
      <c r="K7" s="306"/>
      <c r="L7" s="306"/>
      <c r="M7" s="303"/>
      <c r="N7" s="303"/>
      <c r="O7" s="303"/>
      <c r="P7" s="303"/>
      <c r="Q7" s="303"/>
    </row>
    <row r="8" spans="1:23" ht="47" customHeight="1" x14ac:dyDescent="0.35">
      <c r="A8" s="299"/>
      <c r="B8" s="299"/>
      <c r="C8" s="299"/>
      <c r="D8" s="299"/>
      <c r="E8" s="299"/>
      <c r="F8" s="299"/>
      <c r="G8" s="299"/>
      <c r="H8" s="299"/>
      <c r="I8" s="299"/>
      <c r="J8" s="306"/>
      <c r="K8" s="306"/>
      <c r="L8" s="306"/>
      <c r="M8" s="303"/>
      <c r="N8" s="303"/>
      <c r="O8" s="303"/>
      <c r="P8" s="303"/>
      <c r="Q8" s="303"/>
      <c r="S8" s="185"/>
    </row>
    <row r="9" spans="1:23" ht="47" x14ac:dyDescent="0.55000000000000004">
      <c r="A9" s="231"/>
      <c r="B9" s="231"/>
      <c r="C9" s="231"/>
      <c r="D9" s="231"/>
      <c r="E9" s="232"/>
      <c r="F9" s="300"/>
      <c r="G9" s="300"/>
      <c r="H9" s="300"/>
      <c r="I9" s="217"/>
      <c r="J9" s="314" t="s">
        <v>1828</v>
      </c>
      <c r="K9" s="314"/>
      <c r="L9" s="314"/>
      <c r="M9" s="267"/>
      <c r="N9" s="16"/>
      <c r="O9" s="16"/>
      <c r="P9" s="16"/>
      <c r="Q9" s="16"/>
    </row>
    <row r="10" spans="1:23" ht="24" customHeight="1" x14ac:dyDescent="0.2">
      <c r="A10" s="231"/>
      <c r="B10" s="231"/>
      <c r="C10" s="231"/>
      <c r="D10" s="231"/>
      <c r="E10" s="232"/>
      <c r="F10" s="16"/>
      <c r="G10" s="19"/>
      <c r="H10" s="19"/>
      <c r="I10" s="19"/>
      <c r="J10" s="307">
        <f>'g.nike.input'!H23</f>
        <v>192</v>
      </c>
      <c r="K10" s="307"/>
      <c r="L10" s="307"/>
      <c r="M10" s="268"/>
      <c r="N10" s="16"/>
      <c r="O10" s="16"/>
      <c r="P10" s="16"/>
      <c r="Q10" s="16"/>
    </row>
    <row r="11" spans="1:23" ht="78" customHeight="1" x14ac:dyDescent="0.45">
      <c r="A11" s="231"/>
      <c r="B11" s="231"/>
      <c r="C11" s="231"/>
      <c r="D11" s="231"/>
      <c r="E11" s="232"/>
      <c r="F11" s="16"/>
      <c r="G11" s="111"/>
      <c r="H11" s="111"/>
      <c r="I11" s="111"/>
      <c r="J11" s="307"/>
      <c r="K11" s="307"/>
      <c r="L11" s="307"/>
      <c r="M11" s="268"/>
      <c r="N11" s="292"/>
      <c r="O11" s="292"/>
      <c r="P11" s="292"/>
      <c r="Q11" s="16"/>
    </row>
    <row r="12" spans="1:23" ht="51" customHeight="1" x14ac:dyDescent="0.75">
      <c r="A12" s="231"/>
      <c r="B12" s="231"/>
      <c r="C12" s="231"/>
      <c r="D12" s="231"/>
      <c r="E12" s="232"/>
      <c r="F12" s="16"/>
      <c r="G12" s="106"/>
      <c r="H12" s="106"/>
      <c r="I12" s="106"/>
      <c r="J12" s="305" t="s">
        <v>1783</v>
      </c>
      <c r="K12" s="305"/>
      <c r="L12" s="305"/>
      <c r="M12" s="269"/>
      <c r="N12" s="297"/>
      <c r="O12" s="297"/>
      <c r="P12" s="297"/>
      <c r="Q12" s="16"/>
    </row>
    <row r="13" spans="1:23" ht="24" customHeight="1" x14ac:dyDescent="0.2">
      <c r="A13" s="231"/>
      <c r="B13" s="231"/>
      <c r="C13" s="231"/>
      <c r="D13" s="231"/>
      <c r="E13" s="232"/>
      <c r="F13" s="16"/>
      <c r="G13" s="16"/>
      <c r="H13" s="16"/>
      <c r="I13" s="16"/>
      <c r="J13" s="304">
        <f>'g.nike.input'!H27</f>
        <v>217</v>
      </c>
      <c r="K13" s="304"/>
      <c r="L13" s="304"/>
      <c r="M13" s="270"/>
      <c r="N13" s="16"/>
      <c r="O13" s="16"/>
      <c r="P13" s="16"/>
      <c r="Q13" s="16"/>
    </row>
    <row r="14" spans="1:23" ht="42" customHeight="1" x14ac:dyDescent="0.2">
      <c r="A14" s="231"/>
      <c r="B14" s="231"/>
      <c r="C14" s="231"/>
      <c r="D14" s="231"/>
      <c r="E14" s="232"/>
      <c r="F14" s="16"/>
      <c r="G14" s="16"/>
      <c r="H14" s="16"/>
      <c r="I14" s="16"/>
      <c r="J14" s="304"/>
      <c r="K14" s="304"/>
      <c r="L14" s="304"/>
      <c r="M14" s="270"/>
      <c r="N14" s="16"/>
      <c r="O14" s="16"/>
      <c r="P14" s="16"/>
      <c r="Q14" s="16"/>
      <c r="W14" s="41"/>
    </row>
    <row r="15" spans="1:23" ht="34" customHeight="1" x14ac:dyDescent="0.45">
      <c r="A15" s="231"/>
      <c r="B15" s="231"/>
      <c r="C15" s="231"/>
      <c r="D15" s="231"/>
      <c r="E15" s="232"/>
      <c r="F15" s="309"/>
      <c r="G15" s="309"/>
      <c r="H15" s="309"/>
      <c r="I15" s="219"/>
      <c r="J15" s="304"/>
      <c r="K15" s="304"/>
      <c r="L15" s="304"/>
      <c r="M15" s="270"/>
      <c r="N15" s="292"/>
      <c r="O15" s="292"/>
      <c r="P15" s="292"/>
      <c r="Q15" s="16"/>
      <c r="W15" s="41"/>
    </row>
    <row r="16" spans="1:23" ht="63" x14ac:dyDescent="0.75">
      <c r="A16" s="231"/>
      <c r="B16" s="231"/>
      <c r="C16" s="231"/>
      <c r="D16" s="231"/>
      <c r="E16" s="232"/>
      <c r="F16" s="310"/>
      <c r="G16" s="310"/>
      <c r="H16" s="310"/>
      <c r="I16" s="103"/>
      <c r="J16" s="108" t="s">
        <v>1777</v>
      </c>
      <c r="K16" s="92"/>
      <c r="L16" s="108" t="s">
        <v>1778</v>
      </c>
      <c r="M16" s="271"/>
      <c r="N16" s="297"/>
      <c r="O16" s="297"/>
      <c r="P16" s="297"/>
      <c r="Q16" s="16"/>
    </row>
    <row r="17" spans="1:23" ht="46" customHeight="1" x14ac:dyDescent="0.75">
      <c r="A17" s="159"/>
      <c r="B17" s="159"/>
      <c r="C17" s="159"/>
      <c r="D17" s="159"/>
      <c r="E17" s="16"/>
      <c r="F17" s="16"/>
      <c r="G17" s="105"/>
      <c r="H17" s="105"/>
      <c r="I17" s="105"/>
      <c r="J17" s="136">
        <f>'g.nike.input'!F34</f>
        <v>136</v>
      </c>
      <c r="K17" s="114" t="s">
        <v>1784</v>
      </c>
      <c r="L17" s="136">
        <f>'g.nike.input'!F35</f>
        <v>56</v>
      </c>
      <c r="M17" s="272"/>
      <c r="N17" s="16"/>
      <c r="O17" s="16"/>
      <c r="P17" s="16"/>
      <c r="Q17" s="16"/>
    </row>
    <row r="18" spans="1:23" ht="16" customHeight="1" x14ac:dyDescent="0.2">
      <c r="A18" s="159"/>
      <c r="B18" s="159"/>
      <c r="C18" s="159"/>
      <c r="D18" s="159"/>
      <c r="E18" s="16"/>
      <c r="F18" s="16"/>
      <c r="G18" s="16"/>
      <c r="H18" s="16"/>
      <c r="I18" s="16"/>
      <c r="J18" s="311">
        <f>'g.nike.input'!E34</f>
        <v>0.70833333333333337</v>
      </c>
      <c r="K18" s="313">
        <f>'g.nike.input'!J9</f>
        <v>8</v>
      </c>
      <c r="L18" s="312">
        <f>'g.nike.input'!E35</f>
        <v>0.29166666666666669</v>
      </c>
      <c r="M18" s="273"/>
      <c r="N18" s="16"/>
      <c r="O18" s="16"/>
      <c r="P18" s="16"/>
      <c r="Q18" s="16"/>
      <c r="W18" s="41"/>
    </row>
    <row r="19" spans="1:23" ht="46" customHeight="1" x14ac:dyDescent="0.45">
      <c r="A19" s="159"/>
      <c r="B19" s="159"/>
      <c r="C19" s="159"/>
      <c r="D19" s="159"/>
      <c r="E19" s="16"/>
      <c r="F19" s="292"/>
      <c r="G19" s="292"/>
      <c r="H19" s="292"/>
      <c r="I19" s="104"/>
      <c r="J19" s="311"/>
      <c r="K19" s="313"/>
      <c r="L19" s="312"/>
      <c r="M19" s="273"/>
      <c r="N19" s="292"/>
      <c r="O19" s="292"/>
      <c r="P19" s="292"/>
      <c r="Q19" s="16"/>
      <c r="W19" s="41"/>
    </row>
    <row r="20" spans="1:23" ht="60" customHeight="1" x14ac:dyDescent="0.2">
      <c r="A20" s="159"/>
      <c r="B20" s="159"/>
      <c r="C20" s="159"/>
      <c r="D20" s="159"/>
      <c r="E20" s="16"/>
      <c r="F20" s="308"/>
      <c r="G20" s="308"/>
      <c r="H20" s="308"/>
      <c r="I20" s="218"/>
      <c r="J20" s="311"/>
      <c r="K20" s="313"/>
      <c r="L20" s="312"/>
      <c r="M20" s="273"/>
      <c r="N20" s="308"/>
      <c r="O20" s="308"/>
      <c r="P20" s="308"/>
      <c r="Q20" s="16"/>
    </row>
    <row r="21" spans="1:23" ht="63" x14ac:dyDescent="0.75">
      <c r="A21" s="231"/>
      <c r="B21" s="231"/>
      <c r="C21" s="231"/>
      <c r="D21" s="231"/>
      <c r="E21" s="232"/>
      <c r="F21" s="16"/>
      <c r="G21" s="107"/>
      <c r="H21" s="107"/>
      <c r="I21" s="107"/>
      <c r="J21" s="16"/>
      <c r="K21" s="16"/>
      <c r="L21" s="16"/>
      <c r="M21" s="16"/>
      <c r="N21" s="110"/>
      <c r="O21" s="110"/>
      <c r="P21" s="110"/>
      <c r="Q21" s="16"/>
    </row>
    <row r="22" spans="1:23" x14ac:dyDescent="0.2">
      <c r="A22" s="231"/>
      <c r="B22" s="231"/>
      <c r="C22" s="231"/>
      <c r="D22" s="231"/>
      <c r="E22" s="232"/>
      <c r="F22" s="16"/>
      <c r="G22" s="16"/>
      <c r="H22" s="16"/>
      <c r="I22" s="16"/>
      <c r="J22" s="16"/>
      <c r="K22" s="16"/>
      <c r="L22" s="16"/>
      <c r="M22" s="16"/>
      <c r="N22" s="16"/>
      <c r="O22" s="16"/>
      <c r="P22" s="16"/>
      <c r="Q22" s="16"/>
    </row>
    <row r="23" spans="1:23" x14ac:dyDescent="0.2">
      <c r="A23" s="231"/>
      <c r="B23" s="231"/>
      <c r="C23" s="231"/>
      <c r="D23" s="231"/>
      <c r="E23" s="232"/>
      <c r="F23" s="16"/>
      <c r="G23" s="16"/>
      <c r="H23" s="16"/>
      <c r="I23" s="16"/>
      <c r="J23" s="16"/>
      <c r="K23" s="16"/>
      <c r="L23" s="16"/>
      <c r="M23" s="16"/>
      <c r="N23" s="16"/>
      <c r="O23" s="16"/>
      <c r="P23" s="16"/>
      <c r="Q23" s="16"/>
    </row>
    <row r="24" spans="1:23" x14ac:dyDescent="0.2">
      <c r="A24" s="231"/>
      <c r="B24" s="231"/>
      <c r="C24" s="231"/>
      <c r="D24" s="231"/>
      <c r="E24" s="232"/>
      <c r="F24" s="16"/>
      <c r="G24" s="16"/>
      <c r="H24" s="16"/>
      <c r="I24" s="16"/>
      <c r="J24" s="16"/>
      <c r="K24" s="16"/>
      <c r="L24" s="16"/>
      <c r="M24" s="16"/>
      <c r="N24" s="16"/>
      <c r="O24" s="16"/>
      <c r="P24" s="16"/>
      <c r="Q24" s="16"/>
    </row>
    <row r="25" spans="1:23" x14ac:dyDescent="0.2">
      <c r="A25" s="231"/>
      <c r="B25" s="231"/>
      <c r="C25" s="231"/>
      <c r="D25" s="231"/>
      <c r="E25" s="232"/>
      <c r="F25" s="16"/>
      <c r="G25" s="16"/>
      <c r="H25" s="16"/>
      <c r="I25" s="16"/>
      <c r="J25" s="16"/>
      <c r="K25" s="16"/>
      <c r="L25" s="16"/>
      <c r="M25" s="16"/>
      <c r="N25" s="16"/>
      <c r="O25" s="16"/>
      <c r="P25" s="16"/>
      <c r="Q25" s="16"/>
    </row>
    <row r="26" spans="1:23" x14ac:dyDescent="0.2">
      <c r="A26" s="231"/>
      <c r="B26" s="231"/>
      <c r="C26" s="231"/>
      <c r="D26" s="231"/>
      <c r="E26" s="232"/>
      <c r="F26" s="16"/>
      <c r="G26" s="16"/>
      <c r="H26" s="16"/>
      <c r="I26" s="16"/>
      <c r="J26" s="16"/>
      <c r="K26" s="16"/>
      <c r="L26" s="16"/>
      <c r="M26" s="16"/>
      <c r="N26" s="16"/>
      <c r="O26" s="16"/>
      <c r="P26" s="16"/>
      <c r="Q26" s="16"/>
    </row>
    <row r="27" spans="1:23" ht="47" customHeight="1" x14ac:dyDescent="0.2">
      <c r="A27" s="231"/>
      <c r="B27" s="231"/>
      <c r="C27" s="231"/>
      <c r="D27" s="231"/>
      <c r="E27" s="232"/>
      <c r="F27" s="16"/>
      <c r="G27" s="16"/>
      <c r="H27" s="16"/>
      <c r="I27" s="16"/>
      <c r="J27" s="16"/>
      <c r="K27" s="16"/>
      <c r="L27" s="16"/>
      <c r="M27" s="16"/>
      <c r="N27" s="16"/>
      <c r="O27" s="16"/>
      <c r="P27" s="16"/>
      <c r="Q27" s="16"/>
    </row>
    <row r="28" spans="1:23" ht="16" customHeight="1" x14ac:dyDescent="0.2">
      <c r="A28" s="231"/>
      <c r="B28" s="231"/>
      <c r="C28" s="231"/>
      <c r="D28" s="231"/>
      <c r="E28" s="232"/>
      <c r="F28" s="16"/>
      <c r="G28" s="16"/>
      <c r="H28" s="16"/>
      <c r="I28" s="16"/>
      <c r="J28" s="16"/>
      <c r="K28" s="16"/>
      <c r="L28" s="16"/>
      <c r="M28" s="16"/>
      <c r="Q28" s="16"/>
    </row>
    <row r="29" spans="1:23" ht="16" customHeight="1" x14ac:dyDescent="0.2">
      <c r="A29" s="231"/>
      <c r="B29" s="231"/>
      <c r="C29" s="231"/>
      <c r="D29" s="231"/>
      <c r="E29" s="232"/>
      <c r="F29" s="16"/>
      <c r="G29" s="16"/>
      <c r="H29" s="16"/>
      <c r="I29" s="16"/>
      <c r="J29" s="16"/>
      <c r="K29" s="16"/>
      <c r="L29" s="16"/>
      <c r="M29" s="16"/>
      <c r="Q29" s="16"/>
    </row>
    <row r="30" spans="1:23" ht="16" customHeight="1" x14ac:dyDescent="0.2">
      <c r="A30" s="231"/>
      <c r="B30" s="231"/>
      <c r="C30" s="231"/>
      <c r="D30" s="231"/>
      <c r="E30" s="232"/>
      <c r="F30" s="16"/>
      <c r="G30" s="16"/>
      <c r="H30" s="16"/>
      <c r="I30" s="16"/>
      <c r="J30" s="16"/>
      <c r="K30" s="16"/>
      <c r="L30" s="16"/>
      <c r="M30" s="16"/>
      <c r="Q30" s="16"/>
    </row>
    <row r="31" spans="1:23" ht="35" customHeight="1" x14ac:dyDescent="0.2">
      <c r="A31" s="231"/>
      <c r="B31" s="231"/>
      <c r="C31" s="231"/>
      <c r="D31" s="231"/>
      <c r="E31" s="232"/>
      <c r="F31" s="16"/>
      <c r="G31" s="16"/>
      <c r="H31" s="16"/>
      <c r="I31" s="16"/>
      <c r="J31" s="16"/>
      <c r="K31" s="16"/>
      <c r="L31" s="16"/>
      <c r="M31" s="16"/>
      <c r="Q31" s="16"/>
      <c r="W31" s="109"/>
    </row>
    <row r="32" spans="1:23" x14ac:dyDescent="0.2">
      <c r="A32" s="231"/>
      <c r="B32" s="231"/>
      <c r="C32" s="231"/>
      <c r="D32" s="231"/>
      <c r="E32" s="232"/>
      <c r="F32" s="16"/>
      <c r="G32" s="16"/>
      <c r="H32" s="16"/>
      <c r="I32" s="16"/>
      <c r="J32" s="16"/>
      <c r="K32" s="16"/>
      <c r="L32" s="16"/>
      <c r="M32" s="16"/>
      <c r="Q32" s="16"/>
    </row>
    <row r="33" spans="1:22" x14ac:dyDescent="0.2">
      <c r="A33" s="231"/>
      <c r="B33" s="231"/>
      <c r="C33" s="231"/>
      <c r="D33" s="231"/>
      <c r="E33" s="232"/>
      <c r="F33" s="16"/>
      <c r="G33" s="16"/>
      <c r="H33" s="16"/>
      <c r="I33" s="16"/>
      <c r="J33" s="16"/>
      <c r="K33" s="16"/>
      <c r="L33" s="16"/>
      <c r="M33" s="16"/>
      <c r="Q33" s="16"/>
    </row>
    <row r="34" spans="1:22" x14ac:dyDescent="0.2">
      <c r="A34" s="231"/>
      <c r="B34" s="231"/>
      <c r="C34" s="231"/>
      <c r="D34" s="231"/>
      <c r="E34" s="232"/>
      <c r="F34" s="16"/>
      <c r="G34" s="16"/>
      <c r="H34" s="16"/>
      <c r="I34" s="16"/>
      <c r="J34" s="16"/>
      <c r="K34" s="16"/>
      <c r="L34" s="16"/>
      <c r="M34" s="16"/>
      <c r="Q34" s="16"/>
    </row>
    <row r="35" spans="1:22" x14ac:dyDescent="0.2">
      <c r="A35" s="231"/>
      <c r="B35" s="231"/>
      <c r="C35" s="231"/>
      <c r="D35" s="231"/>
      <c r="E35" s="232"/>
      <c r="F35" s="16"/>
      <c r="G35" s="16"/>
      <c r="H35" s="16"/>
      <c r="I35" s="16"/>
      <c r="J35" s="16"/>
      <c r="K35" s="16"/>
      <c r="L35" s="16"/>
      <c r="M35" s="16"/>
      <c r="Q35" s="16"/>
    </row>
    <row r="36" spans="1:22" x14ac:dyDescent="0.2">
      <c r="A36" s="231"/>
      <c r="B36" s="231"/>
      <c r="C36" s="231"/>
      <c r="D36" s="231"/>
      <c r="E36" s="232"/>
      <c r="F36" s="16"/>
      <c r="G36" s="16"/>
      <c r="H36" s="16"/>
      <c r="I36" s="16"/>
      <c r="J36" s="16"/>
      <c r="K36" s="16"/>
      <c r="L36" s="16"/>
      <c r="M36" s="16"/>
      <c r="Q36" s="16"/>
    </row>
    <row r="37" spans="1:22" x14ac:dyDescent="0.2">
      <c r="A37" s="231"/>
      <c r="B37" s="231"/>
      <c r="C37" s="231"/>
      <c r="D37" s="231"/>
      <c r="E37" s="232"/>
      <c r="F37" s="16"/>
      <c r="G37" s="16"/>
      <c r="H37" s="16"/>
      <c r="I37" s="16"/>
      <c r="J37" s="16"/>
      <c r="K37" s="16"/>
      <c r="L37" s="16"/>
      <c r="M37" s="16"/>
      <c r="N37" s="16"/>
      <c r="O37" s="16"/>
      <c r="P37" s="16"/>
      <c r="Q37" s="16"/>
    </row>
    <row r="38" spans="1:22" ht="16" customHeight="1" x14ac:dyDescent="0.2">
      <c r="A38" s="231"/>
      <c r="B38" s="231"/>
      <c r="C38" s="231"/>
      <c r="D38" s="231"/>
      <c r="E38" s="232"/>
      <c r="F38" s="16"/>
      <c r="G38" s="264"/>
      <c r="H38" s="264"/>
      <c r="I38" s="264"/>
      <c r="J38" s="16"/>
      <c r="K38" s="16"/>
      <c r="L38" s="16"/>
      <c r="M38" s="16"/>
      <c r="N38" s="16"/>
      <c r="O38" s="16"/>
      <c r="P38" s="16"/>
      <c r="Q38" s="16"/>
    </row>
    <row r="39" spans="1:22" ht="16" customHeight="1" x14ac:dyDescent="0.2">
      <c r="A39" s="231"/>
      <c r="B39" s="231"/>
      <c r="C39" s="231"/>
      <c r="D39" s="231"/>
      <c r="E39" s="232"/>
      <c r="F39" s="264"/>
      <c r="G39" s="264"/>
      <c r="H39" s="264"/>
      <c r="I39" s="264"/>
      <c r="J39" s="16"/>
      <c r="K39" s="16"/>
      <c r="L39" s="16"/>
      <c r="M39" s="16"/>
      <c r="N39" s="16"/>
      <c r="O39" s="16"/>
      <c r="P39" s="16"/>
      <c r="Q39" s="16"/>
    </row>
    <row r="40" spans="1:22" ht="38" customHeight="1" x14ac:dyDescent="0.4">
      <c r="A40" s="231"/>
      <c r="B40" s="231"/>
      <c r="C40" s="231"/>
      <c r="D40" s="231"/>
      <c r="E40" s="232"/>
      <c r="F40" s="302" t="s">
        <v>1781</v>
      </c>
      <c r="G40" s="302"/>
      <c r="H40" s="302"/>
      <c r="I40" s="216"/>
      <c r="J40" s="322" t="s">
        <v>1839</v>
      </c>
      <c r="K40" s="322" t="s">
        <v>1898</v>
      </c>
      <c r="L40" s="322" t="s">
        <v>1899</v>
      </c>
      <c r="M40" s="16"/>
      <c r="N40" s="302" t="s">
        <v>1782</v>
      </c>
      <c r="O40" s="302"/>
      <c r="P40" s="302"/>
      <c r="Q40" s="16"/>
    </row>
    <row r="41" spans="1:22" ht="32" customHeight="1" x14ac:dyDescent="0.4">
      <c r="A41" s="231"/>
      <c r="B41" s="231"/>
      <c r="C41" s="231"/>
      <c r="D41" s="231"/>
      <c r="E41" s="232"/>
      <c r="F41" s="302"/>
      <c r="G41" s="302"/>
      <c r="H41" s="302"/>
      <c r="I41" s="216"/>
      <c r="J41" s="323" t="s">
        <v>1494</v>
      </c>
      <c r="K41" s="324">
        <v>0.515625</v>
      </c>
      <c r="L41" s="323">
        <v>99</v>
      </c>
      <c r="M41" s="16"/>
      <c r="N41" s="302"/>
      <c r="O41" s="302"/>
      <c r="P41" s="302"/>
      <c r="Q41" s="16"/>
      <c r="V41" s="71"/>
    </row>
    <row r="42" spans="1:22" ht="34" x14ac:dyDescent="0.4">
      <c r="A42" s="231"/>
      <c r="B42" s="231"/>
      <c r="C42" s="231"/>
      <c r="D42" s="231"/>
      <c r="E42" s="232"/>
      <c r="F42" s="130" t="s">
        <v>1775</v>
      </c>
      <c r="G42" s="133" t="s">
        <v>1786</v>
      </c>
      <c r="H42" s="131" t="s">
        <v>1779</v>
      </c>
      <c r="I42" s="265"/>
      <c r="J42" s="318" t="s">
        <v>1492</v>
      </c>
      <c r="K42" s="319">
        <v>0.328125</v>
      </c>
      <c r="L42" s="318">
        <v>63</v>
      </c>
      <c r="M42" s="16"/>
      <c r="N42" s="130" t="s">
        <v>1775</v>
      </c>
      <c r="O42" s="132" t="s">
        <v>1785</v>
      </c>
      <c r="P42" s="131" t="s">
        <v>1780</v>
      </c>
      <c r="Q42" s="16"/>
      <c r="V42" s="8"/>
    </row>
    <row r="43" spans="1:22" ht="34" x14ac:dyDescent="0.4">
      <c r="A43" s="231"/>
      <c r="B43" s="231"/>
      <c r="C43" s="231"/>
      <c r="D43" s="231"/>
      <c r="E43" s="232"/>
      <c r="F43" s="135">
        <v>0.3</v>
      </c>
      <c r="G43" s="101">
        <v>84</v>
      </c>
      <c r="H43" s="117">
        <v>84</v>
      </c>
      <c r="I43" s="266"/>
      <c r="J43" s="320" t="s">
        <v>1493</v>
      </c>
      <c r="K43" s="321">
        <v>0.15625</v>
      </c>
      <c r="L43" s="320">
        <v>30</v>
      </c>
      <c r="M43" s="16"/>
      <c r="N43" s="135">
        <v>0.2</v>
      </c>
      <c r="O43" s="102">
        <v>73</v>
      </c>
      <c r="P43" s="102">
        <v>73</v>
      </c>
      <c r="Q43" s="16"/>
      <c r="V43" s="8"/>
    </row>
    <row r="44" spans="1:22" ht="34" x14ac:dyDescent="0.4">
      <c r="A44" s="231"/>
      <c r="B44" s="231"/>
      <c r="C44" s="231"/>
      <c r="D44" s="231"/>
      <c r="E44" s="232"/>
      <c r="F44" s="135">
        <v>0.2</v>
      </c>
      <c r="G44" s="101">
        <v>83</v>
      </c>
      <c r="H44" s="117">
        <v>83</v>
      </c>
      <c r="I44" s="266"/>
      <c r="J44" s="16"/>
      <c r="K44" s="16"/>
      <c r="L44" s="16"/>
      <c r="M44" s="16"/>
      <c r="N44" s="135">
        <v>0.3</v>
      </c>
      <c r="O44" s="102">
        <v>70</v>
      </c>
      <c r="P44" s="102">
        <v>70</v>
      </c>
      <c r="Q44" s="16"/>
      <c r="V44" s="8"/>
    </row>
    <row r="45" spans="1:22" ht="34" x14ac:dyDescent="0.4">
      <c r="A45" s="231"/>
      <c r="B45" s="231"/>
      <c r="C45" s="231"/>
      <c r="D45" s="231"/>
      <c r="E45" s="232"/>
      <c r="F45" s="135">
        <v>0.4</v>
      </c>
      <c r="G45" s="101">
        <v>46</v>
      </c>
      <c r="H45" s="117">
        <v>46</v>
      </c>
      <c r="I45" s="266"/>
      <c r="J45" s="16"/>
      <c r="K45" s="16"/>
      <c r="L45" s="16"/>
      <c r="M45" s="16"/>
      <c r="N45" s="135">
        <v>0.4</v>
      </c>
      <c r="O45" s="102">
        <v>46</v>
      </c>
      <c r="P45" s="102">
        <v>46</v>
      </c>
      <c r="Q45" s="16"/>
      <c r="V45" s="8"/>
    </row>
    <row r="46" spans="1:22" ht="34" x14ac:dyDescent="0.4">
      <c r="A46" s="231"/>
      <c r="B46" s="231"/>
      <c r="C46" s="231"/>
      <c r="D46" s="231"/>
      <c r="E46" s="232"/>
      <c r="F46" s="135">
        <v>0.25</v>
      </c>
      <c r="G46" s="101">
        <v>4</v>
      </c>
      <c r="H46" s="117">
        <v>4</v>
      </c>
      <c r="I46" s="266"/>
      <c r="J46" s="16"/>
      <c r="K46" s="16"/>
      <c r="L46" s="16"/>
      <c r="M46" s="16"/>
      <c r="N46" s="135">
        <v>0.25</v>
      </c>
      <c r="O46" s="102">
        <v>3</v>
      </c>
      <c r="P46" s="102">
        <v>3</v>
      </c>
      <c r="Q46" s="16"/>
    </row>
    <row r="47" spans="1:22" x14ac:dyDescent="0.2">
      <c r="A47" s="231"/>
      <c r="B47" s="231"/>
      <c r="C47" s="231"/>
      <c r="D47" s="231"/>
      <c r="E47" s="232"/>
      <c r="F47" s="16"/>
      <c r="G47" s="16"/>
      <c r="H47" s="16"/>
      <c r="I47" s="16"/>
      <c r="J47" s="16"/>
      <c r="K47" s="16"/>
      <c r="L47" s="16"/>
      <c r="M47" s="16"/>
      <c r="N47" s="16"/>
      <c r="O47" s="16"/>
      <c r="P47" s="16"/>
      <c r="Q47" s="16"/>
    </row>
    <row r="48" spans="1:22" x14ac:dyDescent="0.2">
      <c r="A48" s="231"/>
      <c r="B48" s="231"/>
      <c r="C48" s="231"/>
      <c r="D48" s="231"/>
      <c r="E48" s="232"/>
      <c r="F48" s="16"/>
      <c r="G48" s="16"/>
      <c r="H48" s="16"/>
      <c r="I48" s="16"/>
      <c r="J48" s="16"/>
      <c r="K48" s="16"/>
      <c r="L48" s="16"/>
      <c r="M48" s="16"/>
      <c r="N48" s="16"/>
      <c r="O48" s="16"/>
      <c r="P48" s="16"/>
      <c r="Q48" s="16"/>
    </row>
    <row r="49" spans="1:17" x14ac:dyDescent="0.2">
      <c r="A49" s="231"/>
      <c r="B49" s="231"/>
      <c r="C49" s="231"/>
      <c r="D49" s="231"/>
      <c r="E49" s="232"/>
      <c r="F49" s="16"/>
      <c r="G49" s="16"/>
      <c r="H49" s="16"/>
      <c r="I49" s="16"/>
      <c r="J49" s="16"/>
      <c r="K49" s="16"/>
      <c r="L49" s="16"/>
      <c r="M49" s="16"/>
      <c r="N49" s="16"/>
      <c r="O49" s="16"/>
      <c r="P49" s="16"/>
      <c r="Q49" s="16"/>
    </row>
    <row r="50" spans="1:17" x14ac:dyDescent="0.2">
      <c r="A50" s="231"/>
      <c r="B50" s="231"/>
      <c r="C50" s="231"/>
      <c r="D50" s="231"/>
      <c r="E50" s="232"/>
      <c r="F50" s="16"/>
      <c r="G50" s="16"/>
      <c r="H50" s="16"/>
      <c r="I50" s="16"/>
      <c r="J50" s="16"/>
      <c r="K50" s="16"/>
      <c r="L50" s="16"/>
      <c r="M50" s="16"/>
      <c r="N50" s="16"/>
      <c r="O50" s="16"/>
      <c r="P50" s="16"/>
      <c r="Q50" s="16"/>
    </row>
    <row r="51" spans="1:17" x14ac:dyDescent="0.2">
      <c r="A51" s="231"/>
      <c r="B51" s="231"/>
      <c r="C51" s="231"/>
      <c r="D51" s="231"/>
      <c r="E51" s="232"/>
      <c r="F51" s="16"/>
      <c r="G51" s="16"/>
      <c r="H51" s="16"/>
      <c r="I51" s="16"/>
      <c r="J51" s="16"/>
      <c r="K51" s="16"/>
      <c r="L51" s="16"/>
      <c r="M51" s="16"/>
      <c r="N51" s="16"/>
      <c r="O51" s="16"/>
      <c r="P51" s="16"/>
      <c r="Q51" s="16"/>
    </row>
    <row r="52" spans="1:17" x14ac:dyDescent="0.2">
      <c r="Q52" t="s">
        <v>1774</v>
      </c>
    </row>
  </sheetData>
  <mergeCells count="24">
    <mergeCell ref="F19:H19"/>
    <mergeCell ref="F9:H9"/>
    <mergeCell ref="J9:L9"/>
    <mergeCell ref="M1:Q8"/>
    <mergeCell ref="A1:I8"/>
    <mergeCell ref="N15:P15"/>
    <mergeCell ref="N16:P16"/>
    <mergeCell ref="J18:J20"/>
    <mergeCell ref="L18:L20"/>
    <mergeCell ref="K18:K20"/>
    <mergeCell ref="F40:H41"/>
    <mergeCell ref="J13:L15"/>
    <mergeCell ref="J12:L12"/>
    <mergeCell ref="N40:P41"/>
    <mergeCell ref="J1:L6"/>
    <mergeCell ref="J7:L8"/>
    <mergeCell ref="J10:L11"/>
    <mergeCell ref="N19:P19"/>
    <mergeCell ref="N20:P20"/>
    <mergeCell ref="F15:H15"/>
    <mergeCell ref="F16:H16"/>
    <mergeCell ref="F20:H20"/>
    <mergeCell ref="N11:P11"/>
    <mergeCell ref="N12:P12"/>
  </mergeCells>
  <conditionalFormatting pivot="1">
    <cfRule type="dataBar" priority="4">
      <dataBar showValue="0">
        <cfvo type="min"/>
        <cfvo type="max"/>
        <color rgb="FF638EC6"/>
      </dataBar>
      <extLst>
        <ext xmlns:x14="http://schemas.microsoft.com/office/spreadsheetml/2009/9/main" uri="{B025F937-C7B1-47D3-B67F-A62EFF666E3E}">
          <x14:id>{77FA56BE-5AC0-6B4E-85B4-B147A97BEB36}</x14:id>
        </ext>
      </extLst>
    </cfRule>
  </conditionalFormatting>
  <conditionalFormatting pivot="1" sqref="O43:O46">
    <cfRule type="dataBar" priority="2">
      <dataBar showValue="0">
        <cfvo type="min"/>
        <cfvo type="max"/>
        <color rgb="FF638EC6"/>
      </dataBar>
      <extLst>
        <ext xmlns:x14="http://schemas.microsoft.com/office/spreadsheetml/2009/9/main" uri="{B025F937-C7B1-47D3-B67F-A62EFF666E3E}">
          <x14:id>{A0E6D8B8-621E-DD42-B4C7-8E223A9AAE51}</x14:id>
        </ext>
      </extLst>
    </cfRule>
  </conditionalFormatting>
  <conditionalFormatting pivot="1" sqref="G43:G46">
    <cfRule type="dataBar" priority="1">
      <dataBar showValue="0">
        <cfvo type="min"/>
        <cfvo type="max"/>
        <color rgb="FF638EC6"/>
      </dataBar>
      <extLst>
        <ext xmlns:x14="http://schemas.microsoft.com/office/spreadsheetml/2009/9/main" uri="{B025F937-C7B1-47D3-B67F-A62EFF666E3E}">
          <x14:id>{3B2B58EB-6088-F64A-BE4A-2AF3C4292593}</x14:id>
        </ext>
      </extLst>
    </cfRule>
  </conditionalFormatting>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pivot="1">
          <x14:cfRule type="dataBar" id="{77FA56BE-5AC0-6B4E-85B4-B147A97BEB36}">
            <x14:dataBar minLength="0" maxLength="100" gradient="0">
              <x14:cfvo type="autoMin"/>
              <x14:cfvo type="autoMax"/>
              <x14:negativeFillColor rgb="FFFF0000"/>
              <x14:axisColor rgb="FF000000"/>
            </x14:dataBar>
          </x14:cfRule>
        </x14:conditionalFormatting>
        <x14:conditionalFormatting xmlns:xm="http://schemas.microsoft.com/office/excel/2006/main" pivot="1">
          <x14:cfRule type="dataBar" id="{A0E6D8B8-621E-DD42-B4C7-8E223A9AAE51}">
            <x14:dataBar minLength="0" maxLength="100" gradient="0">
              <x14:cfvo type="autoMin"/>
              <x14:cfvo type="autoMax"/>
              <x14:negativeFillColor rgb="FFFF0000"/>
              <x14:axisColor rgb="FF000000"/>
            </x14:dataBar>
          </x14:cfRule>
          <xm:sqref>O43:O46</xm:sqref>
        </x14:conditionalFormatting>
        <x14:conditionalFormatting xmlns:xm="http://schemas.microsoft.com/office/excel/2006/main" pivot="1">
          <x14:cfRule type="dataBar" id="{3B2B58EB-6088-F64A-BE4A-2AF3C4292593}">
            <x14:dataBar minLength="0" maxLength="100" gradient="0">
              <x14:cfvo type="autoMin"/>
              <x14:cfvo type="autoMax"/>
              <x14:negativeFillColor rgb="FFFF0000"/>
              <x14:axisColor rgb="FF000000"/>
            </x14:dataBar>
          </x14:cfRule>
          <xm:sqref>G43:G46</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79312-110A-AE4C-8045-70908EEADEB5}">
  <dimension ref="A1:K75"/>
  <sheetViews>
    <sheetView showGridLines="0" topLeftCell="B6" zoomScale="82" zoomScaleNormal="84" workbookViewId="0">
      <selection activeCell="D16" sqref="D16"/>
    </sheetView>
  </sheetViews>
  <sheetFormatPr baseColWidth="10" defaultColWidth="45" defaultRowHeight="16" x14ac:dyDescent="0.2"/>
  <cols>
    <col min="1" max="1" width="30.83203125" customWidth="1"/>
    <col min="2" max="2" width="13.1640625" customWidth="1"/>
    <col min="3" max="3" width="0.1640625" customWidth="1"/>
    <col min="4" max="4" width="66.5" customWidth="1"/>
    <col min="5" max="5" width="29.83203125" customWidth="1"/>
    <col min="6" max="6" width="27.5" customWidth="1"/>
  </cols>
  <sheetData>
    <row r="1" spans="1:11" ht="16" customHeight="1" x14ac:dyDescent="0.2">
      <c r="A1" s="298" t="s">
        <v>1833</v>
      </c>
      <c r="B1" s="299"/>
      <c r="C1" s="296" t="s">
        <v>1834</v>
      </c>
      <c r="D1" s="296"/>
      <c r="E1" s="296"/>
      <c r="F1" s="16"/>
    </row>
    <row r="2" spans="1:11" ht="16" customHeight="1" x14ac:dyDescent="0.2">
      <c r="A2" s="299"/>
      <c r="B2" s="299"/>
      <c r="C2" s="296"/>
      <c r="D2" s="296"/>
      <c r="E2" s="296"/>
      <c r="F2" s="16"/>
    </row>
    <row r="3" spans="1:11" ht="16" customHeight="1" x14ac:dyDescent="0.2">
      <c r="A3" s="299"/>
      <c r="B3" s="299"/>
      <c r="C3" s="296"/>
      <c r="D3" s="296"/>
      <c r="E3" s="296"/>
      <c r="F3" s="16"/>
    </row>
    <row r="4" spans="1:11" ht="16" customHeight="1" x14ac:dyDescent="0.2">
      <c r="A4" s="299"/>
      <c r="B4" s="299"/>
      <c r="C4" s="296"/>
      <c r="D4" s="296"/>
      <c r="E4" s="296"/>
      <c r="F4" s="16"/>
    </row>
    <row r="5" spans="1:11" ht="16" customHeight="1" x14ac:dyDescent="0.2">
      <c r="A5" s="299"/>
      <c r="B5" s="299"/>
      <c r="C5" s="296"/>
      <c r="D5" s="296"/>
      <c r="E5" s="296"/>
      <c r="F5" s="16"/>
    </row>
    <row r="6" spans="1:11" ht="16" customHeight="1" x14ac:dyDescent="0.2">
      <c r="A6" s="299"/>
      <c r="B6" s="299"/>
      <c r="C6" s="296"/>
      <c r="D6" s="296"/>
      <c r="E6" s="296"/>
      <c r="F6" s="16"/>
    </row>
    <row r="7" spans="1:11" ht="16" customHeight="1" x14ac:dyDescent="0.2">
      <c r="A7" s="299"/>
      <c r="B7" s="299"/>
      <c r="C7" s="306" t="s">
        <v>1789</v>
      </c>
      <c r="D7" s="306"/>
      <c r="E7" s="306"/>
      <c r="F7" s="16"/>
    </row>
    <row r="8" spans="1:11" ht="16" customHeight="1" x14ac:dyDescent="0.2">
      <c r="A8" s="299"/>
      <c r="B8" s="299"/>
      <c r="C8" s="306"/>
      <c r="D8" s="306"/>
      <c r="E8" s="306"/>
      <c r="F8" s="16"/>
    </row>
    <row r="9" spans="1:11" ht="51" customHeight="1" x14ac:dyDescent="0.2">
      <c r="A9" s="231"/>
      <c r="B9" s="16"/>
      <c r="C9" s="16"/>
      <c r="D9" s="16"/>
      <c r="E9" s="16"/>
      <c r="F9" s="16"/>
    </row>
    <row r="10" spans="1:11" ht="36" customHeight="1" x14ac:dyDescent="0.2">
      <c r="A10" s="231"/>
      <c r="B10" s="16"/>
      <c r="C10" s="16"/>
      <c r="D10" s="16"/>
      <c r="E10" s="16"/>
      <c r="F10" s="16"/>
    </row>
    <row r="11" spans="1:11" ht="27" customHeight="1" x14ac:dyDescent="0.35">
      <c r="A11" s="231"/>
      <c r="B11" s="16"/>
      <c r="C11" s="286" t="s">
        <v>1728</v>
      </c>
      <c r="D11" s="286"/>
      <c r="E11" s="43" t="s">
        <v>1499</v>
      </c>
      <c r="F11" s="16"/>
    </row>
    <row r="12" spans="1:11" ht="61" customHeight="1" x14ac:dyDescent="0.75">
      <c r="A12" s="231"/>
      <c r="B12" s="16"/>
      <c r="C12" s="287" t="s">
        <v>1752</v>
      </c>
      <c r="D12" s="287"/>
      <c r="E12" s="59">
        <f>'g.nike.input'!H14</f>
        <v>640</v>
      </c>
      <c r="F12" s="16"/>
      <c r="I12" t="s">
        <v>1718</v>
      </c>
    </row>
    <row r="13" spans="1:11" ht="69" customHeight="1" x14ac:dyDescent="0.75">
      <c r="A13" s="231"/>
      <c r="B13" s="16"/>
      <c r="C13" s="288" t="s">
        <v>1743</v>
      </c>
      <c r="D13" s="288"/>
      <c r="E13" s="44" t="s">
        <v>1724</v>
      </c>
      <c r="F13" s="16"/>
    </row>
    <row r="14" spans="1:11" ht="16" customHeight="1" x14ac:dyDescent="0.2">
      <c r="A14" s="231"/>
      <c r="B14" s="16"/>
      <c r="C14" s="55"/>
      <c r="D14" s="55"/>
      <c r="E14" s="55"/>
      <c r="F14" s="16"/>
      <c r="I14" t="s">
        <v>1723</v>
      </c>
    </row>
    <row r="15" spans="1:11" ht="16" customHeight="1" x14ac:dyDescent="0.2">
      <c r="A15" s="231"/>
      <c r="B15" s="16"/>
      <c r="C15" s="55"/>
      <c r="D15" s="45" t="s">
        <v>1906</v>
      </c>
      <c r="E15" s="45" t="s">
        <v>1491</v>
      </c>
      <c r="F15" s="16"/>
    </row>
    <row r="16" spans="1:11" ht="36" customHeight="1" x14ac:dyDescent="0.45">
      <c r="A16" s="231"/>
      <c r="B16" s="16"/>
      <c r="C16" s="58" t="s">
        <v>1729</v>
      </c>
      <c r="D16" s="51" t="s">
        <v>37</v>
      </c>
      <c r="E16" s="125">
        <v>14</v>
      </c>
      <c r="F16" s="16"/>
      <c r="K16" t="s">
        <v>1725</v>
      </c>
    </row>
    <row r="17" spans="1:11" ht="16" customHeight="1" x14ac:dyDescent="0.2">
      <c r="A17" s="231"/>
      <c r="B17" s="16"/>
      <c r="C17" s="57" t="s">
        <v>1466</v>
      </c>
      <c r="D17" s="127" t="s">
        <v>1387</v>
      </c>
      <c r="E17" s="126">
        <v>1</v>
      </c>
      <c r="F17" s="16"/>
      <c r="K17" s="41">
        <v>0.48</v>
      </c>
    </row>
    <row r="18" spans="1:11" x14ac:dyDescent="0.2">
      <c r="A18" s="159"/>
      <c r="B18" s="16"/>
      <c r="C18" s="57"/>
      <c r="D18" s="127" t="s">
        <v>204</v>
      </c>
      <c r="E18" s="126">
        <v>1</v>
      </c>
      <c r="F18" s="16"/>
      <c r="K18" s="41">
        <v>0.4</v>
      </c>
    </row>
    <row r="19" spans="1:11" x14ac:dyDescent="0.2">
      <c r="A19" s="159"/>
      <c r="B19" s="16"/>
      <c r="C19" s="57"/>
      <c r="D19" s="127" t="s">
        <v>38</v>
      </c>
      <c r="E19" s="126">
        <v>1</v>
      </c>
      <c r="F19" s="16"/>
      <c r="K19" s="41">
        <v>0.12</v>
      </c>
    </row>
    <row r="20" spans="1:11" x14ac:dyDescent="0.2">
      <c r="A20" s="159"/>
      <c r="B20" s="16"/>
      <c r="C20" s="57"/>
      <c r="D20" s="127" t="s">
        <v>554</v>
      </c>
      <c r="E20" s="126">
        <v>1</v>
      </c>
      <c r="F20" s="16"/>
    </row>
    <row r="21" spans="1:11" x14ac:dyDescent="0.2">
      <c r="A21" s="159"/>
      <c r="B21" s="16"/>
      <c r="C21" s="57"/>
      <c r="D21" s="127" t="s">
        <v>670</v>
      </c>
      <c r="E21" s="126">
        <v>1</v>
      </c>
      <c r="F21" s="16"/>
    </row>
    <row r="22" spans="1:11" x14ac:dyDescent="0.2">
      <c r="A22" s="159"/>
      <c r="B22" s="16"/>
      <c r="C22" s="57"/>
      <c r="D22" s="127" t="s">
        <v>1099</v>
      </c>
      <c r="E22" s="126">
        <v>1</v>
      </c>
      <c r="F22" s="16"/>
    </row>
    <row r="23" spans="1:11" x14ac:dyDescent="0.2">
      <c r="A23" s="159"/>
      <c r="B23" s="16"/>
      <c r="C23" s="57"/>
      <c r="D23" s="127" t="s">
        <v>1279</v>
      </c>
      <c r="E23" s="126">
        <v>1</v>
      </c>
      <c r="F23" s="16"/>
    </row>
    <row r="24" spans="1:11" x14ac:dyDescent="0.2">
      <c r="A24" s="231"/>
      <c r="B24" s="16"/>
      <c r="C24" s="57"/>
      <c r="D24" s="127" t="s">
        <v>320</v>
      </c>
      <c r="E24" s="126">
        <v>1</v>
      </c>
      <c r="F24" s="16"/>
    </row>
    <row r="25" spans="1:11" x14ac:dyDescent="0.2">
      <c r="A25" s="231"/>
      <c r="B25" s="16"/>
      <c r="C25" s="57"/>
      <c r="D25" s="127" t="s">
        <v>81</v>
      </c>
      <c r="E25" s="126">
        <v>1</v>
      </c>
      <c r="F25" s="16"/>
    </row>
    <row r="26" spans="1:11" x14ac:dyDescent="0.2">
      <c r="A26" s="231"/>
      <c r="B26" s="16"/>
      <c r="C26" s="57"/>
      <c r="D26" s="127" t="s">
        <v>610</v>
      </c>
      <c r="E26" s="126">
        <v>1</v>
      </c>
      <c r="F26" s="16"/>
    </row>
    <row r="27" spans="1:11" x14ac:dyDescent="0.2">
      <c r="A27" s="231"/>
      <c r="B27" s="16"/>
      <c r="C27" s="57"/>
      <c r="D27" s="127" t="s">
        <v>156</v>
      </c>
      <c r="E27" s="126">
        <v>1</v>
      </c>
      <c r="F27" s="16"/>
    </row>
    <row r="28" spans="1:11" x14ac:dyDescent="0.2">
      <c r="A28" s="231"/>
      <c r="B28" s="16"/>
      <c r="C28" s="57"/>
      <c r="D28" s="127" t="s">
        <v>1156</v>
      </c>
      <c r="E28" s="126">
        <v>1</v>
      </c>
      <c r="F28" s="16"/>
    </row>
    <row r="29" spans="1:11" x14ac:dyDescent="0.2">
      <c r="A29" s="231"/>
      <c r="B29" s="16"/>
      <c r="C29" s="57"/>
      <c r="D29" s="127" t="s">
        <v>1358</v>
      </c>
      <c r="E29" s="126">
        <v>1</v>
      </c>
      <c r="F29" s="16"/>
    </row>
    <row r="30" spans="1:11" x14ac:dyDescent="0.2">
      <c r="A30" s="231"/>
      <c r="B30" s="16"/>
      <c r="C30" s="57"/>
      <c r="D30" s="127" t="s">
        <v>809</v>
      </c>
      <c r="E30" s="126">
        <v>1</v>
      </c>
      <c r="F30" s="16"/>
    </row>
    <row r="31" spans="1:11" ht="27" x14ac:dyDescent="0.35">
      <c r="A31" s="231"/>
      <c r="B31" s="16"/>
      <c r="C31" s="53" t="s">
        <v>1730</v>
      </c>
      <c r="D31" s="52" t="s">
        <v>132</v>
      </c>
      <c r="E31" s="124">
        <v>9</v>
      </c>
      <c r="F31" s="16"/>
    </row>
    <row r="32" spans="1:11" ht="24" x14ac:dyDescent="0.3">
      <c r="A32" s="231"/>
      <c r="B32" s="16"/>
      <c r="C32" s="54" t="s">
        <v>1731</v>
      </c>
      <c r="D32" s="52" t="s">
        <v>56</v>
      </c>
      <c r="E32" s="124">
        <v>7</v>
      </c>
      <c r="F32" s="16"/>
    </row>
    <row r="33" spans="1:8" x14ac:dyDescent="0.2">
      <c r="A33" s="231"/>
      <c r="B33" s="16"/>
      <c r="C33" s="16"/>
      <c r="D33" s="16"/>
      <c r="E33" s="16"/>
      <c r="F33" s="16"/>
    </row>
    <row r="34" spans="1:8" x14ac:dyDescent="0.2">
      <c r="A34" s="231"/>
      <c r="B34" s="16"/>
      <c r="C34" s="16"/>
      <c r="D34" s="16"/>
      <c r="E34" s="16"/>
      <c r="F34" s="16"/>
    </row>
    <row r="35" spans="1:8" x14ac:dyDescent="0.2">
      <c r="A35" s="231"/>
      <c r="B35" s="16"/>
      <c r="C35" s="16"/>
      <c r="D35" s="16"/>
      <c r="E35" s="16"/>
      <c r="F35" s="16"/>
    </row>
    <row r="36" spans="1:8" x14ac:dyDescent="0.2">
      <c r="A36" s="231"/>
      <c r="B36" s="16"/>
      <c r="C36" s="16"/>
      <c r="D36" s="16"/>
      <c r="E36" s="16"/>
      <c r="F36" s="16"/>
    </row>
    <row r="37" spans="1:8" x14ac:dyDescent="0.2">
      <c r="A37" s="231"/>
      <c r="B37" s="16"/>
      <c r="C37" s="16"/>
      <c r="D37" s="16"/>
      <c r="E37" s="16"/>
      <c r="F37" s="16"/>
    </row>
    <row r="38" spans="1:8" x14ac:dyDescent="0.2">
      <c r="A38" s="231"/>
      <c r="B38" s="16"/>
      <c r="C38" s="16"/>
      <c r="D38" s="16"/>
      <c r="E38" s="16"/>
      <c r="F38" s="16"/>
    </row>
    <row r="39" spans="1:8" x14ac:dyDescent="0.2">
      <c r="A39" s="231"/>
      <c r="B39" s="16"/>
      <c r="C39" s="16"/>
      <c r="D39" s="16"/>
      <c r="E39" s="16"/>
      <c r="F39" s="16"/>
    </row>
    <row r="43" spans="1:8" ht="16" customHeight="1" x14ac:dyDescent="0.2">
      <c r="G43" s="174" t="s">
        <v>1787</v>
      </c>
      <c r="H43" s="174"/>
    </row>
    <row r="44" spans="1:8" ht="16" customHeight="1" x14ac:dyDescent="0.2">
      <c r="G44" s="174"/>
      <c r="H44" s="174"/>
    </row>
    <row r="45" spans="1:8" ht="16" customHeight="1" x14ac:dyDescent="0.2">
      <c r="G45" s="174"/>
      <c r="H45" s="174"/>
    </row>
    <row r="46" spans="1:8" ht="16" customHeight="1" x14ac:dyDescent="0.2">
      <c r="G46" s="174"/>
      <c r="H46" s="174"/>
    </row>
    <row r="47" spans="1:8" ht="16" customHeight="1" x14ac:dyDescent="0.2">
      <c r="G47" s="174"/>
      <c r="H47" s="174"/>
    </row>
    <row r="48" spans="1:8" ht="16" customHeight="1" x14ac:dyDescent="0.2">
      <c r="G48" s="174"/>
      <c r="H48" s="174"/>
    </row>
    <row r="49" spans="7:8" ht="16" customHeight="1" x14ac:dyDescent="0.2">
      <c r="G49" s="174"/>
      <c r="H49" s="174"/>
    </row>
    <row r="50" spans="7:8" ht="16" customHeight="1" x14ac:dyDescent="0.2">
      <c r="G50" s="174"/>
      <c r="H50" s="174"/>
    </row>
    <row r="51" spans="7:8" ht="16" customHeight="1" x14ac:dyDescent="0.2"/>
    <row r="52" spans="7:8" ht="16" customHeight="1" x14ac:dyDescent="0.2"/>
    <row r="54" spans="7:8" ht="16" customHeight="1" x14ac:dyDescent="0.2"/>
    <row r="55" spans="7:8" ht="37" customHeight="1" x14ac:dyDescent="0.2"/>
    <row r="57" spans="7:8" ht="16" customHeight="1" x14ac:dyDescent="0.2"/>
    <row r="58" spans="7:8" ht="16" customHeight="1" x14ac:dyDescent="0.2"/>
    <row r="59" spans="7:8" ht="37" customHeight="1" x14ac:dyDescent="0.2"/>
    <row r="62" spans="7:8" ht="16" customHeight="1" x14ac:dyDescent="0.2"/>
    <row r="63" spans="7:8" ht="37" customHeight="1" x14ac:dyDescent="0.2"/>
    <row r="66" ht="16" customHeight="1" x14ac:dyDescent="0.2"/>
    <row r="72" ht="16" customHeight="1" x14ac:dyDescent="0.2"/>
    <row r="73" ht="16" customHeight="1" x14ac:dyDescent="0.2"/>
    <row r="74" ht="16" customHeight="1" x14ac:dyDescent="0.2"/>
    <row r="75" ht="16" customHeight="1" x14ac:dyDescent="0.2"/>
  </sheetData>
  <mergeCells count="6">
    <mergeCell ref="C13:D13"/>
    <mergeCell ref="A1:B8"/>
    <mergeCell ref="C1:E6"/>
    <mergeCell ref="C7:E8"/>
    <mergeCell ref="C11:D11"/>
    <mergeCell ref="C12:D12"/>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4B6DE-658D-AF46-BD5A-F35B38B6F45D}">
  <dimension ref="A1:L494"/>
  <sheetViews>
    <sheetView showGridLines="0" topLeftCell="E27" zoomScale="94" zoomScaleNormal="50" workbookViewId="0">
      <selection activeCell="K9" sqref="K9"/>
    </sheetView>
  </sheetViews>
  <sheetFormatPr baseColWidth="10" defaultRowHeight="16" x14ac:dyDescent="0.2"/>
  <cols>
    <col min="1" max="1" width="20" customWidth="1"/>
    <col min="2" max="2" width="6.1640625" customWidth="1"/>
    <col min="3" max="3" width="21.1640625" customWidth="1"/>
    <col min="4" max="4" width="32.33203125" bestFit="1" customWidth="1"/>
    <col min="5" max="5" width="19.33203125" bestFit="1" customWidth="1"/>
    <col min="6" max="6" width="10.83203125" bestFit="1" customWidth="1"/>
    <col min="7" max="7" width="15.33203125" bestFit="1" customWidth="1"/>
    <col min="8" max="8" width="9.83203125" customWidth="1"/>
    <col min="9" max="9" width="18.1640625" customWidth="1"/>
    <col min="11" max="11" width="42.1640625" bestFit="1" customWidth="1"/>
    <col min="12" max="12" width="13.33203125" bestFit="1" customWidth="1"/>
    <col min="13" max="14" width="15.33203125" bestFit="1" customWidth="1"/>
  </cols>
  <sheetData>
    <row r="1" spans="1:12" ht="16" customHeight="1" x14ac:dyDescent="0.2">
      <c r="A1" s="298" t="s">
        <v>1833</v>
      </c>
      <c r="B1" s="298"/>
      <c r="C1" s="298"/>
      <c r="D1" s="316" t="s">
        <v>1742</v>
      </c>
      <c r="E1" s="316"/>
      <c r="F1" s="316"/>
      <c r="G1" s="316"/>
      <c r="H1" s="316"/>
    </row>
    <row r="2" spans="1:12" ht="63" customHeight="1" x14ac:dyDescent="0.2">
      <c r="A2" s="298"/>
      <c r="B2" s="298"/>
      <c r="C2" s="298"/>
      <c r="D2" s="316"/>
      <c r="E2" s="316"/>
      <c r="F2" s="316"/>
      <c r="G2" s="316"/>
      <c r="H2" s="316"/>
    </row>
    <row r="3" spans="1:12" ht="48" customHeight="1" x14ac:dyDescent="0.2">
      <c r="A3" s="298"/>
      <c r="B3" s="298"/>
      <c r="C3" s="298"/>
      <c r="D3" s="316"/>
      <c r="E3" s="316"/>
      <c r="F3" s="316"/>
      <c r="G3" s="316"/>
      <c r="H3" s="316"/>
    </row>
    <row r="4" spans="1:12" ht="22" customHeight="1" x14ac:dyDescent="0.2">
      <c r="A4" s="231"/>
      <c r="B4" s="315" t="s">
        <v>1749</v>
      </c>
      <c r="C4" s="315"/>
      <c r="D4" s="315"/>
      <c r="E4" s="317" t="s">
        <v>1753</v>
      </c>
      <c r="F4" s="317"/>
      <c r="G4" s="317"/>
      <c r="H4" s="317"/>
    </row>
    <row r="5" spans="1:12" ht="27" customHeight="1" x14ac:dyDescent="0.2">
      <c r="A5" s="231"/>
      <c r="B5" s="315"/>
      <c r="C5" s="315"/>
      <c r="D5" s="315"/>
      <c r="E5" s="317"/>
      <c r="F5" s="317"/>
      <c r="G5" s="317"/>
      <c r="H5" s="317"/>
    </row>
    <row r="6" spans="1:12" ht="22" customHeight="1" x14ac:dyDescent="0.2">
      <c r="A6" s="231"/>
      <c r="B6" s="232"/>
      <c r="C6" s="16"/>
      <c r="D6" s="184"/>
      <c r="E6" s="184"/>
      <c r="F6" s="184"/>
      <c r="G6" s="16"/>
      <c r="H6" s="16"/>
    </row>
    <row r="7" spans="1:12" ht="19" x14ac:dyDescent="0.25">
      <c r="A7" s="231"/>
      <c r="B7" s="232"/>
      <c r="C7" s="244"/>
      <c r="D7" s="244"/>
      <c r="E7" s="244"/>
      <c r="F7" s="244"/>
      <c r="G7" s="244"/>
      <c r="H7" s="16"/>
      <c r="K7" s="100" t="s">
        <v>1486</v>
      </c>
      <c r="L7" t="s">
        <v>1750</v>
      </c>
    </row>
    <row r="8" spans="1:12" ht="19" x14ac:dyDescent="0.25">
      <c r="A8" s="231"/>
      <c r="B8" s="232"/>
      <c r="C8" s="16"/>
      <c r="D8" s="75" t="s">
        <v>1486</v>
      </c>
      <c r="E8" s="16" t="s">
        <v>1844</v>
      </c>
      <c r="F8" s="206" t="s">
        <v>1751</v>
      </c>
      <c r="G8" s="98" t="s">
        <v>1750</v>
      </c>
      <c r="H8" s="16"/>
      <c r="K8" s="7" t="s">
        <v>37</v>
      </c>
      <c r="L8" s="326">
        <v>7</v>
      </c>
    </row>
    <row r="9" spans="1:12" ht="22" x14ac:dyDescent="0.3">
      <c r="A9" s="231"/>
      <c r="B9" s="232"/>
      <c r="C9" s="293" t="s">
        <v>1744</v>
      </c>
      <c r="D9" s="96" t="s">
        <v>1494</v>
      </c>
      <c r="E9" s="254">
        <v>687</v>
      </c>
      <c r="F9" s="254">
        <v>687</v>
      </c>
      <c r="G9" s="255">
        <v>8</v>
      </c>
      <c r="H9" s="16"/>
      <c r="K9" s="40" t="s">
        <v>204</v>
      </c>
      <c r="L9" s="326">
        <v>1</v>
      </c>
    </row>
    <row r="10" spans="1:12" ht="27" x14ac:dyDescent="0.35">
      <c r="A10" s="231"/>
      <c r="B10" s="232"/>
      <c r="C10" s="293"/>
      <c r="D10" s="72" t="s">
        <v>358</v>
      </c>
      <c r="E10">
        <v>223</v>
      </c>
      <c r="F10" s="73">
        <v>223</v>
      </c>
      <c r="G10" s="260">
        <v>1</v>
      </c>
      <c r="H10" s="16"/>
      <c r="K10" s="40" t="s">
        <v>38</v>
      </c>
      <c r="L10" s="326">
        <v>1</v>
      </c>
    </row>
    <row r="11" spans="1:12" ht="22" x14ac:dyDescent="0.3">
      <c r="A11" s="231"/>
      <c r="B11" s="232"/>
      <c r="C11" s="183" t="s">
        <v>1745</v>
      </c>
      <c r="D11" s="74" t="s">
        <v>11</v>
      </c>
      <c r="E11">
        <v>145</v>
      </c>
      <c r="F11" s="259">
        <v>145</v>
      </c>
      <c r="G11" s="260">
        <v>2</v>
      </c>
      <c r="H11" s="16"/>
      <c r="K11" s="40" t="s">
        <v>554</v>
      </c>
      <c r="L11" s="326">
        <v>1</v>
      </c>
    </row>
    <row r="12" spans="1:12" ht="22" x14ac:dyDescent="0.3">
      <c r="A12" s="231"/>
      <c r="B12" s="232"/>
      <c r="C12" s="235" t="s">
        <v>1746</v>
      </c>
      <c r="D12" s="74" t="s">
        <v>903</v>
      </c>
      <c r="E12">
        <v>117</v>
      </c>
      <c r="F12" s="259">
        <v>117</v>
      </c>
      <c r="G12" s="260">
        <v>2</v>
      </c>
      <c r="H12" s="16"/>
      <c r="K12" s="40" t="s">
        <v>1099</v>
      </c>
      <c r="L12" s="326">
        <v>1</v>
      </c>
    </row>
    <row r="13" spans="1:12" ht="19" x14ac:dyDescent="0.25">
      <c r="A13" s="231"/>
      <c r="B13" s="232"/>
      <c r="C13" s="236" t="s">
        <v>1747</v>
      </c>
      <c r="D13" s="74" t="s">
        <v>502</v>
      </c>
      <c r="E13">
        <v>105</v>
      </c>
      <c r="F13" s="259">
        <v>105</v>
      </c>
      <c r="G13" s="260">
        <v>1</v>
      </c>
      <c r="H13" s="16"/>
      <c r="K13" s="40" t="s">
        <v>320</v>
      </c>
      <c r="L13" s="326">
        <v>1</v>
      </c>
    </row>
    <row r="14" spans="1:12" ht="19" x14ac:dyDescent="0.25">
      <c r="A14" s="231"/>
      <c r="B14" s="232"/>
      <c r="C14" s="237" t="s">
        <v>1748</v>
      </c>
      <c r="D14" s="74" t="s">
        <v>435</v>
      </c>
      <c r="E14">
        <v>97</v>
      </c>
      <c r="F14" s="259">
        <v>97</v>
      </c>
      <c r="G14" s="260">
        <v>2</v>
      </c>
      <c r="H14" s="16"/>
      <c r="K14" s="40" t="s">
        <v>610</v>
      </c>
      <c r="L14" s="326">
        <v>1</v>
      </c>
    </row>
    <row r="15" spans="1:12" x14ac:dyDescent="0.2">
      <c r="A15" s="231"/>
      <c r="B15" s="232"/>
      <c r="C15" s="16"/>
      <c r="D15" s="16"/>
      <c r="E15" s="16"/>
      <c r="F15" s="16"/>
      <c r="G15" s="16"/>
      <c r="H15" s="16"/>
      <c r="K15" s="40" t="s">
        <v>1156</v>
      </c>
      <c r="L15" s="326">
        <v>1</v>
      </c>
    </row>
    <row r="16" spans="1:12" x14ac:dyDescent="0.2">
      <c r="A16" s="231"/>
      <c r="B16" s="232"/>
      <c r="C16" s="16"/>
      <c r="D16" s="16"/>
      <c r="E16" s="16"/>
      <c r="F16" s="16"/>
      <c r="G16" s="16"/>
      <c r="H16" s="16"/>
      <c r="K16" s="7" t="s">
        <v>56</v>
      </c>
      <c r="L16" s="326">
        <v>5</v>
      </c>
    </row>
    <row r="17" spans="1:12" x14ac:dyDescent="0.2">
      <c r="A17" s="231"/>
      <c r="B17" s="232"/>
      <c r="C17" s="16"/>
      <c r="H17" s="16"/>
      <c r="K17" s="40" t="s">
        <v>57</v>
      </c>
      <c r="L17" s="326">
        <v>1</v>
      </c>
    </row>
    <row r="18" spans="1:12" x14ac:dyDescent="0.2">
      <c r="A18" s="231"/>
      <c r="B18" s="16"/>
      <c r="C18" s="16"/>
      <c r="H18" s="16"/>
      <c r="K18" s="40" t="s">
        <v>1162</v>
      </c>
      <c r="L18" s="326">
        <v>1</v>
      </c>
    </row>
    <row r="19" spans="1:12" x14ac:dyDescent="0.2">
      <c r="A19" s="231"/>
      <c r="B19" s="16"/>
      <c r="C19" s="16"/>
      <c r="H19" s="16"/>
      <c r="K19" s="40" t="s">
        <v>171</v>
      </c>
      <c r="L19" s="326">
        <v>1</v>
      </c>
    </row>
    <row r="20" spans="1:12" x14ac:dyDescent="0.2">
      <c r="A20" s="231"/>
      <c r="B20" s="16"/>
      <c r="C20" s="16"/>
      <c r="H20" s="16"/>
      <c r="K20" s="40" t="s">
        <v>1341</v>
      </c>
      <c r="L20" s="326">
        <v>1</v>
      </c>
    </row>
    <row r="21" spans="1:12" x14ac:dyDescent="0.2">
      <c r="A21" s="231"/>
      <c r="B21" s="16"/>
      <c r="C21" s="16"/>
      <c r="D21" s="16"/>
      <c r="E21" s="16"/>
      <c r="F21" s="16"/>
      <c r="G21" s="16"/>
      <c r="H21" s="16"/>
      <c r="K21" s="40" t="s">
        <v>375</v>
      </c>
      <c r="L21" s="326">
        <v>1</v>
      </c>
    </row>
    <row r="22" spans="1:12" x14ac:dyDescent="0.2">
      <c r="A22" s="231"/>
      <c r="B22" s="16"/>
      <c r="C22" s="16"/>
      <c r="D22" s="16"/>
      <c r="E22" s="16"/>
      <c r="F22" s="16"/>
      <c r="G22" s="16"/>
      <c r="H22" s="16"/>
      <c r="K22" s="7" t="s">
        <v>298</v>
      </c>
      <c r="L22" s="326">
        <v>4</v>
      </c>
    </row>
    <row r="23" spans="1:12" x14ac:dyDescent="0.2">
      <c r="A23" s="159"/>
      <c r="B23" s="232"/>
      <c r="C23" s="16"/>
      <c r="D23" s="16"/>
      <c r="E23" s="16"/>
      <c r="F23" s="16"/>
      <c r="G23" s="16"/>
      <c r="H23" s="16"/>
      <c r="K23" s="40" t="s">
        <v>299</v>
      </c>
      <c r="L23" s="326">
        <v>1</v>
      </c>
    </row>
    <row r="24" spans="1:12" ht="22" customHeight="1" x14ac:dyDescent="0.2">
      <c r="A24" s="159"/>
      <c r="B24" s="232"/>
      <c r="C24" s="16"/>
      <c r="D24" s="16"/>
      <c r="E24" s="16"/>
      <c r="F24" s="16"/>
      <c r="G24" s="16"/>
      <c r="H24" s="16"/>
      <c r="K24" s="40" t="s">
        <v>678</v>
      </c>
      <c r="L24" s="326">
        <v>1</v>
      </c>
    </row>
    <row r="25" spans="1:12" ht="27" customHeight="1" x14ac:dyDescent="0.2">
      <c r="A25" s="159"/>
      <c r="B25" s="232"/>
      <c r="C25" s="16"/>
      <c r="D25" s="16"/>
      <c r="E25" s="16"/>
      <c r="F25" s="16"/>
      <c r="G25" s="16"/>
      <c r="H25" s="16"/>
      <c r="K25" s="40" t="s">
        <v>307</v>
      </c>
      <c r="L25" s="326">
        <v>1</v>
      </c>
    </row>
    <row r="26" spans="1:12" x14ac:dyDescent="0.2">
      <c r="A26" s="159"/>
      <c r="B26" s="232"/>
      <c r="C26" s="16"/>
      <c r="D26" s="16"/>
      <c r="E26" s="16"/>
      <c r="F26" s="16"/>
      <c r="G26" s="16"/>
      <c r="H26" s="16"/>
      <c r="K26" s="40" t="s">
        <v>1087</v>
      </c>
      <c r="L26" s="326">
        <v>1</v>
      </c>
    </row>
    <row r="27" spans="1:12" x14ac:dyDescent="0.2">
      <c r="A27" s="231"/>
      <c r="B27" s="232"/>
      <c r="C27" s="16"/>
      <c r="D27" s="16"/>
      <c r="E27" s="16"/>
      <c r="F27" s="16"/>
      <c r="G27" s="16"/>
      <c r="H27" s="16"/>
      <c r="K27" s="7" t="s">
        <v>162</v>
      </c>
      <c r="L27" s="326">
        <v>4</v>
      </c>
    </row>
    <row r="28" spans="1:12" x14ac:dyDescent="0.2">
      <c r="A28" s="231"/>
      <c r="B28" s="232"/>
      <c r="C28" s="16"/>
      <c r="D28" s="16"/>
      <c r="E28" s="16"/>
      <c r="F28" s="16"/>
      <c r="G28" s="16"/>
      <c r="H28" s="16"/>
      <c r="K28" s="40" t="s">
        <v>163</v>
      </c>
      <c r="L28" s="326">
        <v>2</v>
      </c>
    </row>
    <row r="29" spans="1:12" x14ac:dyDescent="0.2">
      <c r="A29" s="231"/>
      <c r="B29" s="232"/>
      <c r="C29" s="16"/>
      <c r="D29" s="16"/>
      <c r="E29" s="16"/>
      <c r="F29" s="16"/>
      <c r="G29" s="16"/>
      <c r="H29" s="16"/>
      <c r="K29" s="40" t="s">
        <v>1035</v>
      </c>
      <c r="L29" s="326">
        <v>2</v>
      </c>
    </row>
    <row r="30" spans="1:12" x14ac:dyDescent="0.2">
      <c r="A30" s="231"/>
      <c r="B30" s="232"/>
      <c r="C30" s="16"/>
      <c r="D30" s="16"/>
      <c r="E30" s="16"/>
      <c r="F30" s="16"/>
      <c r="G30" s="16"/>
      <c r="H30" s="16"/>
      <c r="K30" s="7" t="s">
        <v>400</v>
      </c>
      <c r="L30" s="326">
        <v>3</v>
      </c>
    </row>
    <row r="31" spans="1:12" x14ac:dyDescent="0.2">
      <c r="A31" s="231"/>
      <c r="B31" s="232"/>
      <c r="C31" s="16"/>
      <c r="D31" s="16"/>
      <c r="E31" s="16"/>
      <c r="F31" s="16"/>
      <c r="G31" s="16"/>
      <c r="H31" s="16"/>
      <c r="K31" s="40" t="s">
        <v>917</v>
      </c>
      <c r="L31" s="326">
        <v>1</v>
      </c>
    </row>
    <row r="32" spans="1:12" x14ac:dyDescent="0.2">
      <c r="A32" s="231"/>
      <c r="B32" s="232"/>
      <c r="C32" s="16"/>
      <c r="D32" s="16"/>
      <c r="E32" s="16"/>
      <c r="F32" s="16"/>
      <c r="G32" s="16"/>
      <c r="H32" s="16"/>
      <c r="K32" s="40" t="s">
        <v>401</v>
      </c>
      <c r="L32" s="326">
        <v>1</v>
      </c>
    </row>
    <row r="33" spans="1:12" x14ac:dyDescent="0.2">
      <c r="A33" s="231"/>
      <c r="B33" s="232"/>
      <c r="C33" s="16"/>
      <c r="D33" s="16"/>
      <c r="E33" s="16"/>
      <c r="F33" s="16"/>
      <c r="G33" s="16"/>
      <c r="H33" s="16"/>
      <c r="K33" s="40" t="s">
        <v>1101</v>
      </c>
      <c r="L33" s="326">
        <v>1</v>
      </c>
    </row>
    <row r="34" spans="1:12" x14ac:dyDescent="0.2">
      <c r="A34" s="231"/>
      <c r="B34" s="232"/>
      <c r="C34" s="16"/>
      <c r="D34" s="16"/>
      <c r="E34" s="16"/>
      <c r="F34" s="16"/>
      <c r="G34" s="16"/>
      <c r="H34" s="16"/>
      <c r="K34" s="7" t="s">
        <v>135</v>
      </c>
      <c r="L34" s="326">
        <v>3</v>
      </c>
    </row>
    <row r="35" spans="1:12" x14ac:dyDescent="0.2">
      <c r="A35" s="231"/>
      <c r="B35" s="232"/>
      <c r="C35" s="16"/>
      <c r="D35" s="16"/>
      <c r="E35" s="16"/>
      <c r="F35" s="16"/>
      <c r="G35" s="16"/>
      <c r="H35" s="16"/>
      <c r="K35" s="40" t="s">
        <v>605</v>
      </c>
      <c r="L35" s="326">
        <v>1</v>
      </c>
    </row>
    <row r="36" spans="1:12" x14ac:dyDescent="0.2">
      <c r="A36" s="231"/>
      <c r="B36" s="232"/>
      <c r="C36" s="16"/>
      <c r="D36" s="16"/>
      <c r="E36" s="16"/>
      <c r="F36" s="16"/>
      <c r="G36" s="16"/>
      <c r="H36" s="16"/>
      <c r="K36" s="40" t="s">
        <v>1460</v>
      </c>
      <c r="L36" s="326">
        <v>1</v>
      </c>
    </row>
    <row r="37" spans="1:12" x14ac:dyDescent="0.2">
      <c r="A37" s="231"/>
      <c r="B37" s="232"/>
      <c r="C37" s="16"/>
      <c r="D37" s="16"/>
      <c r="E37" s="16"/>
      <c r="F37" s="16"/>
      <c r="G37" s="16"/>
      <c r="H37" s="16"/>
      <c r="K37" s="40" t="s">
        <v>1402</v>
      </c>
      <c r="L37" s="326">
        <v>1</v>
      </c>
    </row>
    <row r="38" spans="1:12" x14ac:dyDescent="0.2">
      <c r="K38" s="7" t="s">
        <v>132</v>
      </c>
      <c r="L38" s="326">
        <v>3</v>
      </c>
    </row>
    <row r="39" spans="1:12" x14ac:dyDescent="0.2">
      <c r="K39" s="40" t="s">
        <v>1143</v>
      </c>
      <c r="L39" s="326">
        <v>1</v>
      </c>
    </row>
    <row r="40" spans="1:12" x14ac:dyDescent="0.2">
      <c r="K40" s="40" t="s">
        <v>1360</v>
      </c>
      <c r="L40" s="326">
        <v>1</v>
      </c>
    </row>
    <row r="41" spans="1:12" x14ac:dyDescent="0.2">
      <c r="K41" s="40" t="s">
        <v>364</v>
      </c>
      <c r="L41" s="326">
        <v>1</v>
      </c>
    </row>
    <row r="42" spans="1:12" x14ac:dyDescent="0.2">
      <c r="K42" s="7" t="s">
        <v>548</v>
      </c>
      <c r="L42" s="326">
        <v>3</v>
      </c>
    </row>
    <row r="43" spans="1:12" x14ac:dyDescent="0.2">
      <c r="K43" s="40" t="s">
        <v>549</v>
      </c>
      <c r="L43" s="326">
        <v>2</v>
      </c>
    </row>
    <row r="44" spans="1:12" x14ac:dyDescent="0.2">
      <c r="K44" s="40" t="s">
        <v>899</v>
      </c>
      <c r="L44" s="326">
        <v>1</v>
      </c>
    </row>
    <row r="45" spans="1:12" x14ac:dyDescent="0.2">
      <c r="K45" s="7" t="s">
        <v>182</v>
      </c>
      <c r="L45" s="326">
        <v>3</v>
      </c>
    </row>
    <row r="46" spans="1:12" x14ac:dyDescent="0.2">
      <c r="K46" s="40" t="s">
        <v>989</v>
      </c>
      <c r="L46" s="326">
        <v>1</v>
      </c>
    </row>
    <row r="47" spans="1:12" x14ac:dyDescent="0.2">
      <c r="K47" s="40" t="s">
        <v>1068</v>
      </c>
      <c r="L47" s="326">
        <v>1</v>
      </c>
    </row>
    <row r="48" spans="1:12" x14ac:dyDescent="0.2">
      <c r="K48" s="40" t="s">
        <v>1195</v>
      </c>
      <c r="L48" s="326">
        <v>1</v>
      </c>
    </row>
    <row r="49" spans="11:12" x14ac:dyDescent="0.2">
      <c r="K49" s="7" t="s">
        <v>108</v>
      </c>
      <c r="L49" s="326">
        <v>3</v>
      </c>
    </row>
    <row r="50" spans="11:12" x14ac:dyDescent="0.2">
      <c r="K50" s="40" t="s">
        <v>405</v>
      </c>
      <c r="L50" s="326">
        <v>1</v>
      </c>
    </row>
    <row r="51" spans="11:12" x14ac:dyDescent="0.2">
      <c r="K51" s="40" t="s">
        <v>109</v>
      </c>
      <c r="L51" s="326">
        <v>1</v>
      </c>
    </row>
    <row r="52" spans="11:12" x14ac:dyDescent="0.2">
      <c r="K52" s="40" t="s">
        <v>318</v>
      </c>
      <c r="L52" s="326">
        <v>1</v>
      </c>
    </row>
    <row r="53" spans="11:12" x14ac:dyDescent="0.2">
      <c r="K53" s="7" t="s">
        <v>947</v>
      </c>
      <c r="L53" s="326">
        <v>3</v>
      </c>
    </row>
    <row r="54" spans="11:12" x14ac:dyDescent="0.2">
      <c r="K54" s="40" t="s">
        <v>948</v>
      </c>
      <c r="L54" s="326">
        <v>1</v>
      </c>
    </row>
    <row r="55" spans="11:12" x14ac:dyDescent="0.2">
      <c r="K55" s="40" t="s">
        <v>1214</v>
      </c>
      <c r="L55" s="326">
        <v>1</v>
      </c>
    </row>
    <row r="56" spans="11:12" x14ac:dyDescent="0.2">
      <c r="K56" s="40" t="s">
        <v>1267</v>
      </c>
      <c r="L56" s="326">
        <v>1</v>
      </c>
    </row>
    <row r="57" spans="11:12" x14ac:dyDescent="0.2">
      <c r="K57" s="7" t="s">
        <v>468</v>
      </c>
      <c r="L57" s="326">
        <v>2</v>
      </c>
    </row>
    <row r="58" spans="11:12" x14ac:dyDescent="0.2">
      <c r="K58" s="40" t="s">
        <v>1409</v>
      </c>
      <c r="L58" s="326">
        <v>1</v>
      </c>
    </row>
    <row r="59" spans="11:12" x14ac:dyDescent="0.2">
      <c r="K59" s="40" t="s">
        <v>469</v>
      </c>
      <c r="L59" s="326">
        <v>1</v>
      </c>
    </row>
    <row r="60" spans="11:12" x14ac:dyDescent="0.2">
      <c r="K60" s="7" t="s">
        <v>435</v>
      </c>
      <c r="L60" s="326">
        <v>2</v>
      </c>
    </row>
    <row r="61" spans="11:12" x14ac:dyDescent="0.2">
      <c r="K61" s="40" t="s">
        <v>436</v>
      </c>
      <c r="L61" s="326">
        <v>1</v>
      </c>
    </row>
    <row r="62" spans="11:12" x14ac:dyDescent="0.2">
      <c r="K62" s="40" t="s">
        <v>715</v>
      </c>
      <c r="L62" s="326">
        <v>1</v>
      </c>
    </row>
    <row r="63" spans="11:12" x14ac:dyDescent="0.2">
      <c r="K63" s="7" t="s">
        <v>440</v>
      </c>
      <c r="L63" s="326">
        <v>2</v>
      </c>
    </row>
    <row r="64" spans="11:12" x14ac:dyDescent="0.2">
      <c r="K64" s="40" t="s">
        <v>441</v>
      </c>
      <c r="L64" s="326">
        <v>1</v>
      </c>
    </row>
    <row r="65" spans="4:12" x14ac:dyDescent="0.2">
      <c r="D65" s="40" t="s">
        <v>432</v>
      </c>
      <c r="E65">
        <v>0</v>
      </c>
      <c r="F65">
        <v>0</v>
      </c>
      <c r="G65" s="227">
        <v>1</v>
      </c>
      <c r="K65" s="40" t="s">
        <v>1389</v>
      </c>
      <c r="L65" s="326">
        <v>1</v>
      </c>
    </row>
    <row r="66" spans="4:12" x14ac:dyDescent="0.2">
      <c r="D66" s="40" t="s">
        <v>7</v>
      </c>
      <c r="E66">
        <v>0</v>
      </c>
      <c r="F66">
        <v>0</v>
      </c>
      <c r="G66" s="227">
        <v>1</v>
      </c>
      <c r="K66" s="7" t="s">
        <v>730</v>
      </c>
      <c r="L66" s="326">
        <v>2</v>
      </c>
    </row>
    <row r="67" spans="4:12" x14ac:dyDescent="0.2">
      <c r="D67" s="40" t="s">
        <v>572</v>
      </c>
      <c r="E67">
        <v>0</v>
      </c>
      <c r="F67">
        <v>0</v>
      </c>
      <c r="G67" s="227">
        <v>2</v>
      </c>
      <c r="K67" s="40" t="s">
        <v>731</v>
      </c>
      <c r="L67" s="326">
        <v>1</v>
      </c>
    </row>
    <row r="68" spans="4:12" x14ac:dyDescent="0.2">
      <c r="D68" s="40" t="s">
        <v>395</v>
      </c>
      <c r="E68">
        <v>0</v>
      </c>
      <c r="F68">
        <v>0</v>
      </c>
      <c r="G68" s="227">
        <v>1</v>
      </c>
      <c r="K68" s="40" t="s">
        <v>1336</v>
      </c>
      <c r="L68" s="326">
        <v>1</v>
      </c>
    </row>
    <row r="69" spans="4:12" x14ac:dyDescent="0.2">
      <c r="D69" s="40" t="s">
        <v>1117</v>
      </c>
      <c r="E69">
        <v>0</v>
      </c>
      <c r="F69">
        <v>0</v>
      </c>
      <c r="G69" s="227">
        <v>2</v>
      </c>
      <c r="K69" s="7" t="s">
        <v>1189</v>
      </c>
      <c r="L69" s="326">
        <v>2</v>
      </c>
    </row>
    <row r="70" spans="4:12" x14ac:dyDescent="0.2">
      <c r="D70" s="40" t="s">
        <v>105</v>
      </c>
      <c r="E70">
        <v>0</v>
      </c>
      <c r="F70">
        <v>0</v>
      </c>
      <c r="G70" s="227">
        <v>1</v>
      </c>
      <c r="K70" s="40" t="s">
        <v>1190</v>
      </c>
      <c r="L70" s="326">
        <v>1</v>
      </c>
    </row>
    <row r="71" spans="4:12" x14ac:dyDescent="0.2">
      <c r="D71" s="40" t="s">
        <v>781</v>
      </c>
      <c r="E71">
        <v>0</v>
      </c>
      <c r="F71">
        <v>0</v>
      </c>
      <c r="G71" s="227">
        <v>2</v>
      </c>
      <c r="K71" s="40" t="s">
        <v>1385</v>
      </c>
      <c r="L71" s="326">
        <v>1</v>
      </c>
    </row>
    <row r="72" spans="4:12" x14ac:dyDescent="0.2">
      <c r="D72" s="40" t="s">
        <v>14</v>
      </c>
      <c r="E72">
        <v>0</v>
      </c>
      <c r="F72">
        <v>0</v>
      </c>
      <c r="G72" s="227">
        <v>1</v>
      </c>
      <c r="K72" s="7" t="s">
        <v>11</v>
      </c>
      <c r="L72" s="326">
        <v>2</v>
      </c>
    </row>
    <row r="73" spans="4:12" x14ac:dyDescent="0.2">
      <c r="D73" s="40" t="s">
        <v>168</v>
      </c>
      <c r="E73">
        <v>0</v>
      </c>
      <c r="F73">
        <v>0</v>
      </c>
      <c r="G73" s="227">
        <v>2</v>
      </c>
      <c r="K73" s="40" t="s">
        <v>40</v>
      </c>
      <c r="L73" s="326">
        <v>1</v>
      </c>
    </row>
    <row r="74" spans="4:12" x14ac:dyDescent="0.2">
      <c r="D74" s="40" t="s">
        <v>212</v>
      </c>
      <c r="E74">
        <v>0</v>
      </c>
      <c r="F74">
        <v>0</v>
      </c>
      <c r="G74" s="227">
        <v>1</v>
      </c>
      <c r="K74" s="40" t="s">
        <v>725</v>
      </c>
      <c r="L74" s="326">
        <v>1</v>
      </c>
    </row>
    <row r="75" spans="4:12" x14ac:dyDescent="0.2">
      <c r="D75" s="40" t="s">
        <v>126</v>
      </c>
      <c r="E75">
        <v>0</v>
      </c>
      <c r="F75">
        <v>0</v>
      </c>
      <c r="G75" s="227">
        <v>2</v>
      </c>
      <c r="K75" s="7" t="s">
        <v>1179</v>
      </c>
      <c r="L75" s="326">
        <v>2</v>
      </c>
    </row>
    <row r="76" spans="4:12" x14ac:dyDescent="0.2">
      <c r="D76" s="40" t="s">
        <v>1019</v>
      </c>
      <c r="E76">
        <v>0</v>
      </c>
      <c r="F76">
        <v>0</v>
      </c>
      <c r="G76" s="227">
        <v>1</v>
      </c>
      <c r="K76" s="40" t="s">
        <v>1180</v>
      </c>
      <c r="L76" s="326">
        <v>2</v>
      </c>
    </row>
    <row r="77" spans="4:12" x14ac:dyDescent="0.2">
      <c r="D77" s="40" t="s">
        <v>1348</v>
      </c>
      <c r="E77">
        <v>0</v>
      </c>
      <c r="F77">
        <v>0</v>
      </c>
      <c r="G77" s="227">
        <v>1</v>
      </c>
      <c r="K77" s="7" t="s">
        <v>529</v>
      </c>
      <c r="L77" s="326">
        <v>2</v>
      </c>
    </row>
    <row r="78" spans="4:12" x14ac:dyDescent="0.2">
      <c r="D78" s="40" t="s">
        <v>443</v>
      </c>
      <c r="E78">
        <v>0</v>
      </c>
      <c r="F78">
        <v>0</v>
      </c>
      <c r="G78" s="227">
        <v>1</v>
      </c>
      <c r="K78" s="40" t="s">
        <v>530</v>
      </c>
      <c r="L78" s="326">
        <v>2</v>
      </c>
    </row>
    <row r="79" spans="4:12" x14ac:dyDescent="0.2">
      <c r="D79" s="40" t="s">
        <v>1202</v>
      </c>
      <c r="E79">
        <v>0</v>
      </c>
      <c r="F79">
        <v>0</v>
      </c>
      <c r="G79" s="227">
        <v>1</v>
      </c>
      <c r="K79" s="7" t="s">
        <v>517</v>
      </c>
      <c r="L79" s="326">
        <v>2</v>
      </c>
    </row>
    <row r="80" spans="4:12" x14ac:dyDescent="0.2">
      <c r="D80" s="40" t="s">
        <v>614</v>
      </c>
      <c r="E80">
        <v>0</v>
      </c>
      <c r="F80">
        <v>0</v>
      </c>
      <c r="G80" s="227">
        <v>1</v>
      </c>
      <c r="K80" s="40" t="s">
        <v>518</v>
      </c>
      <c r="L80" s="326">
        <v>2</v>
      </c>
    </row>
    <row r="81" spans="4:12" x14ac:dyDescent="0.2">
      <c r="D81" s="40" t="s">
        <v>831</v>
      </c>
      <c r="E81">
        <v>0</v>
      </c>
      <c r="F81">
        <v>0</v>
      </c>
      <c r="G81" s="227">
        <v>2</v>
      </c>
      <c r="K81" s="7" t="s">
        <v>890</v>
      </c>
      <c r="L81" s="326">
        <v>2</v>
      </c>
    </row>
    <row r="82" spans="4:12" x14ac:dyDescent="0.2">
      <c r="D82" s="40" t="s">
        <v>822</v>
      </c>
      <c r="E82">
        <v>0</v>
      </c>
      <c r="F82">
        <v>0</v>
      </c>
      <c r="G82" s="227">
        <v>1</v>
      </c>
      <c r="K82" s="40" t="s">
        <v>1345</v>
      </c>
      <c r="L82" s="326">
        <v>1</v>
      </c>
    </row>
    <row r="83" spans="4:12" x14ac:dyDescent="0.2">
      <c r="D83" s="40" t="s">
        <v>704</v>
      </c>
      <c r="E83">
        <v>0</v>
      </c>
      <c r="F83">
        <v>0</v>
      </c>
      <c r="G83" s="227">
        <v>2</v>
      </c>
      <c r="K83" s="40" t="s">
        <v>891</v>
      </c>
      <c r="L83" s="326">
        <v>1</v>
      </c>
    </row>
    <row r="84" spans="4:12" x14ac:dyDescent="0.2">
      <c r="D84" s="40" t="s">
        <v>265</v>
      </c>
      <c r="E84">
        <v>0</v>
      </c>
      <c r="F84">
        <v>0</v>
      </c>
      <c r="G84" s="227">
        <v>1</v>
      </c>
      <c r="K84" s="7" t="s">
        <v>66</v>
      </c>
      <c r="L84" s="326">
        <v>2</v>
      </c>
    </row>
    <row r="85" spans="4:12" x14ac:dyDescent="0.2">
      <c r="D85" s="40" t="s">
        <v>1169</v>
      </c>
      <c r="E85">
        <v>0</v>
      </c>
      <c r="F85">
        <v>0</v>
      </c>
      <c r="G85" s="227">
        <v>1</v>
      </c>
      <c r="K85" s="40" t="s">
        <v>67</v>
      </c>
      <c r="L85" s="326">
        <v>2</v>
      </c>
    </row>
    <row r="86" spans="4:12" x14ac:dyDescent="0.2">
      <c r="D86" s="40" t="s">
        <v>607</v>
      </c>
      <c r="E86">
        <v>0</v>
      </c>
      <c r="F86">
        <v>0</v>
      </c>
      <c r="G86" s="227">
        <v>1</v>
      </c>
      <c r="K86" s="7" t="s">
        <v>414</v>
      </c>
      <c r="L86" s="326">
        <v>2</v>
      </c>
    </row>
    <row r="87" spans="4:12" x14ac:dyDescent="0.2">
      <c r="D87" s="40" t="s">
        <v>541</v>
      </c>
      <c r="E87">
        <v>0</v>
      </c>
      <c r="F87">
        <v>0</v>
      </c>
      <c r="G87" s="227">
        <v>2</v>
      </c>
      <c r="K87" s="40" t="s">
        <v>415</v>
      </c>
      <c r="L87" s="326">
        <v>2</v>
      </c>
    </row>
    <row r="88" spans="4:12" x14ac:dyDescent="0.2">
      <c r="D88" s="40" t="s">
        <v>366</v>
      </c>
      <c r="E88">
        <v>0</v>
      </c>
      <c r="F88">
        <v>0</v>
      </c>
      <c r="G88" s="227">
        <v>1</v>
      </c>
      <c r="K88" s="7" t="s">
        <v>380</v>
      </c>
      <c r="L88" s="326">
        <v>2</v>
      </c>
    </row>
    <row r="89" spans="4:12" x14ac:dyDescent="0.2">
      <c r="D89" s="40" t="s">
        <v>45</v>
      </c>
      <c r="E89">
        <v>0</v>
      </c>
      <c r="F89">
        <v>0</v>
      </c>
      <c r="G89" s="227">
        <v>2</v>
      </c>
      <c r="K89" s="40" t="s">
        <v>1330</v>
      </c>
      <c r="L89" s="326">
        <v>1</v>
      </c>
    </row>
    <row r="90" spans="4:12" x14ac:dyDescent="0.2">
      <c r="D90" s="40" t="s">
        <v>182</v>
      </c>
      <c r="E90">
        <v>0</v>
      </c>
      <c r="F90">
        <v>0</v>
      </c>
      <c r="G90" s="227">
        <v>2</v>
      </c>
      <c r="K90" s="40" t="s">
        <v>848</v>
      </c>
      <c r="L90" s="326">
        <v>1</v>
      </c>
    </row>
    <row r="91" spans="4:12" x14ac:dyDescent="0.2">
      <c r="D91" s="40" t="s">
        <v>1044</v>
      </c>
      <c r="E91">
        <v>0</v>
      </c>
      <c r="F91">
        <v>0</v>
      </c>
      <c r="G91" s="227">
        <v>1</v>
      </c>
      <c r="K91" s="7" t="s">
        <v>607</v>
      </c>
      <c r="L91" s="326">
        <v>2</v>
      </c>
    </row>
    <row r="92" spans="4:12" x14ac:dyDescent="0.2">
      <c r="D92" s="40" t="s">
        <v>132</v>
      </c>
      <c r="E92">
        <v>0</v>
      </c>
      <c r="F92">
        <v>0</v>
      </c>
      <c r="G92" s="227">
        <v>5</v>
      </c>
      <c r="K92" s="40" t="s">
        <v>608</v>
      </c>
      <c r="L92" s="326">
        <v>1</v>
      </c>
    </row>
    <row r="93" spans="4:12" x14ac:dyDescent="0.2">
      <c r="D93" s="40" t="s">
        <v>1362</v>
      </c>
      <c r="E93">
        <v>0</v>
      </c>
      <c r="F93">
        <v>0</v>
      </c>
      <c r="G93" s="227">
        <v>1</v>
      </c>
      <c r="K93" s="40" t="s">
        <v>1216</v>
      </c>
      <c r="L93" s="326">
        <v>1</v>
      </c>
    </row>
    <row r="94" spans="4:12" x14ac:dyDescent="0.2">
      <c r="D94" s="40" t="s">
        <v>34</v>
      </c>
      <c r="E94">
        <v>0</v>
      </c>
      <c r="F94">
        <v>0</v>
      </c>
      <c r="G94" s="227">
        <v>2</v>
      </c>
      <c r="K94" s="7" t="s">
        <v>268</v>
      </c>
      <c r="L94" s="326">
        <v>2</v>
      </c>
    </row>
    <row r="95" spans="4:12" x14ac:dyDescent="0.2">
      <c r="D95" s="40" t="s">
        <v>102</v>
      </c>
      <c r="E95">
        <v>0</v>
      </c>
      <c r="F95">
        <v>0</v>
      </c>
      <c r="G95" s="227">
        <v>1</v>
      </c>
      <c r="K95" s="40" t="s">
        <v>269</v>
      </c>
      <c r="L95" s="326">
        <v>2</v>
      </c>
    </row>
    <row r="96" spans="4:12" x14ac:dyDescent="0.2">
      <c r="D96" s="40" t="s">
        <v>643</v>
      </c>
      <c r="E96">
        <v>0</v>
      </c>
      <c r="F96">
        <v>0</v>
      </c>
      <c r="G96" s="227">
        <v>1</v>
      </c>
      <c r="K96" s="7" t="s">
        <v>361</v>
      </c>
      <c r="L96" s="326">
        <v>2</v>
      </c>
    </row>
    <row r="97" spans="4:12" x14ac:dyDescent="0.2">
      <c r="D97" s="40" t="s">
        <v>1351</v>
      </c>
      <c r="E97">
        <v>0</v>
      </c>
      <c r="F97">
        <v>0</v>
      </c>
      <c r="G97" s="227">
        <v>1</v>
      </c>
      <c r="K97" s="40" t="s">
        <v>362</v>
      </c>
      <c r="L97" s="326">
        <v>2</v>
      </c>
    </row>
    <row r="98" spans="4:12" x14ac:dyDescent="0.2">
      <c r="D98" s="40" t="s">
        <v>1313</v>
      </c>
      <c r="E98">
        <v>0</v>
      </c>
      <c r="F98">
        <v>0</v>
      </c>
      <c r="G98" s="227">
        <v>1</v>
      </c>
      <c r="K98" s="7" t="s">
        <v>928</v>
      </c>
      <c r="L98" s="326">
        <v>2</v>
      </c>
    </row>
    <row r="99" spans="4:12" x14ac:dyDescent="0.2">
      <c r="D99" s="40" t="s">
        <v>766</v>
      </c>
      <c r="E99">
        <v>0</v>
      </c>
      <c r="F99">
        <v>0</v>
      </c>
      <c r="G99" s="227">
        <v>2</v>
      </c>
      <c r="K99" s="40" t="s">
        <v>929</v>
      </c>
      <c r="L99" s="326">
        <v>2</v>
      </c>
    </row>
    <row r="100" spans="4:12" x14ac:dyDescent="0.2">
      <c r="D100" s="40" t="s">
        <v>111</v>
      </c>
      <c r="E100">
        <v>0</v>
      </c>
      <c r="F100">
        <v>0</v>
      </c>
      <c r="G100" s="227">
        <v>3</v>
      </c>
      <c r="K100" s="7" t="s">
        <v>931</v>
      </c>
      <c r="L100" s="326">
        <v>2</v>
      </c>
    </row>
    <row r="101" spans="4:12" x14ac:dyDescent="0.2">
      <c r="D101" s="40" t="s">
        <v>248</v>
      </c>
      <c r="E101">
        <v>0</v>
      </c>
      <c r="F101">
        <v>0</v>
      </c>
      <c r="G101" s="227">
        <v>1</v>
      </c>
      <c r="K101" s="40" t="s">
        <v>932</v>
      </c>
      <c r="L101" s="326">
        <v>2</v>
      </c>
    </row>
    <row r="102" spans="4:12" x14ac:dyDescent="0.2">
      <c r="D102" s="40" t="s">
        <v>754</v>
      </c>
      <c r="E102">
        <v>0</v>
      </c>
      <c r="F102">
        <v>0</v>
      </c>
      <c r="G102" s="227">
        <v>1</v>
      </c>
      <c r="K102" s="7" t="s">
        <v>739</v>
      </c>
      <c r="L102" s="326">
        <v>2</v>
      </c>
    </row>
    <row r="103" spans="4:12" x14ac:dyDescent="0.2">
      <c r="D103" s="40" t="s">
        <v>578</v>
      </c>
      <c r="E103">
        <v>0</v>
      </c>
      <c r="F103">
        <v>0</v>
      </c>
      <c r="G103" s="227">
        <v>1</v>
      </c>
      <c r="K103" s="40" t="s">
        <v>740</v>
      </c>
      <c r="L103" s="326">
        <v>2</v>
      </c>
    </row>
    <row r="104" spans="4:12" x14ac:dyDescent="0.2">
      <c r="D104" s="40" t="s">
        <v>191</v>
      </c>
      <c r="E104">
        <v>0</v>
      </c>
      <c r="F104">
        <v>0</v>
      </c>
      <c r="G104" s="227">
        <v>1</v>
      </c>
      <c r="K104" s="7" t="s">
        <v>34</v>
      </c>
      <c r="L104" s="326">
        <v>2</v>
      </c>
    </row>
    <row r="105" spans="4:12" x14ac:dyDescent="0.2">
      <c r="D105" s="40" t="s">
        <v>446</v>
      </c>
      <c r="E105">
        <v>0</v>
      </c>
      <c r="F105">
        <v>0</v>
      </c>
      <c r="G105" s="227">
        <v>1</v>
      </c>
      <c r="K105" s="40" t="s">
        <v>211</v>
      </c>
      <c r="L105" s="326">
        <v>1</v>
      </c>
    </row>
    <row r="106" spans="4:12" x14ac:dyDescent="0.2">
      <c r="D106" s="40" t="s">
        <v>1208</v>
      </c>
      <c r="E106">
        <v>0</v>
      </c>
      <c r="F106">
        <v>0</v>
      </c>
      <c r="G106" s="227">
        <v>1</v>
      </c>
      <c r="K106" s="40" t="s">
        <v>35</v>
      </c>
      <c r="L106" s="326">
        <v>1</v>
      </c>
    </row>
    <row r="107" spans="4:12" x14ac:dyDescent="0.2">
      <c r="D107" s="40" t="s">
        <v>78</v>
      </c>
      <c r="E107">
        <v>0</v>
      </c>
      <c r="F107">
        <v>0</v>
      </c>
      <c r="G107" s="227">
        <v>1</v>
      </c>
      <c r="K107" s="7" t="s">
        <v>950</v>
      </c>
      <c r="L107" s="326">
        <v>2</v>
      </c>
    </row>
    <row r="108" spans="4:12" x14ac:dyDescent="0.2">
      <c r="D108" s="40" t="s">
        <v>37</v>
      </c>
      <c r="E108">
        <v>0</v>
      </c>
      <c r="F108">
        <v>0</v>
      </c>
      <c r="G108" s="227">
        <v>5</v>
      </c>
      <c r="K108" s="40" t="s">
        <v>1337</v>
      </c>
      <c r="L108" s="326">
        <v>1</v>
      </c>
    </row>
    <row r="109" spans="4:12" x14ac:dyDescent="0.2">
      <c r="D109" s="40" t="s">
        <v>449</v>
      </c>
      <c r="E109">
        <v>0</v>
      </c>
      <c r="F109">
        <v>0</v>
      </c>
      <c r="G109" s="227">
        <v>1</v>
      </c>
      <c r="K109" s="40" t="s">
        <v>951</v>
      </c>
      <c r="L109" s="326">
        <v>1</v>
      </c>
    </row>
    <row r="110" spans="4:12" x14ac:dyDescent="0.2">
      <c r="D110" s="40" t="s">
        <v>485</v>
      </c>
      <c r="E110">
        <v>0</v>
      </c>
      <c r="F110">
        <v>0</v>
      </c>
      <c r="G110" s="227">
        <v>1</v>
      </c>
      <c r="K110" s="7" t="s">
        <v>111</v>
      </c>
      <c r="L110" s="326">
        <v>2</v>
      </c>
    </row>
    <row r="111" spans="4:12" x14ac:dyDescent="0.2">
      <c r="D111" s="40" t="s">
        <v>369</v>
      </c>
      <c r="E111">
        <v>0</v>
      </c>
      <c r="F111">
        <v>0</v>
      </c>
      <c r="G111" s="227">
        <v>2</v>
      </c>
      <c r="K111" s="40" t="s">
        <v>546</v>
      </c>
      <c r="L111" s="326">
        <v>1</v>
      </c>
    </row>
    <row r="112" spans="4:12" x14ac:dyDescent="0.2">
      <c r="D112" s="40" t="s">
        <v>632</v>
      </c>
      <c r="E112">
        <v>0</v>
      </c>
      <c r="F112">
        <v>0</v>
      </c>
      <c r="G112" s="227">
        <v>1</v>
      </c>
      <c r="K112" s="40" t="s">
        <v>1414</v>
      </c>
      <c r="L112" s="326">
        <v>1</v>
      </c>
    </row>
    <row r="113" spans="4:12" x14ac:dyDescent="0.2">
      <c r="D113" s="40" t="s">
        <v>346</v>
      </c>
      <c r="E113">
        <v>0</v>
      </c>
      <c r="F113">
        <v>0</v>
      </c>
      <c r="G113" s="227">
        <v>2</v>
      </c>
      <c r="K113" s="7" t="s">
        <v>352</v>
      </c>
      <c r="L113" s="326">
        <v>2</v>
      </c>
    </row>
    <row r="114" spans="4:12" x14ac:dyDescent="0.2">
      <c r="D114" s="40" t="s">
        <v>602</v>
      </c>
      <c r="E114">
        <v>0</v>
      </c>
      <c r="F114">
        <v>0</v>
      </c>
      <c r="G114" s="227">
        <v>1</v>
      </c>
      <c r="K114" s="40" t="s">
        <v>353</v>
      </c>
      <c r="L114" s="326">
        <v>1</v>
      </c>
    </row>
    <row r="115" spans="4:12" x14ac:dyDescent="0.2">
      <c r="D115" s="40" t="s">
        <v>198</v>
      </c>
      <c r="E115">
        <v>0</v>
      </c>
      <c r="F115">
        <v>0</v>
      </c>
      <c r="G115" s="227">
        <v>4</v>
      </c>
      <c r="K115" s="40" t="s">
        <v>1270</v>
      </c>
      <c r="L115" s="326">
        <v>1</v>
      </c>
    </row>
    <row r="116" spans="4:12" x14ac:dyDescent="0.2">
      <c r="D116" s="40" t="s">
        <v>558</v>
      </c>
      <c r="E116">
        <v>0</v>
      </c>
      <c r="F116">
        <v>0</v>
      </c>
      <c r="G116" s="227">
        <v>1</v>
      </c>
      <c r="K116" s="7" t="s">
        <v>857</v>
      </c>
      <c r="L116" s="326">
        <v>2</v>
      </c>
    </row>
    <row r="117" spans="4:12" x14ac:dyDescent="0.2">
      <c r="D117" s="40" t="s">
        <v>499</v>
      </c>
      <c r="E117">
        <v>0</v>
      </c>
      <c r="F117">
        <v>0</v>
      </c>
      <c r="G117" s="227">
        <v>2</v>
      </c>
      <c r="K117" s="40" t="s">
        <v>858</v>
      </c>
      <c r="L117" s="326">
        <v>2</v>
      </c>
    </row>
    <row r="118" spans="4:12" x14ac:dyDescent="0.2">
      <c r="D118" s="40" t="s">
        <v>763</v>
      </c>
      <c r="E118">
        <v>0</v>
      </c>
      <c r="F118">
        <v>0</v>
      </c>
      <c r="G118" s="227">
        <v>1</v>
      </c>
      <c r="K118" s="7" t="s">
        <v>123</v>
      </c>
      <c r="L118" s="326">
        <v>2</v>
      </c>
    </row>
    <row r="119" spans="4:12" x14ac:dyDescent="0.2">
      <c r="D119" s="40" t="s">
        <v>953</v>
      </c>
      <c r="E119">
        <v>0</v>
      </c>
      <c r="F119">
        <v>0</v>
      </c>
      <c r="G119" s="227">
        <v>2</v>
      </c>
      <c r="K119" s="40" t="s">
        <v>124</v>
      </c>
      <c r="L119" s="326">
        <v>2</v>
      </c>
    </row>
    <row r="120" spans="4:12" x14ac:dyDescent="0.2">
      <c r="D120" s="40" t="s">
        <v>532</v>
      </c>
      <c r="E120">
        <v>0</v>
      </c>
      <c r="F120">
        <v>0</v>
      </c>
      <c r="G120" s="227">
        <v>1</v>
      </c>
      <c r="K120" s="7" t="s">
        <v>1303</v>
      </c>
      <c r="L120" s="326">
        <v>2</v>
      </c>
    </row>
    <row r="121" spans="4:12" x14ac:dyDescent="0.2">
      <c r="D121" s="40" t="s">
        <v>331</v>
      </c>
      <c r="E121">
        <v>0</v>
      </c>
      <c r="F121">
        <v>0</v>
      </c>
      <c r="G121" s="227">
        <v>2</v>
      </c>
      <c r="K121" s="40" t="s">
        <v>1304</v>
      </c>
      <c r="L121" s="326">
        <v>2</v>
      </c>
    </row>
    <row r="122" spans="4:12" x14ac:dyDescent="0.2">
      <c r="D122" s="40" t="s">
        <v>280</v>
      </c>
      <c r="E122">
        <v>0</v>
      </c>
      <c r="F122">
        <v>0</v>
      </c>
      <c r="G122" s="227">
        <v>1</v>
      </c>
      <c r="K122" s="7" t="s">
        <v>914</v>
      </c>
      <c r="L122" s="326">
        <v>2</v>
      </c>
    </row>
    <row r="123" spans="4:12" x14ac:dyDescent="0.2">
      <c r="D123" s="40" t="s">
        <v>239</v>
      </c>
      <c r="E123">
        <v>0</v>
      </c>
      <c r="F123">
        <v>0</v>
      </c>
      <c r="G123" s="227">
        <v>2</v>
      </c>
      <c r="K123" s="40" t="s">
        <v>1312</v>
      </c>
      <c r="L123" s="326">
        <v>1</v>
      </c>
    </row>
    <row r="124" spans="4:12" x14ac:dyDescent="0.2">
      <c r="D124" s="40" t="s">
        <v>56</v>
      </c>
      <c r="E124">
        <v>0</v>
      </c>
      <c r="F124">
        <v>0</v>
      </c>
      <c r="G124" s="227">
        <v>2</v>
      </c>
      <c r="K124" s="40" t="s">
        <v>915</v>
      </c>
      <c r="L124" s="326">
        <v>1</v>
      </c>
    </row>
    <row r="125" spans="4:12" x14ac:dyDescent="0.2">
      <c r="D125" s="40" t="s">
        <v>1444</v>
      </c>
      <c r="E125">
        <v>0</v>
      </c>
      <c r="F125">
        <v>0</v>
      </c>
      <c r="G125" s="227">
        <v>1</v>
      </c>
      <c r="K125" s="7" t="s">
        <v>195</v>
      </c>
      <c r="L125" s="326">
        <v>2</v>
      </c>
    </row>
    <row r="126" spans="4:12" x14ac:dyDescent="0.2">
      <c r="D126" s="40" t="s">
        <v>887</v>
      </c>
      <c r="E126">
        <v>0</v>
      </c>
      <c r="F126">
        <v>0</v>
      </c>
      <c r="G126" s="227">
        <v>1</v>
      </c>
      <c r="K126" s="40" t="s">
        <v>1268</v>
      </c>
      <c r="L126" s="326">
        <v>1</v>
      </c>
    </row>
    <row r="127" spans="4:12" x14ac:dyDescent="0.2">
      <c r="D127" s="40" t="s">
        <v>655</v>
      </c>
      <c r="E127">
        <v>0</v>
      </c>
      <c r="F127">
        <v>0</v>
      </c>
      <c r="G127" s="227">
        <v>2</v>
      </c>
      <c r="K127" s="40" t="s">
        <v>196</v>
      </c>
      <c r="L127" s="326">
        <v>1</v>
      </c>
    </row>
    <row r="128" spans="4:12" x14ac:dyDescent="0.2">
      <c r="D128" s="40" t="s">
        <v>135</v>
      </c>
      <c r="E128">
        <v>0</v>
      </c>
      <c r="F128">
        <v>0</v>
      </c>
      <c r="G128" s="227">
        <v>2</v>
      </c>
      <c r="K128" s="7" t="s">
        <v>188</v>
      </c>
      <c r="L128" s="326">
        <v>2</v>
      </c>
    </row>
    <row r="129" spans="4:12" x14ac:dyDescent="0.2">
      <c r="D129" s="40" t="s">
        <v>736</v>
      </c>
      <c r="E129">
        <v>0</v>
      </c>
      <c r="F129">
        <v>0</v>
      </c>
      <c r="G129" s="227">
        <v>2</v>
      </c>
      <c r="K129" s="40" t="s">
        <v>189</v>
      </c>
      <c r="L129" s="326">
        <v>2</v>
      </c>
    </row>
    <row r="130" spans="4:12" x14ac:dyDescent="0.2">
      <c r="D130" s="40" t="s">
        <v>1103</v>
      </c>
      <c r="E130">
        <v>0</v>
      </c>
      <c r="F130">
        <v>0</v>
      </c>
      <c r="G130" s="227">
        <v>1</v>
      </c>
      <c r="K130" s="7" t="s">
        <v>69</v>
      </c>
      <c r="L130" s="326">
        <v>2</v>
      </c>
    </row>
    <row r="131" spans="4:12" x14ac:dyDescent="0.2">
      <c r="D131" s="40" t="s">
        <v>377</v>
      </c>
      <c r="E131">
        <v>0</v>
      </c>
      <c r="F131">
        <v>0</v>
      </c>
      <c r="G131" s="227">
        <v>2</v>
      </c>
      <c r="K131" s="40" t="s">
        <v>70</v>
      </c>
      <c r="L131" s="326">
        <v>2</v>
      </c>
    </row>
    <row r="132" spans="4:12" x14ac:dyDescent="0.2">
      <c r="D132" s="40" t="s">
        <v>971</v>
      </c>
      <c r="E132">
        <v>0</v>
      </c>
      <c r="F132">
        <v>0</v>
      </c>
      <c r="G132" s="227">
        <v>2</v>
      </c>
      <c r="K132" s="7" t="s">
        <v>526</v>
      </c>
      <c r="L132" s="326">
        <v>2</v>
      </c>
    </row>
    <row r="133" spans="4:12" x14ac:dyDescent="0.2">
      <c r="D133" s="40" t="s">
        <v>162</v>
      </c>
      <c r="E133">
        <v>0</v>
      </c>
      <c r="F133">
        <v>0</v>
      </c>
      <c r="G133" s="227">
        <v>1</v>
      </c>
      <c r="K133" s="40" t="s">
        <v>527</v>
      </c>
      <c r="L133" s="326">
        <v>2</v>
      </c>
    </row>
    <row r="134" spans="4:12" x14ac:dyDescent="0.2">
      <c r="D134" s="40" t="s">
        <v>1423</v>
      </c>
      <c r="E134">
        <v>0</v>
      </c>
      <c r="F134">
        <v>0</v>
      </c>
      <c r="G134" s="227">
        <v>1</v>
      </c>
      <c r="K134" s="7" t="s">
        <v>301</v>
      </c>
      <c r="L134" s="326">
        <v>2</v>
      </c>
    </row>
    <row r="135" spans="4:12" x14ac:dyDescent="0.2">
      <c r="D135" s="40" t="s">
        <v>383</v>
      </c>
      <c r="E135">
        <v>0</v>
      </c>
      <c r="F135">
        <v>0</v>
      </c>
      <c r="G135" s="227">
        <v>3</v>
      </c>
      <c r="K135" s="40" t="s">
        <v>302</v>
      </c>
      <c r="L135" s="326">
        <v>2</v>
      </c>
    </row>
    <row r="136" spans="4:12" x14ac:dyDescent="0.2">
      <c r="D136" s="40" t="s">
        <v>17</v>
      </c>
      <c r="E136">
        <v>0</v>
      </c>
      <c r="F136">
        <v>0</v>
      </c>
      <c r="G136" s="227">
        <v>1</v>
      </c>
      <c r="K136" s="7" t="s">
        <v>980</v>
      </c>
      <c r="L136" s="326">
        <v>2</v>
      </c>
    </row>
    <row r="137" spans="4:12" x14ac:dyDescent="0.2">
      <c r="D137" s="40" t="s">
        <v>535</v>
      </c>
      <c r="E137">
        <v>0</v>
      </c>
      <c r="F137">
        <v>0</v>
      </c>
      <c r="G137" s="227">
        <v>1</v>
      </c>
      <c r="K137" s="40" t="s">
        <v>981</v>
      </c>
      <c r="L137" s="326">
        <v>2</v>
      </c>
    </row>
    <row r="138" spans="4:12" x14ac:dyDescent="0.2">
      <c r="D138" s="40" t="s">
        <v>165</v>
      </c>
      <c r="E138">
        <v>0</v>
      </c>
      <c r="F138">
        <v>0</v>
      </c>
      <c r="G138" s="227">
        <v>1</v>
      </c>
      <c r="K138" s="7" t="s">
        <v>292</v>
      </c>
      <c r="L138" s="326">
        <v>2</v>
      </c>
    </row>
    <row r="139" spans="4:12" x14ac:dyDescent="0.2">
      <c r="D139" s="40" t="s">
        <v>564</v>
      </c>
      <c r="E139">
        <v>0</v>
      </c>
      <c r="F139">
        <v>0</v>
      </c>
      <c r="G139" s="227">
        <v>2</v>
      </c>
      <c r="K139" s="40" t="s">
        <v>1266</v>
      </c>
      <c r="L139" s="326">
        <v>1</v>
      </c>
    </row>
    <row r="140" spans="4:12" x14ac:dyDescent="0.2">
      <c r="D140" s="40" t="s">
        <v>1111</v>
      </c>
      <c r="E140">
        <v>0</v>
      </c>
      <c r="F140">
        <v>0</v>
      </c>
      <c r="G140" s="227">
        <v>1</v>
      </c>
      <c r="K140" s="40" t="s">
        <v>293</v>
      </c>
      <c r="L140" s="326">
        <v>1</v>
      </c>
    </row>
    <row r="141" spans="4:12" x14ac:dyDescent="0.2">
      <c r="D141" s="40" t="s">
        <v>304</v>
      </c>
      <c r="E141">
        <v>0</v>
      </c>
      <c r="F141">
        <v>0</v>
      </c>
      <c r="G141" s="227">
        <v>2</v>
      </c>
      <c r="K141" s="7" t="s">
        <v>837</v>
      </c>
      <c r="L141" s="326">
        <v>2</v>
      </c>
    </row>
    <row r="142" spans="4:12" x14ac:dyDescent="0.2">
      <c r="D142" s="40" t="s">
        <v>1248</v>
      </c>
      <c r="E142">
        <v>0</v>
      </c>
      <c r="F142">
        <v>0</v>
      </c>
      <c r="G142" s="227">
        <v>1</v>
      </c>
      <c r="K142" s="40" t="s">
        <v>838</v>
      </c>
      <c r="L142" s="326">
        <v>2</v>
      </c>
    </row>
    <row r="143" spans="4:12" x14ac:dyDescent="0.2">
      <c r="D143" s="40" t="s">
        <v>315</v>
      </c>
      <c r="E143">
        <v>0</v>
      </c>
      <c r="F143">
        <v>0</v>
      </c>
      <c r="G143" s="227">
        <v>2</v>
      </c>
      <c r="K143" s="7" t="s">
        <v>425</v>
      </c>
      <c r="L143" s="326">
        <v>2</v>
      </c>
    </row>
    <row r="144" spans="4:12" x14ac:dyDescent="0.2">
      <c r="D144" s="40" t="s">
        <v>173</v>
      </c>
      <c r="E144">
        <v>0</v>
      </c>
      <c r="F144">
        <v>0</v>
      </c>
      <c r="G144" s="227">
        <v>1</v>
      </c>
      <c r="K144" s="40" t="s">
        <v>594</v>
      </c>
      <c r="L144" s="326">
        <v>1</v>
      </c>
    </row>
    <row r="145" spans="4:12" x14ac:dyDescent="0.2">
      <c r="D145" s="40" t="s">
        <v>1232</v>
      </c>
      <c r="E145">
        <v>0</v>
      </c>
      <c r="F145">
        <v>0</v>
      </c>
      <c r="G145" s="227">
        <v>2</v>
      </c>
      <c r="K145" s="40" t="s">
        <v>426</v>
      </c>
      <c r="L145" s="326">
        <v>1</v>
      </c>
    </row>
    <row r="146" spans="4:12" x14ac:dyDescent="0.2">
      <c r="D146" s="40" t="s">
        <v>20</v>
      </c>
      <c r="E146">
        <v>0</v>
      </c>
      <c r="F146">
        <v>0</v>
      </c>
      <c r="G146" s="227">
        <v>2</v>
      </c>
      <c r="K146" s="7" t="s">
        <v>383</v>
      </c>
      <c r="L146" s="326">
        <v>2</v>
      </c>
    </row>
    <row r="147" spans="4:12" x14ac:dyDescent="0.2">
      <c r="D147" s="40" t="s">
        <v>686</v>
      </c>
      <c r="E147">
        <v>0</v>
      </c>
      <c r="F147">
        <v>0</v>
      </c>
      <c r="G147" s="227">
        <v>2</v>
      </c>
      <c r="K147" s="40" t="s">
        <v>906</v>
      </c>
      <c r="L147" s="326">
        <v>1</v>
      </c>
    </row>
    <row r="148" spans="4:12" x14ac:dyDescent="0.2">
      <c r="D148" s="40" t="s">
        <v>1281</v>
      </c>
      <c r="E148">
        <v>0</v>
      </c>
      <c r="F148">
        <v>0</v>
      </c>
      <c r="G148" s="227">
        <v>1</v>
      </c>
      <c r="K148" s="40" t="s">
        <v>384</v>
      </c>
      <c r="L148" s="326">
        <v>1</v>
      </c>
    </row>
    <row r="149" spans="4:12" x14ac:dyDescent="0.2">
      <c r="D149" s="40" t="s">
        <v>757</v>
      </c>
      <c r="E149">
        <v>0</v>
      </c>
      <c r="F149">
        <v>0</v>
      </c>
      <c r="G149" s="227">
        <v>2</v>
      </c>
      <c r="K149" s="7" t="s">
        <v>83</v>
      </c>
      <c r="L149" s="326">
        <v>2</v>
      </c>
    </row>
    <row r="150" spans="4:12" x14ac:dyDescent="0.2">
      <c r="D150" s="40" t="s">
        <v>911</v>
      </c>
      <c r="E150">
        <v>0</v>
      </c>
      <c r="F150">
        <v>0</v>
      </c>
      <c r="G150" s="227">
        <v>1</v>
      </c>
      <c r="K150" s="40" t="s">
        <v>544</v>
      </c>
      <c r="L150" s="326">
        <v>1</v>
      </c>
    </row>
    <row r="151" spans="4:12" x14ac:dyDescent="0.2">
      <c r="D151" s="40" t="s">
        <v>689</v>
      </c>
      <c r="E151">
        <v>0</v>
      </c>
      <c r="F151">
        <v>0</v>
      </c>
      <c r="G151" s="227">
        <v>1</v>
      </c>
      <c r="K151" s="40" t="s">
        <v>84</v>
      </c>
      <c r="L151" s="326">
        <v>1</v>
      </c>
    </row>
    <row r="152" spans="4:12" x14ac:dyDescent="0.2">
      <c r="D152" s="40" t="s">
        <v>400</v>
      </c>
      <c r="E152">
        <v>0</v>
      </c>
      <c r="F152">
        <v>0</v>
      </c>
      <c r="G152" s="227">
        <v>2</v>
      </c>
      <c r="K152" s="7" t="s">
        <v>1140</v>
      </c>
      <c r="L152" s="326">
        <v>2</v>
      </c>
    </row>
    <row r="153" spans="4:12" x14ac:dyDescent="0.2">
      <c r="D153" s="40" t="s">
        <v>1226</v>
      </c>
      <c r="E153">
        <v>0</v>
      </c>
      <c r="F153">
        <v>0</v>
      </c>
      <c r="G153" s="227">
        <v>2</v>
      </c>
      <c r="K153" s="40" t="s">
        <v>1141</v>
      </c>
      <c r="L153" s="326">
        <v>2</v>
      </c>
    </row>
    <row r="154" spans="4:12" x14ac:dyDescent="0.2">
      <c r="D154" s="40" t="s">
        <v>652</v>
      </c>
      <c r="E154">
        <v>0</v>
      </c>
      <c r="F154">
        <v>0</v>
      </c>
      <c r="G154" s="227">
        <v>1</v>
      </c>
      <c r="K154" s="7" t="s">
        <v>640</v>
      </c>
      <c r="L154" s="326">
        <v>2</v>
      </c>
    </row>
    <row r="155" spans="4:12" x14ac:dyDescent="0.2">
      <c r="D155" s="40" t="s">
        <v>727</v>
      </c>
      <c r="E155">
        <v>0</v>
      </c>
      <c r="F155">
        <v>0</v>
      </c>
      <c r="G155" s="227">
        <v>2</v>
      </c>
      <c r="K155" s="40" t="s">
        <v>641</v>
      </c>
      <c r="L155" s="326">
        <v>2</v>
      </c>
    </row>
    <row r="156" spans="4:12" x14ac:dyDescent="0.2">
      <c r="D156" s="40" t="s">
        <v>834</v>
      </c>
      <c r="E156">
        <v>0</v>
      </c>
      <c r="F156">
        <v>0</v>
      </c>
      <c r="G156" s="227">
        <v>1</v>
      </c>
      <c r="K156" s="7" t="s">
        <v>991</v>
      </c>
      <c r="L156" s="326">
        <v>2</v>
      </c>
    </row>
    <row r="157" spans="4:12" x14ac:dyDescent="0.2">
      <c r="D157" s="40" t="s">
        <v>1452</v>
      </c>
      <c r="E157">
        <v>0</v>
      </c>
      <c r="F157">
        <v>0</v>
      </c>
      <c r="G157" s="227">
        <v>1</v>
      </c>
      <c r="K157" s="40" t="s">
        <v>992</v>
      </c>
      <c r="L157" s="326">
        <v>2</v>
      </c>
    </row>
    <row r="158" spans="4:12" x14ac:dyDescent="0.2">
      <c r="D158" s="40" t="s">
        <v>229</v>
      </c>
      <c r="E158">
        <v>0</v>
      </c>
      <c r="F158">
        <v>0</v>
      </c>
      <c r="G158" s="227">
        <v>1</v>
      </c>
      <c r="K158" s="7" t="s">
        <v>511</v>
      </c>
      <c r="L158" s="326">
        <v>2</v>
      </c>
    </row>
    <row r="159" spans="4:12" x14ac:dyDescent="0.2">
      <c r="D159" s="40" t="s">
        <v>962</v>
      </c>
      <c r="E159">
        <v>0</v>
      </c>
      <c r="F159">
        <v>0</v>
      </c>
      <c r="G159" s="227">
        <v>2</v>
      </c>
      <c r="K159" s="40" t="s">
        <v>1024</v>
      </c>
      <c r="L159" s="326">
        <v>1</v>
      </c>
    </row>
    <row r="160" spans="4:12" x14ac:dyDescent="0.2">
      <c r="D160" s="40" t="s">
        <v>1426</v>
      </c>
      <c r="E160">
        <v>0</v>
      </c>
      <c r="F160">
        <v>0</v>
      </c>
      <c r="G160" s="227">
        <v>1</v>
      </c>
      <c r="K160" s="40" t="s">
        <v>512</v>
      </c>
      <c r="L160" s="326">
        <v>1</v>
      </c>
    </row>
    <row r="161" spans="4:12" x14ac:dyDescent="0.2">
      <c r="D161" s="40" t="s">
        <v>1406</v>
      </c>
      <c r="E161">
        <v>0</v>
      </c>
      <c r="F161">
        <v>0</v>
      </c>
      <c r="G161" s="227">
        <v>1</v>
      </c>
      <c r="K161" s="7" t="s">
        <v>1114</v>
      </c>
      <c r="L161" s="326">
        <v>2</v>
      </c>
    </row>
    <row r="162" spans="4:12" x14ac:dyDescent="0.2">
      <c r="D162" s="40" t="s">
        <v>1056</v>
      </c>
      <c r="E162">
        <v>0</v>
      </c>
      <c r="F162">
        <v>0</v>
      </c>
      <c r="G162" s="227">
        <v>1</v>
      </c>
      <c r="K162" s="40" t="s">
        <v>1115</v>
      </c>
      <c r="L162" s="326">
        <v>2</v>
      </c>
    </row>
    <row r="163" spans="4:12" x14ac:dyDescent="0.2">
      <c r="D163" s="40" t="s">
        <v>380</v>
      </c>
      <c r="E163">
        <v>0</v>
      </c>
      <c r="F163">
        <v>0</v>
      </c>
      <c r="G163" s="227">
        <v>1</v>
      </c>
      <c r="K163" s="7" t="s">
        <v>51</v>
      </c>
      <c r="L163" s="326">
        <v>2</v>
      </c>
    </row>
    <row r="164" spans="4:12" x14ac:dyDescent="0.2">
      <c r="D164" s="40" t="s">
        <v>61</v>
      </c>
      <c r="E164">
        <v>0</v>
      </c>
      <c r="F164">
        <v>0</v>
      </c>
      <c r="G164" s="227">
        <v>1</v>
      </c>
      <c r="K164" s="40" t="s">
        <v>52</v>
      </c>
      <c r="L164" s="326">
        <v>1</v>
      </c>
    </row>
    <row r="165" spans="4:12" x14ac:dyDescent="0.2">
      <c r="D165" s="40" t="s">
        <v>748</v>
      </c>
      <c r="E165">
        <v>0</v>
      </c>
      <c r="F165">
        <v>0</v>
      </c>
      <c r="G165" s="227">
        <v>1</v>
      </c>
      <c r="K165" s="40" t="s">
        <v>161</v>
      </c>
      <c r="L165" s="326">
        <v>1</v>
      </c>
    </row>
    <row r="166" spans="4:12" x14ac:dyDescent="0.2">
      <c r="D166" s="40" t="s">
        <v>120</v>
      </c>
      <c r="E166">
        <v>0</v>
      </c>
      <c r="F166">
        <v>0</v>
      </c>
      <c r="G166" s="227">
        <v>2</v>
      </c>
      <c r="K166" s="7" t="s">
        <v>775</v>
      </c>
      <c r="L166" s="326">
        <v>2</v>
      </c>
    </row>
    <row r="167" spans="4:12" x14ac:dyDescent="0.2">
      <c r="D167" s="40" t="s">
        <v>683</v>
      </c>
      <c r="E167">
        <v>0</v>
      </c>
      <c r="F167">
        <v>0</v>
      </c>
      <c r="G167" s="227">
        <v>3</v>
      </c>
      <c r="K167" s="40" t="s">
        <v>776</v>
      </c>
      <c r="L167" s="326">
        <v>2</v>
      </c>
    </row>
    <row r="168" spans="4:12" x14ac:dyDescent="0.2">
      <c r="D168" s="40" t="s">
        <v>986</v>
      </c>
      <c r="E168">
        <v>0</v>
      </c>
      <c r="F168">
        <v>0</v>
      </c>
      <c r="G168" s="227">
        <v>1</v>
      </c>
      <c r="K168" s="7" t="s">
        <v>620</v>
      </c>
      <c r="L168" s="326">
        <v>2</v>
      </c>
    </row>
    <row r="169" spans="4:12" x14ac:dyDescent="0.2">
      <c r="D169" s="40" t="s">
        <v>733</v>
      </c>
      <c r="E169">
        <v>0</v>
      </c>
      <c r="F169">
        <v>0</v>
      </c>
      <c r="G169" s="227">
        <v>1</v>
      </c>
      <c r="K169" s="40" t="s">
        <v>621</v>
      </c>
      <c r="L169" s="326">
        <v>1</v>
      </c>
    </row>
    <row r="170" spans="4:12" x14ac:dyDescent="0.2">
      <c r="D170" s="40" t="s">
        <v>722</v>
      </c>
      <c r="E170">
        <v>0</v>
      </c>
      <c r="F170">
        <v>0</v>
      </c>
      <c r="G170" s="227">
        <v>2</v>
      </c>
      <c r="K170" s="40" t="s">
        <v>1238</v>
      </c>
      <c r="L170" s="326">
        <v>1</v>
      </c>
    </row>
    <row r="171" spans="4:12" x14ac:dyDescent="0.2">
      <c r="D171" s="40" t="s">
        <v>869</v>
      </c>
      <c r="E171">
        <v>0</v>
      </c>
      <c r="F171">
        <v>0</v>
      </c>
      <c r="G171" s="227">
        <v>1</v>
      </c>
      <c r="K171" s="7" t="s">
        <v>701</v>
      </c>
      <c r="L171" s="326">
        <v>2</v>
      </c>
    </row>
    <row r="172" spans="4:12" x14ac:dyDescent="0.2">
      <c r="D172" s="40" t="s">
        <v>1147</v>
      </c>
      <c r="E172">
        <v>0</v>
      </c>
      <c r="F172">
        <v>0</v>
      </c>
      <c r="G172" s="227">
        <v>1</v>
      </c>
      <c r="K172" s="40" t="s">
        <v>702</v>
      </c>
      <c r="L172" s="326">
        <v>1</v>
      </c>
    </row>
    <row r="173" spans="4:12" x14ac:dyDescent="0.2">
      <c r="D173" s="40" t="s">
        <v>150</v>
      </c>
      <c r="E173">
        <v>0</v>
      </c>
      <c r="F173">
        <v>0</v>
      </c>
      <c r="G173" s="227">
        <v>1</v>
      </c>
      <c r="K173" s="40" t="s">
        <v>1067</v>
      </c>
      <c r="L173" s="326">
        <v>1</v>
      </c>
    </row>
    <row r="174" spans="4:12" x14ac:dyDescent="0.2">
      <c r="D174" s="40" t="s">
        <v>896</v>
      </c>
      <c r="E174">
        <v>0</v>
      </c>
      <c r="F174">
        <v>0</v>
      </c>
      <c r="G174" s="227">
        <v>1</v>
      </c>
      <c r="K174" s="7" t="s">
        <v>925</v>
      </c>
      <c r="L174" s="326">
        <v>2</v>
      </c>
    </row>
    <row r="175" spans="4:12" x14ac:dyDescent="0.2">
      <c r="D175" s="40" t="s">
        <v>1441</v>
      </c>
      <c r="E175">
        <v>0</v>
      </c>
      <c r="F175">
        <v>0</v>
      </c>
      <c r="G175" s="227">
        <v>1</v>
      </c>
      <c r="K175" s="40" t="s">
        <v>926</v>
      </c>
      <c r="L175" s="326">
        <v>2</v>
      </c>
    </row>
    <row r="176" spans="4:12" x14ac:dyDescent="0.2">
      <c r="D176" s="40" t="s">
        <v>23</v>
      </c>
      <c r="E176">
        <v>0</v>
      </c>
      <c r="F176">
        <v>0</v>
      </c>
      <c r="G176" s="227">
        <v>1</v>
      </c>
      <c r="K176" s="7" t="s">
        <v>1036</v>
      </c>
      <c r="L176" s="326">
        <v>2</v>
      </c>
    </row>
    <row r="177" spans="11:12" x14ac:dyDescent="0.2">
      <c r="K177" s="40" t="s">
        <v>1037</v>
      </c>
      <c r="L177" s="326">
        <v>2</v>
      </c>
    </row>
    <row r="178" spans="11:12" x14ac:dyDescent="0.2">
      <c r="K178" s="7" t="s">
        <v>1006</v>
      </c>
      <c r="L178" s="326">
        <v>2</v>
      </c>
    </row>
    <row r="179" spans="11:12" x14ac:dyDescent="0.2">
      <c r="K179" s="40" t="s">
        <v>1007</v>
      </c>
      <c r="L179" s="326">
        <v>1</v>
      </c>
    </row>
    <row r="180" spans="11:12" x14ac:dyDescent="0.2">
      <c r="K180" s="40" t="s">
        <v>1205</v>
      </c>
      <c r="L180" s="326">
        <v>1</v>
      </c>
    </row>
    <row r="181" spans="11:12" x14ac:dyDescent="0.2">
      <c r="K181" s="7" t="s">
        <v>462</v>
      </c>
      <c r="L181" s="326">
        <v>2</v>
      </c>
    </row>
    <row r="182" spans="11:12" x14ac:dyDescent="0.2">
      <c r="K182" s="40" t="s">
        <v>463</v>
      </c>
      <c r="L182" s="326">
        <v>2</v>
      </c>
    </row>
    <row r="183" spans="11:12" x14ac:dyDescent="0.2">
      <c r="K183" s="7" t="s">
        <v>1229</v>
      </c>
      <c r="L183" s="326">
        <v>2</v>
      </c>
    </row>
    <row r="184" spans="11:12" x14ac:dyDescent="0.2">
      <c r="K184" s="40" t="s">
        <v>1230</v>
      </c>
      <c r="L184" s="326">
        <v>2</v>
      </c>
    </row>
    <row r="185" spans="11:12" x14ac:dyDescent="0.2">
      <c r="K185" s="7" t="s">
        <v>680</v>
      </c>
      <c r="L185" s="326">
        <v>2</v>
      </c>
    </row>
    <row r="186" spans="11:12" x14ac:dyDescent="0.2">
      <c r="K186" s="40" t="s">
        <v>681</v>
      </c>
      <c r="L186" s="326">
        <v>2</v>
      </c>
    </row>
    <row r="187" spans="11:12" x14ac:dyDescent="0.2">
      <c r="K187" s="7" t="s">
        <v>1296</v>
      </c>
      <c r="L187" s="326">
        <v>2</v>
      </c>
    </row>
    <row r="188" spans="11:12" x14ac:dyDescent="0.2">
      <c r="K188" s="40" t="s">
        <v>1297</v>
      </c>
      <c r="L188" s="326">
        <v>2</v>
      </c>
    </row>
    <row r="189" spans="11:12" x14ac:dyDescent="0.2">
      <c r="K189" s="7" t="s">
        <v>778</v>
      </c>
      <c r="L189" s="326">
        <v>2</v>
      </c>
    </row>
    <row r="190" spans="11:12" x14ac:dyDescent="0.2">
      <c r="K190" s="40" t="s">
        <v>779</v>
      </c>
      <c r="L190" s="326">
        <v>2</v>
      </c>
    </row>
    <row r="191" spans="11:12" x14ac:dyDescent="0.2">
      <c r="K191" s="7" t="s">
        <v>903</v>
      </c>
      <c r="L191" s="326">
        <v>2</v>
      </c>
    </row>
    <row r="192" spans="11:12" x14ac:dyDescent="0.2">
      <c r="K192" s="40" t="s">
        <v>1161</v>
      </c>
      <c r="L192" s="326">
        <v>1</v>
      </c>
    </row>
    <row r="193" spans="11:12" x14ac:dyDescent="0.2">
      <c r="K193" s="40" t="s">
        <v>904</v>
      </c>
      <c r="L193" s="326">
        <v>1</v>
      </c>
    </row>
    <row r="194" spans="11:12" x14ac:dyDescent="0.2">
      <c r="K194" s="7" t="s">
        <v>505</v>
      </c>
      <c r="L194" s="326">
        <v>2</v>
      </c>
    </row>
    <row r="195" spans="11:12" x14ac:dyDescent="0.2">
      <c r="K195" s="40" t="s">
        <v>506</v>
      </c>
      <c r="L195" s="326">
        <v>1</v>
      </c>
    </row>
    <row r="196" spans="11:12" x14ac:dyDescent="0.2">
      <c r="K196" s="40" t="s">
        <v>1106</v>
      </c>
      <c r="L196" s="326">
        <v>1</v>
      </c>
    </row>
    <row r="197" spans="11:12" x14ac:dyDescent="0.2">
      <c r="K197" s="7" t="s">
        <v>23</v>
      </c>
      <c r="L197" s="326">
        <v>2</v>
      </c>
    </row>
    <row r="198" spans="11:12" x14ac:dyDescent="0.2">
      <c r="K198" s="40" t="s">
        <v>235</v>
      </c>
      <c r="L198" s="326">
        <v>1</v>
      </c>
    </row>
    <row r="199" spans="11:12" x14ac:dyDescent="0.2">
      <c r="K199" s="40" t="s">
        <v>29</v>
      </c>
      <c r="L199" s="326">
        <v>1</v>
      </c>
    </row>
    <row r="200" spans="11:12" x14ac:dyDescent="0.2">
      <c r="K200" s="7" t="s">
        <v>1013</v>
      </c>
      <c r="L200" s="326">
        <v>2</v>
      </c>
    </row>
    <row r="201" spans="11:12" x14ac:dyDescent="0.2">
      <c r="K201" s="40" t="s">
        <v>1014</v>
      </c>
      <c r="L201" s="326">
        <v>2</v>
      </c>
    </row>
    <row r="202" spans="11:12" x14ac:dyDescent="0.2">
      <c r="K202" s="7" t="s">
        <v>637</v>
      </c>
      <c r="L202" s="326">
        <v>2</v>
      </c>
    </row>
    <row r="203" spans="11:12" x14ac:dyDescent="0.2">
      <c r="K203" s="40" t="s">
        <v>638</v>
      </c>
      <c r="L203" s="326">
        <v>1</v>
      </c>
    </row>
    <row r="204" spans="11:12" x14ac:dyDescent="0.2">
      <c r="K204" s="40" t="s">
        <v>945</v>
      </c>
      <c r="L204" s="326">
        <v>1</v>
      </c>
    </row>
    <row r="205" spans="11:12" x14ac:dyDescent="0.2">
      <c r="K205" s="7" t="s">
        <v>78</v>
      </c>
      <c r="L205" s="326">
        <v>2</v>
      </c>
    </row>
    <row r="206" spans="11:12" x14ac:dyDescent="0.2">
      <c r="K206" s="40" t="s">
        <v>79</v>
      </c>
      <c r="L206" s="326">
        <v>1</v>
      </c>
    </row>
    <row r="207" spans="11:12" x14ac:dyDescent="0.2">
      <c r="K207" s="40" t="s">
        <v>1081</v>
      </c>
      <c r="L207" s="326">
        <v>1</v>
      </c>
    </row>
    <row r="208" spans="11:12" x14ac:dyDescent="0.2">
      <c r="K208" s="7" t="s">
        <v>790</v>
      </c>
      <c r="L208" s="326">
        <v>2</v>
      </c>
    </row>
    <row r="209" spans="11:12" x14ac:dyDescent="0.2">
      <c r="K209" s="40" t="s">
        <v>791</v>
      </c>
      <c r="L209" s="326">
        <v>2</v>
      </c>
    </row>
    <row r="210" spans="11:12" x14ac:dyDescent="0.2">
      <c r="K210" s="7" t="s">
        <v>1032</v>
      </c>
      <c r="L210" s="326">
        <v>2</v>
      </c>
    </row>
    <row r="211" spans="11:12" x14ac:dyDescent="0.2">
      <c r="K211" s="40" t="s">
        <v>1306</v>
      </c>
      <c r="L211" s="326">
        <v>1</v>
      </c>
    </row>
    <row r="212" spans="11:12" x14ac:dyDescent="0.2">
      <c r="K212" s="40" t="s">
        <v>1033</v>
      </c>
      <c r="L212" s="326">
        <v>1</v>
      </c>
    </row>
    <row r="213" spans="11:12" x14ac:dyDescent="0.2">
      <c r="K213" s="7" t="s">
        <v>586</v>
      </c>
      <c r="L213" s="326">
        <v>2</v>
      </c>
    </row>
    <row r="214" spans="11:12" x14ac:dyDescent="0.2">
      <c r="K214" s="40" t="s">
        <v>1172</v>
      </c>
      <c r="L214" s="326">
        <v>1</v>
      </c>
    </row>
    <row r="215" spans="11:12" x14ac:dyDescent="0.2">
      <c r="K215" s="40" t="s">
        <v>587</v>
      </c>
      <c r="L215" s="326">
        <v>1</v>
      </c>
    </row>
    <row r="216" spans="11:12" x14ac:dyDescent="0.2">
      <c r="K216" s="7" t="s">
        <v>658</v>
      </c>
      <c r="L216" s="326">
        <v>2</v>
      </c>
    </row>
    <row r="217" spans="11:12" x14ac:dyDescent="0.2">
      <c r="K217" s="40" t="s">
        <v>1092</v>
      </c>
      <c r="L217" s="326">
        <v>1</v>
      </c>
    </row>
    <row r="218" spans="11:12" x14ac:dyDescent="0.2">
      <c r="K218" s="40" t="s">
        <v>659</v>
      </c>
      <c r="L218" s="326">
        <v>1</v>
      </c>
    </row>
    <row r="219" spans="11:12" x14ac:dyDescent="0.2">
      <c r="K219" s="7" t="s">
        <v>102</v>
      </c>
      <c r="L219" s="326">
        <v>1</v>
      </c>
    </row>
    <row r="220" spans="11:12" x14ac:dyDescent="0.2">
      <c r="K220" s="40" t="s">
        <v>393</v>
      </c>
      <c r="L220" s="326">
        <v>1</v>
      </c>
    </row>
    <row r="221" spans="11:12" x14ac:dyDescent="0.2">
      <c r="K221" s="7" t="s">
        <v>1271</v>
      </c>
      <c r="L221" s="326">
        <v>1</v>
      </c>
    </row>
    <row r="222" spans="11:12" x14ac:dyDescent="0.2">
      <c r="K222" s="40" t="s">
        <v>1272</v>
      </c>
      <c r="L222" s="326">
        <v>1</v>
      </c>
    </row>
    <row r="223" spans="11:12" x14ac:dyDescent="0.2">
      <c r="K223" s="7" t="s">
        <v>1309</v>
      </c>
      <c r="L223" s="326">
        <v>1</v>
      </c>
    </row>
    <row r="224" spans="11:12" x14ac:dyDescent="0.2">
      <c r="K224" s="40" t="s">
        <v>1310</v>
      </c>
      <c r="L224" s="326">
        <v>1</v>
      </c>
    </row>
    <row r="225" spans="11:12" x14ac:dyDescent="0.2">
      <c r="K225" s="7" t="s">
        <v>1137</v>
      </c>
      <c r="L225" s="326">
        <v>1</v>
      </c>
    </row>
    <row r="226" spans="11:12" x14ac:dyDescent="0.2">
      <c r="K226" s="40" t="s">
        <v>1138</v>
      </c>
      <c r="L226" s="326">
        <v>1</v>
      </c>
    </row>
    <row r="227" spans="11:12" x14ac:dyDescent="0.2">
      <c r="K227" s="7" t="s">
        <v>884</v>
      </c>
      <c r="L227" s="326">
        <v>1</v>
      </c>
    </row>
    <row r="228" spans="11:12" x14ac:dyDescent="0.2">
      <c r="K228" s="40" t="s">
        <v>885</v>
      </c>
      <c r="L228" s="326">
        <v>1</v>
      </c>
    </row>
    <row r="229" spans="11:12" x14ac:dyDescent="0.2">
      <c r="K229" s="7" t="s">
        <v>695</v>
      </c>
      <c r="L229" s="326">
        <v>1</v>
      </c>
    </row>
    <row r="230" spans="11:12" x14ac:dyDescent="0.2">
      <c r="K230" s="40" t="s">
        <v>696</v>
      </c>
      <c r="L230" s="326">
        <v>1</v>
      </c>
    </row>
    <row r="231" spans="11:12" x14ac:dyDescent="0.2">
      <c r="K231" s="7" t="s">
        <v>340</v>
      </c>
      <c r="L231" s="326">
        <v>1</v>
      </c>
    </row>
    <row r="232" spans="11:12" x14ac:dyDescent="0.2">
      <c r="K232" s="40" t="s">
        <v>341</v>
      </c>
      <c r="L232" s="326">
        <v>1</v>
      </c>
    </row>
    <row r="233" spans="11:12" x14ac:dyDescent="0.2">
      <c r="K233" s="7" t="s">
        <v>1235</v>
      </c>
      <c r="L233" s="326">
        <v>1</v>
      </c>
    </row>
    <row r="234" spans="11:12" x14ac:dyDescent="0.2">
      <c r="K234" s="40" t="s">
        <v>1236</v>
      </c>
      <c r="L234" s="326">
        <v>1</v>
      </c>
    </row>
    <row r="235" spans="11:12" x14ac:dyDescent="0.2">
      <c r="K235" s="7" t="s">
        <v>675</v>
      </c>
      <c r="L235" s="326">
        <v>1</v>
      </c>
    </row>
    <row r="236" spans="11:12" x14ac:dyDescent="0.2">
      <c r="K236" s="40" t="s">
        <v>676</v>
      </c>
      <c r="L236" s="326">
        <v>1</v>
      </c>
    </row>
    <row r="237" spans="11:12" x14ac:dyDescent="0.2">
      <c r="K237" s="7" t="s">
        <v>114</v>
      </c>
      <c r="L237" s="326">
        <v>1</v>
      </c>
    </row>
    <row r="238" spans="11:12" x14ac:dyDescent="0.2">
      <c r="K238" s="40" t="s">
        <v>1224</v>
      </c>
      <c r="L238" s="326">
        <v>1</v>
      </c>
    </row>
    <row r="239" spans="11:12" x14ac:dyDescent="0.2">
      <c r="K239" s="7" t="s">
        <v>1053</v>
      </c>
      <c r="L239" s="326">
        <v>1</v>
      </c>
    </row>
    <row r="240" spans="11:12" x14ac:dyDescent="0.2">
      <c r="K240" s="40" t="s">
        <v>1054</v>
      </c>
      <c r="L240" s="326">
        <v>1</v>
      </c>
    </row>
    <row r="241" spans="11:12" x14ac:dyDescent="0.2">
      <c r="K241" s="7" t="s">
        <v>661</v>
      </c>
      <c r="L241" s="326">
        <v>1</v>
      </c>
    </row>
    <row r="242" spans="11:12" x14ac:dyDescent="0.2">
      <c r="K242" s="40" t="s">
        <v>662</v>
      </c>
      <c r="L242" s="326">
        <v>1</v>
      </c>
    </row>
    <row r="243" spans="11:12" x14ac:dyDescent="0.2">
      <c r="K243" s="7" t="s">
        <v>31</v>
      </c>
      <c r="L243" s="326">
        <v>1</v>
      </c>
    </row>
    <row r="244" spans="11:12" x14ac:dyDescent="0.2">
      <c r="K244" s="40" t="s">
        <v>713</v>
      </c>
      <c r="L244" s="326">
        <v>1</v>
      </c>
    </row>
    <row r="245" spans="11:12" x14ac:dyDescent="0.2">
      <c r="K245" s="7" t="s">
        <v>1411</v>
      </c>
      <c r="L245" s="326">
        <v>1</v>
      </c>
    </row>
    <row r="246" spans="11:12" x14ac:dyDescent="0.2">
      <c r="K246" s="40" t="s">
        <v>1412</v>
      </c>
      <c r="L246" s="326">
        <v>1</v>
      </c>
    </row>
    <row r="247" spans="11:12" x14ac:dyDescent="0.2">
      <c r="K247" s="7" t="s">
        <v>150</v>
      </c>
      <c r="L247" s="326">
        <v>1</v>
      </c>
    </row>
    <row r="248" spans="11:12" x14ac:dyDescent="0.2">
      <c r="K248" s="40" t="s">
        <v>398</v>
      </c>
      <c r="L248" s="326">
        <v>1</v>
      </c>
    </row>
    <row r="249" spans="11:12" x14ac:dyDescent="0.2">
      <c r="K249" s="7" t="s">
        <v>17</v>
      </c>
      <c r="L249" s="326">
        <v>1</v>
      </c>
    </row>
    <row r="250" spans="11:12" x14ac:dyDescent="0.2">
      <c r="K250" s="40" t="s">
        <v>1382</v>
      </c>
      <c r="L250" s="326">
        <v>1</v>
      </c>
    </row>
    <row r="251" spans="11:12" x14ac:dyDescent="0.2">
      <c r="K251" s="7" t="s">
        <v>814</v>
      </c>
      <c r="L251" s="326">
        <v>1</v>
      </c>
    </row>
    <row r="252" spans="11:12" x14ac:dyDescent="0.2">
      <c r="K252" s="40" t="s">
        <v>815</v>
      </c>
      <c r="L252" s="326">
        <v>1</v>
      </c>
    </row>
    <row r="253" spans="11:12" x14ac:dyDescent="0.2">
      <c r="K253" s="7" t="s">
        <v>1070</v>
      </c>
      <c r="L253" s="326">
        <v>1</v>
      </c>
    </row>
    <row r="254" spans="11:12" x14ac:dyDescent="0.2">
      <c r="K254" s="40" t="s">
        <v>1071</v>
      </c>
      <c r="L254" s="326">
        <v>1</v>
      </c>
    </row>
    <row r="255" spans="11:12" x14ac:dyDescent="0.2">
      <c r="K255" s="7" t="s">
        <v>355</v>
      </c>
      <c r="L255" s="326">
        <v>1</v>
      </c>
    </row>
    <row r="256" spans="11:12" x14ac:dyDescent="0.2">
      <c r="K256" s="40" t="s">
        <v>356</v>
      </c>
      <c r="L256" s="326">
        <v>1</v>
      </c>
    </row>
    <row r="257" spans="11:12" x14ac:dyDescent="0.2">
      <c r="K257" s="7" t="s">
        <v>719</v>
      </c>
      <c r="L257" s="326">
        <v>1</v>
      </c>
    </row>
    <row r="258" spans="11:12" x14ac:dyDescent="0.2">
      <c r="K258" s="40" t="s">
        <v>720</v>
      </c>
      <c r="L258" s="326">
        <v>1</v>
      </c>
    </row>
    <row r="259" spans="11:12" x14ac:dyDescent="0.2">
      <c r="K259" s="7" t="s">
        <v>1211</v>
      </c>
      <c r="L259" s="326">
        <v>1</v>
      </c>
    </row>
    <row r="260" spans="11:12" x14ac:dyDescent="0.2">
      <c r="K260" s="40" t="s">
        <v>1212</v>
      </c>
      <c r="L260" s="326">
        <v>1</v>
      </c>
    </row>
    <row r="261" spans="11:12" x14ac:dyDescent="0.2">
      <c r="K261" s="7" t="s">
        <v>289</v>
      </c>
      <c r="L261" s="326">
        <v>1</v>
      </c>
    </row>
    <row r="262" spans="11:12" x14ac:dyDescent="0.2">
      <c r="K262" s="40" t="s">
        <v>290</v>
      </c>
      <c r="L262" s="326">
        <v>1</v>
      </c>
    </row>
    <row r="263" spans="11:12" x14ac:dyDescent="0.2">
      <c r="K263" s="7" t="s">
        <v>491</v>
      </c>
      <c r="L263" s="326">
        <v>1</v>
      </c>
    </row>
    <row r="264" spans="11:12" x14ac:dyDescent="0.2">
      <c r="K264" s="40" t="s">
        <v>492</v>
      </c>
      <c r="L264" s="326">
        <v>1</v>
      </c>
    </row>
    <row r="265" spans="11:12" x14ac:dyDescent="0.2">
      <c r="K265" s="7" t="s">
        <v>1111</v>
      </c>
      <c r="L265" s="326">
        <v>1</v>
      </c>
    </row>
    <row r="266" spans="11:12" x14ac:dyDescent="0.2">
      <c r="K266" s="40" t="s">
        <v>1112</v>
      </c>
      <c r="L266" s="326">
        <v>1</v>
      </c>
    </row>
    <row r="267" spans="11:12" x14ac:dyDescent="0.2">
      <c r="K267" s="7" t="s">
        <v>1164</v>
      </c>
      <c r="L267" s="326">
        <v>1</v>
      </c>
    </row>
    <row r="268" spans="11:12" x14ac:dyDescent="0.2">
      <c r="K268" s="40" t="s">
        <v>1165</v>
      </c>
      <c r="L268" s="326">
        <v>1</v>
      </c>
    </row>
    <row r="269" spans="11:12" x14ac:dyDescent="0.2">
      <c r="K269" s="7" t="s">
        <v>1276</v>
      </c>
      <c r="L269" s="326">
        <v>1</v>
      </c>
    </row>
    <row r="270" spans="11:12" x14ac:dyDescent="0.2">
      <c r="K270" s="40" t="s">
        <v>1277</v>
      </c>
      <c r="L270" s="326">
        <v>1</v>
      </c>
    </row>
    <row r="271" spans="11:12" x14ac:dyDescent="0.2">
      <c r="K271" s="7" t="s">
        <v>1064</v>
      </c>
      <c r="L271" s="326">
        <v>1</v>
      </c>
    </row>
    <row r="272" spans="11:12" x14ac:dyDescent="0.2">
      <c r="K272" s="40" t="s">
        <v>1065</v>
      </c>
      <c r="L272" s="326">
        <v>1</v>
      </c>
    </row>
    <row r="273" spans="11:12" x14ac:dyDescent="0.2">
      <c r="K273" s="7" t="s">
        <v>1192</v>
      </c>
      <c r="L273" s="326">
        <v>1</v>
      </c>
    </row>
    <row r="274" spans="11:12" x14ac:dyDescent="0.2">
      <c r="K274" s="40" t="s">
        <v>1193</v>
      </c>
      <c r="L274" s="326">
        <v>1</v>
      </c>
    </row>
    <row r="275" spans="11:12" x14ac:dyDescent="0.2">
      <c r="K275" s="7" t="s">
        <v>707</v>
      </c>
      <c r="L275" s="326">
        <v>1</v>
      </c>
    </row>
    <row r="276" spans="11:12" x14ac:dyDescent="0.2">
      <c r="K276" s="40" t="s">
        <v>708</v>
      </c>
      <c r="L276" s="326">
        <v>1</v>
      </c>
    </row>
    <row r="277" spans="11:12" x14ac:dyDescent="0.2">
      <c r="K277" s="7" t="s">
        <v>20</v>
      </c>
      <c r="L277" s="326">
        <v>1</v>
      </c>
    </row>
    <row r="278" spans="11:12" x14ac:dyDescent="0.2">
      <c r="K278" s="40" t="s">
        <v>412</v>
      </c>
      <c r="L278" s="326">
        <v>1</v>
      </c>
    </row>
    <row r="279" spans="11:12" x14ac:dyDescent="0.2">
      <c r="K279" s="7" t="s">
        <v>649</v>
      </c>
      <c r="L279" s="326">
        <v>1</v>
      </c>
    </row>
    <row r="280" spans="11:12" x14ac:dyDescent="0.2">
      <c r="K280" s="40" t="s">
        <v>1334</v>
      </c>
      <c r="L280" s="326">
        <v>1</v>
      </c>
    </row>
    <row r="281" spans="11:12" x14ac:dyDescent="0.2">
      <c r="K281" s="7" t="s">
        <v>520</v>
      </c>
      <c r="L281" s="326">
        <v>1</v>
      </c>
    </row>
    <row r="282" spans="11:12" x14ac:dyDescent="0.2">
      <c r="K282" s="40" t="s">
        <v>521</v>
      </c>
      <c r="L282" s="326">
        <v>1</v>
      </c>
    </row>
    <row r="283" spans="11:12" x14ac:dyDescent="0.2">
      <c r="K283" s="7" t="s">
        <v>105</v>
      </c>
      <c r="L283" s="326">
        <v>1</v>
      </c>
    </row>
    <row r="284" spans="11:12" x14ac:dyDescent="0.2">
      <c r="K284" s="40" t="s">
        <v>1274</v>
      </c>
      <c r="L284" s="326">
        <v>1</v>
      </c>
    </row>
    <row r="285" spans="11:12" x14ac:dyDescent="0.2">
      <c r="K285" s="7" t="s">
        <v>742</v>
      </c>
      <c r="L285" s="326">
        <v>1</v>
      </c>
    </row>
    <row r="286" spans="11:12" x14ac:dyDescent="0.2">
      <c r="K286" s="40" t="s">
        <v>743</v>
      </c>
      <c r="L286" s="326">
        <v>1</v>
      </c>
    </row>
    <row r="287" spans="11:12" x14ac:dyDescent="0.2">
      <c r="K287" s="7" t="s">
        <v>1420</v>
      </c>
      <c r="L287" s="326">
        <v>1</v>
      </c>
    </row>
    <row r="288" spans="11:12" x14ac:dyDescent="0.2">
      <c r="K288" s="40" t="s">
        <v>1421</v>
      </c>
      <c r="L288" s="326">
        <v>1</v>
      </c>
    </row>
    <row r="289" spans="11:12" x14ac:dyDescent="0.2">
      <c r="K289" s="7" t="s">
        <v>908</v>
      </c>
      <c r="L289" s="326">
        <v>1</v>
      </c>
    </row>
    <row r="290" spans="11:12" x14ac:dyDescent="0.2">
      <c r="K290" s="40" t="s">
        <v>909</v>
      </c>
      <c r="L290" s="326">
        <v>1</v>
      </c>
    </row>
    <row r="291" spans="11:12" x14ac:dyDescent="0.2">
      <c r="K291" s="7" t="s">
        <v>325</v>
      </c>
      <c r="L291" s="326">
        <v>1</v>
      </c>
    </row>
    <row r="292" spans="11:12" x14ac:dyDescent="0.2">
      <c r="K292" s="40" t="s">
        <v>326</v>
      </c>
      <c r="L292" s="326">
        <v>1</v>
      </c>
    </row>
    <row r="293" spans="11:12" x14ac:dyDescent="0.2">
      <c r="K293" s="7" t="s">
        <v>1251</v>
      </c>
      <c r="L293" s="326">
        <v>1</v>
      </c>
    </row>
    <row r="294" spans="11:12" x14ac:dyDescent="0.2">
      <c r="K294" s="40" t="s">
        <v>1252</v>
      </c>
      <c r="L294" s="326">
        <v>1</v>
      </c>
    </row>
    <row r="295" spans="11:12" x14ac:dyDescent="0.2">
      <c r="K295" s="7" t="s">
        <v>591</v>
      </c>
      <c r="L295" s="326">
        <v>1</v>
      </c>
    </row>
    <row r="296" spans="11:12" x14ac:dyDescent="0.2">
      <c r="K296" s="40" t="s">
        <v>592</v>
      </c>
      <c r="L296" s="326">
        <v>1</v>
      </c>
    </row>
    <row r="297" spans="11:12" x14ac:dyDescent="0.2">
      <c r="K297" s="7" t="s">
        <v>1016</v>
      </c>
      <c r="L297" s="326">
        <v>1</v>
      </c>
    </row>
    <row r="298" spans="11:12" x14ac:dyDescent="0.2">
      <c r="K298" s="40" t="s">
        <v>1017</v>
      </c>
      <c r="L298" s="326">
        <v>1</v>
      </c>
    </row>
    <row r="299" spans="11:12" x14ac:dyDescent="0.2">
      <c r="K299" s="7" t="s">
        <v>471</v>
      </c>
      <c r="L299" s="326">
        <v>1</v>
      </c>
    </row>
    <row r="300" spans="11:12" x14ac:dyDescent="0.2">
      <c r="K300" s="40" t="s">
        <v>472</v>
      </c>
      <c r="L300" s="326">
        <v>1</v>
      </c>
    </row>
    <row r="301" spans="11:12" x14ac:dyDescent="0.2">
      <c r="K301" s="7" t="s">
        <v>48</v>
      </c>
      <c r="L301" s="326">
        <v>1</v>
      </c>
    </row>
    <row r="302" spans="11:12" x14ac:dyDescent="0.2">
      <c r="K302" s="40" t="s">
        <v>49</v>
      </c>
      <c r="L302" s="326">
        <v>1</v>
      </c>
    </row>
    <row r="303" spans="11:12" x14ac:dyDescent="0.2">
      <c r="K303" s="7" t="s">
        <v>185</v>
      </c>
      <c r="L303" s="326">
        <v>1</v>
      </c>
    </row>
    <row r="304" spans="11:12" x14ac:dyDescent="0.2">
      <c r="K304" s="40" t="s">
        <v>186</v>
      </c>
      <c r="L304" s="326">
        <v>1</v>
      </c>
    </row>
    <row r="305" spans="11:12" x14ac:dyDescent="0.2">
      <c r="K305" s="7" t="s">
        <v>893</v>
      </c>
      <c r="L305" s="326">
        <v>1</v>
      </c>
    </row>
    <row r="306" spans="11:12" x14ac:dyDescent="0.2">
      <c r="K306" s="40" t="s">
        <v>894</v>
      </c>
      <c r="L306" s="326">
        <v>1</v>
      </c>
    </row>
    <row r="307" spans="11:12" x14ac:dyDescent="0.2">
      <c r="K307" s="7" t="s">
        <v>283</v>
      </c>
      <c r="L307" s="326">
        <v>1</v>
      </c>
    </row>
    <row r="308" spans="11:12" x14ac:dyDescent="0.2">
      <c r="K308" s="40" t="s">
        <v>284</v>
      </c>
      <c r="L308" s="326">
        <v>1</v>
      </c>
    </row>
    <row r="309" spans="11:12" x14ac:dyDescent="0.2">
      <c r="K309" s="7" t="s">
        <v>1185</v>
      </c>
      <c r="L309" s="326">
        <v>1</v>
      </c>
    </row>
    <row r="310" spans="11:12" x14ac:dyDescent="0.2">
      <c r="K310" s="40" t="s">
        <v>1186</v>
      </c>
      <c r="L310" s="326">
        <v>1</v>
      </c>
    </row>
    <row r="311" spans="11:12" x14ac:dyDescent="0.2">
      <c r="K311" s="7" t="s">
        <v>626</v>
      </c>
      <c r="L311" s="326">
        <v>1</v>
      </c>
    </row>
    <row r="312" spans="11:12" x14ac:dyDescent="0.2">
      <c r="K312" s="40" t="s">
        <v>627</v>
      </c>
      <c r="L312" s="326">
        <v>1</v>
      </c>
    </row>
    <row r="313" spans="11:12" x14ac:dyDescent="0.2">
      <c r="K313" s="7" t="s">
        <v>710</v>
      </c>
      <c r="L313" s="326">
        <v>1</v>
      </c>
    </row>
    <row r="314" spans="11:12" x14ac:dyDescent="0.2">
      <c r="K314" s="40" t="s">
        <v>711</v>
      </c>
      <c r="L314" s="326">
        <v>1</v>
      </c>
    </row>
    <row r="315" spans="11:12" x14ac:dyDescent="0.2">
      <c r="K315" s="7" t="s">
        <v>922</v>
      </c>
      <c r="L315" s="326">
        <v>1</v>
      </c>
    </row>
    <row r="316" spans="11:12" x14ac:dyDescent="0.2">
      <c r="K316" s="40" t="s">
        <v>923</v>
      </c>
      <c r="L316" s="326">
        <v>1</v>
      </c>
    </row>
    <row r="317" spans="11:12" x14ac:dyDescent="0.2">
      <c r="K317" s="7" t="s">
        <v>797</v>
      </c>
      <c r="L317" s="326">
        <v>1</v>
      </c>
    </row>
    <row r="318" spans="11:12" x14ac:dyDescent="0.2">
      <c r="K318" s="40" t="s">
        <v>1332</v>
      </c>
      <c r="L318" s="326">
        <v>1</v>
      </c>
    </row>
    <row r="319" spans="11:12" x14ac:dyDescent="0.2">
      <c r="K319" s="7" t="s">
        <v>337</v>
      </c>
      <c r="L319" s="326">
        <v>1</v>
      </c>
    </row>
    <row r="320" spans="11:12" x14ac:dyDescent="0.2">
      <c r="K320" s="40" t="s">
        <v>338</v>
      </c>
      <c r="L320" s="326">
        <v>1</v>
      </c>
    </row>
    <row r="321" spans="11:12" x14ac:dyDescent="0.2">
      <c r="K321" s="7" t="s">
        <v>555</v>
      </c>
      <c r="L321" s="326">
        <v>1</v>
      </c>
    </row>
    <row r="322" spans="11:12" x14ac:dyDescent="0.2">
      <c r="K322" s="40" t="s">
        <v>556</v>
      </c>
      <c r="L322" s="326">
        <v>1</v>
      </c>
    </row>
    <row r="323" spans="11:12" x14ac:dyDescent="0.2">
      <c r="K323" s="7" t="s">
        <v>875</v>
      </c>
      <c r="L323" s="326">
        <v>1</v>
      </c>
    </row>
    <row r="324" spans="11:12" x14ac:dyDescent="0.2">
      <c r="K324" s="40" t="s">
        <v>876</v>
      </c>
      <c r="L324" s="326">
        <v>1</v>
      </c>
    </row>
    <row r="325" spans="11:12" x14ac:dyDescent="0.2">
      <c r="K325" s="7" t="s">
        <v>117</v>
      </c>
      <c r="L325" s="326">
        <v>1</v>
      </c>
    </row>
    <row r="326" spans="11:12" x14ac:dyDescent="0.2">
      <c r="K326" s="40" t="s">
        <v>118</v>
      </c>
      <c r="L326" s="326">
        <v>1</v>
      </c>
    </row>
    <row r="327" spans="11:12" x14ac:dyDescent="0.2">
      <c r="K327" s="7" t="s">
        <v>502</v>
      </c>
      <c r="L327" s="326">
        <v>1</v>
      </c>
    </row>
    <row r="328" spans="11:12" x14ac:dyDescent="0.2">
      <c r="K328" s="40" t="s">
        <v>503</v>
      </c>
      <c r="L328" s="326">
        <v>1</v>
      </c>
    </row>
    <row r="329" spans="11:12" x14ac:dyDescent="0.2">
      <c r="K329" s="7" t="s">
        <v>494</v>
      </c>
      <c r="L329" s="326">
        <v>1</v>
      </c>
    </row>
    <row r="330" spans="11:12" x14ac:dyDescent="0.2">
      <c r="K330" s="40" t="s">
        <v>495</v>
      </c>
      <c r="L330" s="326">
        <v>1</v>
      </c>
    </row>
    <row r="331" spans="11:12" x14ac:dyDescent="0.2">
      <c r="K331" s="7" t="s">
        <v>129</v>
      </c>
      <c r="L331" s="326">
        <v>1</v>
      </c>
    </row>
    <row r="332" spans="11:12" x14ac:dyDescent="0.2">
      <c r="K332" s="40" t="s">
        <v>130</v>
      </c>
      <c r="L332" s="326">
        <v>1</v>
      </c>
    </row>
    <row r="333" spans="11:12" x14ac:dyDescent="0.2">
      <c r="K333" s="7" t="s">
        <v>919</v>
      </c>
      <c r="L333" s="326">
        <v>1</v>
      </c>
    </row>
    <row r="334" spans="11:12" x14ac:dyDescent="0.2">
      <c r="K334" s="40" t="s">
        <v>920</v>
      </c>
      <c r="L334" s="326">
        <v>1</v>
      </c>
    </row>
    <row r="335" spans="11:12" x14ac:dyDescent="0.2">
      <c r="K335" s="7" t="s">
        <v>1447</v>
      </c>
      <c r="L335" s="326">
        <v>1</v>
      </c>
    </row>
    <row r="336" spans="11:12" x14ac:dyDescent="0.2">
      <c r="K336" s="40" t="s">
        <v>1448</v>
      </c>
      <c r="L336" s="326">
        <v>1</v>
      </c>
    </row>
    <row r="337" spans="11:12" x14ac:dyDescent="0.2">
      <c r="K337" s="7" t="s">
        <v>372</v>
      </c>
      <c r="L337" s="326">
        <v>1</v>
      </c>
    </row>
    <row r="338" spans="11:12" x14ac:dyDescent="0.2">
      <c r="K338" s="40" t="s">
        <v>373</v>
      </c>
      <c r="L338" s="326">
        <v>1</v>
      </c>
    </row>
    <row r="339" spans="11:12" x14ac:dyDescent="0.2">
      <c r="K339" s="7" t="s">
        <v>769</v>
      </c>
      <c r="L339" s="326">
        <v>1</v>
      </c>
    </row>
    <row r="340" spans="11:12" x14ac:dyDescent="0.2">
      <c r="K340" s="40" t="s">
        <v>770</v>
      </c>
      <c r="L340" s="326">
        <v>1</v>
      </c>
    </row>
    <row r="341" spans="11:12" x14ac:dyDescent="0.2">
      <c r="K341" s="7" t="s">
        <v>1287</v>
      </c>
      <c r="L341" s="326">
        <v>1</v>
      </c>
    </row>
    <row r="342" spans="11:12" x14ac:dyDescent="0.2">
      <c r="K342" s="40" t="s">
        <v>1288</v>
      </c>
      <c r="L342" s="326">
        <v>1</v>
      </c>
    </row>
    <row r="343" spans="11:12" x14ac:dyDescent="0.2">
      <c r="K343" s="7" t="s">
        <v>226</v>
      </c>
      <c r="L343" s="326">
        <v>1</v>
      </c>
    </row>
    <row r="344" spans="11:12" x14ac:dyDescent="0.2">
      <c r="K344" s="40" t="s">
        <v>1400</v>
      </c>
      <c r="L344" s="326">
        <v>1</v>
      </c>
    </row>
    <row r="345" spans="11:12" x14ac:dyDescent="0.2">
      <c r="K345" s="7" t="s">
        <v>286</v>
      </c>
      <c r="L345" s="326">
        <v>1</v>
      </c>
    </row>
    <row r="346" spans="11:12" x14ac:dyDescent="0.2">
      <c r="K346" s="40" t="s">
        <v>287</v>
      </c>
      <c r="L346" s="326">
        <v>1</v>
      </c>
    </row>
    <row r="347" spans="11:12" x14ac:dyDescent="0.2">
      <c r="K347" s="7" t="s">
        <v>1321</v>
      </c>
      <c r="L347" s="326">
        <v>1</v>
      </c>
    </row>
    <row r="348" spans="11:12" x14ac:dyDescent="0.2">
      <c r="K348" s="40" t="s">
        <v>1322</v>
      </c>
      <c r="L348" s="326">
        <v>1</v>
      </c>
    </row>
    <row r="349" spans="11:12" x14ac:dyDescent="0.2">
      <c r="K349" s="7" t="s">
        <v>1158</v>
      </c>
      <c r="L349" s="326">
        <v>1</v>
      </c>
    </row>
    <row r="350" spans="11:12" x14ac:dyDescent="0.2">
      <c r="K350" s="40" t="s">
        <v>1159</v>
      </c>
      <c r="L350" s="326">
        <v>1</v>
      </c>
    </row>
    <row r="351" spans="11:12" x14ac:dyDescent="0.2">
      <c r="K351" s="7" t="s">
        <v>787</v>
      </c>
      <c r="L351" s="326">
        <v>1</v>
      </c>
    </row>
    <row r="352" spans="11:12" x14ac:dyDescent="0.2">
      <c r="K352" s="40" t="s">
        <v>788</v>
      </c>
      <c r="L352" s="326">
        <v>1</v>
      </c>
    </row>
    <row r="353" spans="11:12" x14ac:dyDescent="0.2">
      <c r="K353" s="7" t="s">
        <v>1374</v>
      </c>
      <c r="L353" s="326">
        <v>1</v>
      </c>
    </row>
    <row r="354" spans="11:12" x14ac:dyDescent="0.2">
      <c r="K354" s="40" t="s">
        <v>1375</v>
      </c>
      <c r="L354" s="326">
        <v>1</v>
      </c>
    </row>
    <row r="355" spans="11:12" x14ac:dyDescent="0.2">
      <c r="K355" s="7" t="s">
        <v>158</v>
      </c>
      <c r="L355" s="326">
        <v>1</v>
      </c>
    </row>
    <row r="356" spans="11:12" x14ac:dyDescent="0.2">
      <c r="K356" s="40" t="s">
        <v>159</v>
      </c>
      <c r="L356" s="326">
        <v>1</v>
      </c>
    </row>
    <row r="357" spans="11:12" x14ac:dyDescent="0.2">
      <c r="K357" s="7" t="s">
        <v>454</v>
      </c>
      <c r="L357" s="326">
        <v>1</v>
      </c>
    </row>
    <row r="358" spans="11:12" x14ac:dyDescent="0.2">
      <c r="K358" s="40" t="s">
        <v>455</v>
      </c>
      <c r="L358" s="326">
        <v>1</v>
      </c>
    </row>
    <row r="359" spans="11:12" x14ac:dyDescent="0.2">
      <c r="K359" s="7" t="s">
        <v>86</v>
      </c>
      <c r="L359" s="326">
        <v>1</v>
      </c>
    </row>
    <row r="360" spans="11:12" x14ac:dyDescent="0.2">
      <c r="K360" s="40" t="s">
        <v>87</v>
      </c>
      <c r="L360" s="326">
        <v>1</v>
      </c>
    </row>
    <row r="361" spans="11:12" x14ac:dyDescent="0.2">
      <c r="K361" s="7" t="s">
        <v>881</v>
      </c>
      <c r="L361" s="326">
        <v>1</v>
      </c>
    </row>
    <row r="362" spans="11:12" x14ac:dyDescent="0.2">
      <c r="K362" s="40" t="s">
        <v>882</v>
      </c>
      <c r="L362" s="326">
        <v>1</v>
      </c>
    </row>
    <row r="363" spans="11:12" x14ac:dyDescent="0.2">
      <c r="K363" s="7" t="s">
        <v>1239</v>
      </c>
      <c r="L363" s="326">
        <v>1</v>
      </c>
    </row>
    <row r="364" spans="11:12" x14ac:dyDescent="0.2">
      <c r="K364" s="40" t="s">
        <v>1240</v>
      </c>
      <c r="L364" s="326">
        <v>1</v>
      </c>
    </row>
    <row r="365" spans="11:12" x14ac:dyDescent="0.2">
      <c r="K365" s="7" t="s">
        <v>120</v>
      </c>
      <c r="L365" s="326">
        <v>1</v>
      </c>
    </row>
    <row r="366" spans="11:12" x14ac:dyDescent="0.2">
      <c r="K366" s="40" t="s">
        <v>121</v>
      </c>
      <c r="L366" s="326">
        <v>1</v>
      </c>
    </row>
    <row r="367" spans="11:12" x14ac:dyDescent="0.2">
      <c r="K367" s="7" t="s">
        <v>259</v>
      </c>
      <c r="L367" s="326">
        <v>1</v>
      </c>
    </row>
    <row r="368" spans="11:12" x14ac:dyDescent="0.2">
      <c r="K368" s="40" t="s">
        <v>260</v>
      </c>
      <c r="L368" s="326">
        <v>1</v>
      </c>
    </row>
    <row r="369" spans="11:12" x14ac:dyDescent="0.2">
      <c r="K369" s="7" t="s">
        <v>274</v>
      </c>
      <c r="L369" s="326">
        <v>1</v>
      </c>
    </row>
    <row r="370" spans="11:12" x14ac:dyDescent="0.2">
      <c r="K370" s="40" t="s">
        <v>275</v>
      </c>
      <c r="L370" s="326">
        <v>1</v>
      </c>
    </row>
    <row r="371" spans="11:12" x14ac:dyDescent="0.2">
      <c r="K371" s="7" t="s">
        <v>1126</v>
      </c>
      <c r="L371" s="326">
        <v>1</v>
      </c>
    </row>
    <row r="372" spans="11:12" x14ac:dyDescent="0.2">
      <c r="K372" s="40" t="s">
        <v>1127</v>
      </c>
      <c r="L372" s="326">
        <v>1</v>
      </c>
    </row>
    <row r="373" spans="11:12" x14ac:dyDescent="0.2">
      <c r="K373" s="7" t="s">
        <v>1365</v>
      </c>
      <c r="L373" s="326">
        <v>1</v>
      </c>
    </row>
    <row r="374" spans="11:12" x14ac:dyDescent="0.2">
      <c r="K374" s="40" t="s">
        <v>1366</v>
      </c>
      <c r="L374" s="326">
        <v>1</v>
      </c>
    </row>
    <row r="375" spans="11:12" x14ac:dyDescent="0.2">
      <c r="K375" s="7" t="s">
        <v>1431</v>
      </c>
      <c r="L375" s="326">
        <v>1</v>
      </c>
    </row>
    <row r="376" spans="11:12" x14ac:dyDescent="0.2">
      <c r="K376" s="40" t="s">
        <v>1432</v>
      </c>
      <c r="L376" s="326">
        <v>1</v>
      </c>
    </row>
    <row r="377" spans="11:12" x14ac:dyDescent="0.2">
      <c r="K377" s="7" t="s">
        <v>800</v>
      </c>
      <c r="L377" s="326">
        <v>1</v>
      </c>
    </row>
    <row r="378" spans="11:12" x14ac:dyDescent="0.2">
      <c r="K378" s="40" t="s">
        <v>801</v>
      </c>
      <c r="L378" s="326">
        <v>1</v>
      </c>
    </row>
    <row r="379" spans="11:12" x14ac:dyDescent="0.2">
      <c r="K379" s="7" t="s">
        <v>1324</v>
      </c>
      <c r="L379" s="326">
        <v>1</v>
      </c>
    </row>
    <row r="380" spans="11:12" x14ac:dyDescent="0.2">
      <c r="K380" s="40" t="s">
        <v>1325</v>
      </c>
      <c r="L380" s="326">
        <v>1</v>
      </c>
    </row>
    <row r="381" spans="11:12" x14ac:dyDescent="0.2">
      <c r="K381" s="7" t="s">
        <v>936</v>
      </c>
      <c r="L381" s="326">
        <v>1</v>
      </c>
    </row>
    <row r="382" spans="11:12" x14ac:dyDescent="0.2">
      <c r="K382" s="40" t="s">
        <v>937</v>
      </c>
      <c r="L382" s="326">
        <v>1</v>
      </c>
    </row>
    <row r="383" spans="11:12" x14ac:dyDescent="0.2">
      <c r="K383" s="7" t="s">
        <v>1000</v>
      </c>
      <c r="L383" s="326">
        <v>1</v>
      </c>
    </row>
    <row r="384" spans="11:12" x14ac:dyDescent="0.2">
      <c r="K384" s="40" t="s">
        <v>1001</v>
      </c>
      <c r="L384" s="326">
        <v>1</v>
      </c>
    </row>
    <row r="385" spans="11:12" x14ac:dyDescent="0.2">
      <c r="K385" s="7" t="s">
        <v>94</v>
      </c>
      <c r="L385" s="326">
        <v>1</v>
      </c>
    </row>
    <row r="386" spans="11:12" x14ac:dyDescent="0.2">
      <c r="K386" s="40" t="s">
        <v>95</v>
      </c>
      <c r="L386" s="326">
        <v>1</v>
      </c>
    </row>
    <row r="387" spans="11:12" x14ac:dyDescent="0.2">
      <c r="K387" s="7" t="s">
        <v>784</v>
      </c>
      <c r="L387" s="326">
        <v>1</v>
      </c>
    </row>
    <row r="388" spans="11:12" x14ac:dyDescent="0.2">
      <c r="K388" s="40" t="s">
        <v>785</v>
      </c>
      <c r="L388" s="326">
        <v>1</v>
      </c>
    </row>
    <row r="389" spans="11:12" x14ac:dyDescent="0.2">
      <c r="K389" s="7" t="s">
        <v>201</v>
      </c>
      <c r="L389" s="326">
        <v>1</v>
      </c>
    </row>
    <row r="390" spans="11:12" x14ac:dyDescent="0.2">
      <c r="K390" s="40" t="s">
        <v>202</v>
      </c>
      <c r="L390" s="326">
        <v>1</v>
      </c>
    </row>
    <row r="391" spans="11:12" x14ac:dyDescent="0.2">
      <c r="K391" s="7" t="s">
        <v>91</v>
      </c>
      <c r="L391" s="326">
        <v>1</v>
      </c>
    </row>
    <row r="392" spans="11:12" x14ac:dyDescent="0.2">
      <c r="K392" s="40" t="s">
        <v>92</v>
      </c>
      <c r="L392" s="326">
        <v>1</v>
      </c>
    </row>
    <row r="393" spans="11:12" x14ac:dyDescent="0.2">
      <c r="K393" s="7" t="s">
        <v>1257</v>
      </c>
      <c r="L393" s="326">
        <v>1</v>
      </c>
    </row>
    <row r="394" spans="11:12" x14ac:dyDescent="0.2">
      <c r="K394" s="40" t="s">
        <v>1258</v>
      </c>
      <c r="L394" s="326">
        <v>1</v>
      </c>
    </row>
    <row r="395" spans="11:12" x14ac:dyDescent="0.2">
      <c r="K395" s="7" t="s">
        <v>596</v>
      </c>
      <c r="L395" s="326">
        <v>1</v>
      </c>
    </row>
    <row r="396" spans="11:12" x14ac:dyDescent="0.2">
      <c r="K396" s="40" t="s">
        <v>597</v>
      </c>
      <c r="L396" s="326">
        <v>1</v>
      </c>
    </row>
    <row r="397" spans="11:12" x14ac:dyDescent="0.2">
      <c r="K397" s="7" t="s">
        <v>997</v>
      </c>
      <c r="L397" s="326">
        <v>1</v>
      </c>
    </row>
    <row r="398" spans="11:12" x14ac:dyDescent="0.2">
      <c r="K398" s="40" t="s">
        <v>998</v>
      </c>
      <c r="L398" s="326">
        <v>1</v>
      </c>
    </row>
    <row r="399" spans="11:12" x14ac:dyDescent="0.2">
      <c r="K399" s="7" t="s">
        <v>745</v>
      </c>
      <c r="L399" s="326">
        <v>1</v>
      </c>
    </row>
    <row r="400" spans="11:12" x14ac:dyDescent="0.2">
      <c r="K400" s="40" t="s">
        <v>746</v>
      </c>
      <c r="L400" s="326">
        <v>1</v>
      </c>
    </row>
    <row r="401" spans="11:12" x14ac:dyDescent="0.2">
      <c r="K401" s="7" t="s">
        <v>866</v>
      </c>
      <c r="L401" s="326">
        <v>1</v>
      </c>
    </row>
    <row r="402" spans="11:12" x14ac:dyDescent="0.2">
      <c r="K402" s="40" t="s">
        <v>867</v>
      </c>
      <c r="L402" s="326">
        <v>1</v>
      </c>
    </row>
    <row r="403" spans="11:12" x14ac:dyDescent="0.2">
      <c r="K403" s="7" t="s">
        <v>751</v>
      </c>
      <c r="L403" s="326">
        <v>1</v>
      </c>
    </row>
    <row r="404" spans="11:12" x14ac:dyDescent="0.2">
      <c r="K404" s="40" t="s">
        <v>752</v>
      </c>
      <c r="L404" s="326">
        <v>1</v>
      </c>
    </row>
    <row r="405" spans="11:12" x14ac:dyDescent="0.2">
      <c r="K405" s="7" t="s">
        <v>1059</v>
      </c>
      <c r="L405" s="326">
        <v>1</v>
      </c>
    </row>
    <row r="406" spans="11:12" x14ac:dyDescent="0.2">
      <c r="K406" s="40" t="s">
        <v>1262</v>
      </c>
      <c r="L406" s="326">
        <v>1</v>
      </c>
    </row>
    <row r="407" spans="11:12" x14ac:dyDescent="0.2">
      <c r="K407" s="7" t="s">
        <v>793</v>
      </c>
      <c r="L407" s="326">
        <v>1</v>
      </c>
    </row>
    <row r="408" spans="11:12" x14ac:dyDescent="0.2">
      <c r="K408" s="40" t="s">
        <v>794</v>
      </c>
      <c r="L408" s="326">
        <v>1</v>
      </c>
    </row>
    <row r="409" spans="11:12" x14ac:dyDescent="0.2">
      <c r="K409" s="7" t="s">
        <v>334</v>
      </c>
      <c r="L409" s="326">
        <v>1</v>
      </c>
    </row>
    <row r="410" spans="11:12" x14ac:dyDescent="0.2">
      <c r="K410" s="40" t="s">
        <v>335</v>
      </c>
      <c r="L410" s="326">
        <v>1</v>
      </c>
    </row>
    <row r="411" spans="11:12" x14ac:dyDescent="0.2">
      <c r="K411" s="7" t="s">
        <v>1050</v>
      </c>
      <c r="L411" s="326">
        <v>1</v>
      </c>
    </row>
    <row r="412" spans="11:12" x14ac:dyDescent="0.2">
      <c r="K412" s="40" t="s">
        <v>1051</v>
      </c>
      <c r="L412" s="326">
        <v>1</v>
      </c>
    </row>
    <row r="413" spans="11:12" x14ac:dyDescent="0.2">
      <c r="K413" s="7" t="s">
        <v>766</v>
      </c>
      <c r="L413" s="326">
        <v>1</v>
      </c>
    </row>
    <row r="414" spans="11:12" x14ac:dyDescent="0.2">
      <c r="K414" s="40" t="s">
        <v>1245</v>
      </c>
      <c r="L414" s="326">
        <v>1</v>
      </c>
    </row>
    <row r="415" spans="11:12" x14ac:dyDescent="0.2">
      <c r="K415" s="7" t="s">
        <v>1153</v>
      </c>
      <c r="L415" s="326">
        <v>1</v>
      </c>
    </row>
    <row r="416" spans="11:12" x14ac:dyDescent="0.2">
      <c r="K416" s="40" t="s">
        <v>1154</v>
      </c>
      <c r="L416" s="326">
        <v>1</v>
      </c>
    </row>
    <row r="417" spans="11:12" x14ac:dyDescent="0.2">
      <c r="K417" s="7" t="s">
        <v>1284</v>
      </c>
      <c r="L417" s="326">
        <v>1</v>
      </c>
    </row>
    <row r="418" spans="11:12" x14ac:dyDescent="0.2">
      <c r="K418" s="40" t="s">
        <v>1285</v>
      </c>
      <c r="L418" s="326">
        <v>1</v>
      </c>
    </row>
    <row r="419" spans="11:12" x14ac:dyDescent="0.2">
      <c r="K419" s="7" t="s">
        <v>845</v>
      </c>
      <c r="L419" s="326">
        <v>1</v>
      </c>
    </row>
    <row r="420" spans="11:12" x14ac:dyDescent="0.2">
      <c r="K420" s="40" t="s">
        <v>846</v>
      </c>
      <c r="L420" s="326">
        <v>1</v>
      </c>
    </row>
    <row r="421" spans="11:12" x14ac:dyDescent="0.2">
      <c r="K421" s="7" t="s">
        <v>248</v>
      </c>
      <c r="L421" s="326">
        <v>1</v>
      </c>
    </row>
    <row r="422" spans="11:12" x14ac:dyDescent="0.2">
      <c r="K422" s="40" t="s">
        <v>1022</v>
      </c>
      <c r="L422" s="326">
        <v>1</v>
      </c>
    </row>
    <row r="423" spans="11:12" x14ac:dyDescent="0.2">
      <c r="K423" s="7" t="s">
        <v>1182</v>
      </c>
      <c r="L423" s="326">
        <v>1</v>
      </c>
    </row>
    <row r="424" spans="11:12" x14ac:dyDescent="0.2">
      <c r="K424" s="40" t="s">
        <v>1183</v>
      </c>
      <c r="L424" s="326">
        <v>1</v>
      </c>
    </row>
    <row r="425" spans="11:12" x14ac:dyDescent="0.2">
      <c r="K425" s="7" t="s">
        <v>760</v>
      </c>
      <c r="L425" s="326">
        <v>1</v>
      </c>
    </row>
    <row r="426" spans="11:12" x14ac:dyDescent="0.2">
      <c r="K426" s="40" t="s">
        <v>761</v>
      </c>
      <c r="L426" s="326">
        <v>1</v>
      </c>
    </row>
    <row r="427" spans="11:12" x14ac:dyDescent="0.2">
      <c r="K427" s="7" t="s">
        <v>983</v>
      </c>
      <c r="L427" s="326">
        <v>1</v>
      </c>
    </row>
    <row r="428" spans="11:12" x14ac:dyDescent="0.2">
      <c r="K428" s="40" t="s">
        <v>984</v>
      </c>
      <c r="L428" s="326">
        <v>1</v>
      </c>
    </row>
    <row r="429" spans="11:12" x14ac:dyDescent="0.2">
      <c r="K429" s="7" t="s">
        <v>97</v>
      </c>
      <c r="L429" s="326">
        <v>1</v>
      </c>
    </row>
    <row r="430" spans="11:12" x14ac:dyDescent="0.2">
      <c r="K430" s="40" t="s">
        <v>98</v>
      </c>
      <c r="L430" s="326">
        <v>1</v>
      </c>
    </row>
    <row r="431" spans="11:12" x14ac:dyDescent="0.2">
      <c r="K431" s="7" t="s">
        <v>1120</v>
      </c>
      <c r="L431" s="326">
        <v>1</v>
      </c>
    </row>
    <row r="432" spans="11:12" x14ac:dyDescent="0.2">
      <c r="K432" s="40" t="s">
        <v>1121</v>
      </c>
      <c r="L432" s="326">
        <v>1</v>
      </c>
    </row>
    <row r="433" spans="11:12" x14ac:dyDescent="0.2">
      <c r="K433" s="7" t="s">
        <v>251</v>
      </c>
      <c r="L433" s="326">
        <v>1</v>
      </c>
    </row>
    <row r="434" spans="11:12" x14ac:dyDescent="0.2">
      <c r="K434" s="40" t="s">
        <v>252</v>
      </c>
      <c r="L434" s="326">
        <v>1</v>
      </c>
    </row>
    <row r="435" spans="11:12" x14ac:dyDescent="0.2">
      <c r="K435" s="7" t="s">
        <v>1041</v>
      </c>
      <c r="L435" s="326">
        <v>1</v>
      </c>
    </row>
    <row r="436" spans="11:12" x14ac:dyDescent="0.2">
      <c r="K436" s="40" t="s">
        <v>1042</v>
      </c>
      <c r="L436" s="326">
        <v>1</v>
      </c>
    </row>
    <row r="437" spans="11:12" x14ac:dyDescent="0.2">
      <c r="K437" s="7" t="s">
        <v>803</v>
      </c>
      <c r="L437" s="326">
        <v>1</v>
      </c>
    </row>
    <row r="438" spans="11:12" x14ac:dyDescent="0.2">
      <c r="K438" s="40" t="s">
        <v>804</v>
      </c>
      <c r="L438" s="326">
        <v>1</v>
      </c>
    </row>
    <row r="439" spans="11:12" x14ac:dyDescent="0.2">
      <c r="K439" s="7" t="s">
        <v>428</v>
      </c>
      <c r="L439" s="326">
        <v>1</v>
      </c>
    </row>
    <row r="440" spans="11:12" x14ac:dyDescent="0.2">
      <c r="K440" s="40" t="s">
        <v>429</v>
      </c>
      <c r="L440" s="326">
        <v>1</v>
      </c>
    </row>
    <row r="441" spans="11:12" x14ac:dyDescent="0.2">
      <c r="K441" s="7" t="s">
        <v>959</v>
      </c>
      <c r="L441" s="326">
        <v>1</v>
      </c>
    </row>
    <row r="442" spans="11:12" x14ac:dyDescent="0.2">
      <c r="K442" s="40" t="s">
        <v>960</v>
      </c>
      <c r="L442" s="326">
        <v>1</v>
      </c>
    </row>
    <row r="443" spans="11:12" x14ac:dyDescent="0.2">
      <c r="K443" s="7" t="s">
        <v>465</v>
      </c>
      <c r="L443" s="326">
        <v>1</v>
      </c>
    </row>
    <row r="444" spans="11:12" x14ac:dyDescent="0.2">
      <c r="K444" s="40" t="s">
        <v>466</v>
      </c>
      <c r="L444" s="326">
        <v>1</v>
      </c>
    </row>
    <row r="445" spans="11:12" x14ac:dyDescent="0.2">
      <c r="K445" s="7" t="s">
        <v>349</v>
      </c>
      <c r="L445" s="326">
        <v>1</v>
      </c>
    </row>
    <row r="446" spans="11:12" x14ac:dyDescent="0.2">
      <c r="K446" s="40" t="s">
        <v>350</v>
      </c>
      <c r="L446" s="326">
        <v>1</v>
      </c>
    </row>
    <row r="447" spans="11:12" x14ac:dyDescent="0.2">
      <c r="K447" s="7" t="s">
        <v>968</v>
      </c>
      <c r="L447" s="326">
        <v>1</v>
      </c>
    </row>
    <row r="448" spans="11:12" x14ac:dyDescent="0.2">
      <c r="K448" s="40" t="s">
        <v>969</v>
      </c>
      <c r="L448" s="326">
        <v>1</v>
      </c>
    </row>
    <row r="449" spans="11:12" x14ac:dyDescent="0.2">
      <c r="K449" s="7" t="s">
        <v>1457</v>
      </c>
      <c r="L449" s="326">
        <v>1</v>
      </c>
    </row>
    <row r="450" spans="11:12" x14ac:dyDescent="0.2">
      <c r="K450" s="40" t="s">
        <v>1458</v>
      </c>
      <c r="L450" s="326">
        <v>1</v>
      </c>
    </row>
    <row r="451" spans="11:12" x14ac:dyDescent="0.2">
      <c r="K451" s="7" t="s">
        <v>1094</v>
      </c>
      <c r="L451" s="326">
        <v>1</v>
      </c>
    </row>
    <row r="452" spans="11:12" x14ac:dyDescent="0.2">
      <c r="K452" s="40" t="s">
        <v>1095</v>
      </c>
      <c r="L452" s="326">
        <v>1</v>
      </c>
    </row>
    <row r="453" spans="11:12" x14ac:dyDescent="0.2">
      <c r="K453" s="7" t="s">
        <v>7</v>
      </c>
      <c r="L453" s="326">
        <v>1</v>
      </c>
    </row>
    <row r="454" spans="11:12" x14ac:dyDescent="0.2">
      <c r="K454" s="40" t="s">
        <v>635</v>
      </c>
      <c r="L454" s="326">
        <v>1</v>
      </c>
    </row>
    <row r="455" spans="11:12" x14ac:dyDescent="0.2">
      <c r="K455" s="7" t="s">
        <v>1377</v>
      </c>
      <c r="L455" s="326">
        <v>1</v>
      </c>
    </row>
    <row r="456" spans="11:12" x14ac:dyDescent="0.2">
      <c r="K456" s="40" t="s">
        <v>1378</v>
      </c>
      <c r="L456" s="326">
        <v>1</v>
      </c>
    </row>
    <row r="457" spans="11:12" x14ac:dyDescent="0.2">
      <c r="K457" s="7" t="s">
        <v>432</v>
      </c>
      <c r="L457" s="326">
        <v>1</v>
      </c>
    </row>
    <row r="458" spans="11:12" x14ac:dyDescent="0.2">
      <c r="K458" s="40" t="s">
        <v>433</v>
      </c>
      <c r="L458" s="326">
        <v>1</v>
      </c>
    </row>
    <row r="459" spans="11:12" x14ac:dyDescent="0.2">
      <c r="K459" s="7" t="s">
        <v>295</v>
      </c>
      <c r="L459" s="326">
        <v>1</v>
      </c>
    </row>
    <row r="460" spans="11:12" x14ac:dyDescent="0.2">
      <c r="K460" s="40" t="s">
        <v>296</v>
      </c>
      <c r="L460" s="326">
        <v>1</v>
      </c>
    </row>
    <row r="461" spans="11:12" x14ac:dyDescent="0.2">
      <c r="K461" s="7" t="s">
        <v>220</v>
      </c>
      <c r="L461" s="326">
        <v>1</v>
      </c>
    </row>
    <row r="462" spans="11:12" x14ac:dyDescent="0.2">
      <c r="K462" s="40" t="s">
        <v>221</v>
      </c>
      <c r="L462" s="326">
        <v>1</v>
      </c>
    </row>
    <row r="463" spans="11:12" x14ac:dyDescent="0.2">
      <c r="K463" s="7" t="s">
        <v>569</v>
      </c>
      <c r="L463" s="326">
        <v>1</v>
      </c>
    </row>
    <row r="464" spans="11:12" x14ac:dyDescent="0.2">
      <c r="K464" s="40" t="s">
        <v>570</v>
      </c>
      <c r="L464" s="326">
        <v>1</v>
      </c>
    </row>
    <row r="465" spans="11:12" x14ac:dyDescent="0.2">
      <c r="K465" s="7" t="s">
        <v>437</v>
      </c>
      <c r="L465" s="326">
        <v>1</v>
      </c>
    </row>
    <row r="466" spans="11:12" x14ac:dyDescent="0.2">
      <c r="K466" s="40" t="s">
        <v>438</v>
      </c>
      <c r="L466" s="326">
        <v>1</v>
      </c>
    </row>
    <row r="467" spans="11:12" x14ac:dyDescent="0.2">
      <c r="K467" s="7" t="s">
        <v>825</v>
      </c>
      <c r="L467" s="326">
        <v>1</v>
      </c>
    </row>
    <row r="468" spans="11:12" x14ac:dyDescent="0.2">
      <c r="K468" s="40" t="s">
        <v>826</v>
      </c>
      <c r="L468" s="326">
        <v>1</v>
      </c>
    </row>
    <row r="469" spans="11:12" x14ac:dyDescent="0.2">
      <c r="K469" s="7" t="s">
        <v>1134</v>
      </c>
      <c r="L469" s="326">
        <v>1</v>
      </c>
    </row>
    <row r="470" spans="11:12" x14ac:dyDescent="0.2">
      <c r="K470" s="40" t="s">
        <v>1135</v>
      </c>
      <c r="L470" s="326">
        <v>1</v>
      </c>
    </row>
    <row r="471" spans="11:12" x14ac:dyDescent="0.2">
      <c r="K471" s="7" t="s">
        <v>1355</v>
      </c>
      <c r="L471" s="326">
        <v>1</v>
      </c>
    </row>
    <row r="472" spans="11:12" x14ac:dyDescent="0.2">
      <c r="K472" s="40" t="s">
        <v>1356</v>
      </c>
      <c r="L472" s="326">
        <v>1</v>
      </c>
    </row>
    <row r="473" spans="11:12" x14ac:dyDescent="0.2">
      <c r="K473" s="7" t="s">
        <v>1327</v>
      </c>
      <c r="L473" s="326">
        <v>1</v>
      </c>
    </row>
    <row r="474" spans="11:12" x14ac:dyDescent="0.2">
      <c r="K474" s="40" t="s">
        <v>1434</v>
      </c>
      <c r="L474" s="326">
        <v>1</v>
      </c>
    </row>
    <row r="475" spans="11:12" x14ac:dyDescent="0.2">
      <c r="K475" s="7" t="s">
        <v>1254</v>
      </c>
      <c r="L475" s="326">
        <v>1</v>
      </c>
    </row>
    <row r="476" spans="11:12" x14ac:dyDescent="0.2">
      <c r="K476" s="40" t="s">
        <v>1255</v>
      </c>
      <c r="L476" s="326">
        <v>1</v>
      </c>
    </row>
    <row r="477" spans="11:12" x14ac:dyDescent="0.2">
      <c r="K477" s="7" t="s">
        <v>358</v>
      </c>
      <c r="L477" s="326">
        <v>1</v>
      </c>
    </row>
    <row r="478" spans="11:12" x14ac:dyDescent="0.2">
      <c r="K478" s="40" t="s">
        <v>359</v>
      </c>
      <c r="L478" s="326">
        <v>1</v>
      </c>
    </row>
    <row r="479" spans="11:12" x14ac:dyDescent="0.2">
      <c r="K479" s="7" t="s">
        <v>811</v>
      </c>
      <c r="L479" s="326">
        <v>1</v>
      </c>
    </row>
    <row r="480" spans="11:12" x14ac:dyDescent="0.2">
      <c r="K480" s="40" t="s">
        <v>812</v>
      </c>
      <c r="L480" s="326">
        <v>1</v>
      </c>
    </row>
    <row r="481" spans="11:12" x14ac:dyDescent="0.2">
      <c r="K481" s="7" t="s">
        <v>479</v>
      </c>
      <c r="L481" s="326">
        <v>1</v>
      </c>
    </row>
    <row r="482" spans="11:12" x14ac:dyDescent="0.2">
      <c r="K482" s="40" t="s">
        <v>480</v>
      </c>
      <c r="L482" s="326">
        <v>1</v>
      </c>
    </row>
    <row r="483" spans="11:12" x14ac:dyDescent="0.2">
      <c r="K483" s="7" t="s">
        <v>623</v>
      </c>
      <c r="L483" s="326">
        <v>1</v>
      </c>
    </row>
    <row r="484" spans="11:12" x14ac:dyDescent="0.2">
      <c r="K484" s="40" t="s">
        <v>624</v>
      </c>
      <c r="L484" s="326">
        <v>1</v>
      </c>
    </row>
    <row r="485" spans="11:12" x14ac:dyDescent="0.2">
      <c r="K485" s="7" t="s">
        <v>860</v>
      </c>
      <c r="L485" s="326">
        <v>1</v>
      </c>
    </row>
    <row r="486" spans="11:12" x14ac:dyDescent="0.2">
      <c r="K486" s="40" t="s">
        <v>861</v>
      </c>
      <c r="L486" s="326">
        <v>1</v>
      </c>
    </row>
    <row r="487" spans="11:12" x14ac:dyDescent="0.2">
      <c r="K487" s="7" t="s">
        <v>523</v>
      </c>
      <c r="L487" s="326">
        <v>1</v>
      </c>
    </row>
    <row r="488" spans="11:12" x14ac:dyDescent="0.2">
      <c r="K488" s="40" t="s">
        <v>524</v>
      </c>
      <c r="L488" s="326">
        <v>1</v>
      </c>
    </row>
    <row r="489" spans="11:12" x14ac:dyDescent="0.2">
      <c r="K489" s="7" t="s">
        <v>72</v>
      </c>
      <c r="L489" s="326">
        <v>1</v>
      </c>
    </row>
    <row r="490" spans="11:12" x14ac:dyDescent="0.2">
      <c r="K490" s="40" t="s">
        <v>73</v>
      </c>
      <c r="L490" s="326">
        <v>1</v>
      </c>
    </row>
    <row r="491" spans="11:12" x14ac:dyDescent="0.2">
      <c r="K491" s="7" t="s">
        <v>1003</v>
      </c>
      <c r="L491" s="326">
        <v>1</v>
      </c>
    </row>
    <row r="492" spans="11:12" x14ac:dyDescent="0.2">
      <c r="K492" s="40" t="s">
        <v>1004</v>
      </c>
      <c r="L492" s="326">
        <v>1</v>
      </c>
    </row>
    <row r="493" spans="11:12" x14ac:dyDescent="0.2">
      <c r="K493" s="7" t="s">
        <v>395</v>
      </c>
      <c r="L493" s="326">
        <v>1</v>
      </c>
    </row>
    <row r="494" spans="11:12" x14ac:dyDescent="0.2">
      <c r="K494" s="40" t="s">
        <v>1097</v>
      </c>
      <c r="L494" s="326">
        <v>1</v>
      </c>
    </row>
  </sheetData>
  <mergeCells count="5">
    <mergeCell ref="B4:D5"/>
    <mergeCell ref="C9:C10"/>
    <mergeCell ref="A1:C3"/>
    <mergeCell ref="D1:H3"/>
    <mergeCell ref="E4:H5"/>
  </mergeCells>
  <conditionalFormatting pivot="1" sqref="E10:E14">
    <cfRule type="dataBar" priority="2">
      <dataBar showValue="0">
        <cfvo type="min"/>
        <cfvo type="max"/>
        <color rgb="FF63C384"/>
      </dataBar>
      <extLst>
        <ext xmlns:x14="http://schemas.microsoft.com/office/spreadsheetml/2009/9/main" uri="{B025F937-C7B1-47D3-B67F-A62EFF666E3E}">
          <x14:id>{37844933-8189-684F-B062-5E281AA3C038}</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37844933-8189-684F-B062-5E281AA3C038}">
            <x14:dataBar minLength="0" maxLength="100" gradient="0">
              <x14:cfvo type="autoMin"/>
              <x14:cfvo type="autoMax"/>
              <x14:negativeFillColor rgb="FFFF0000"/>
              <x14:axisColor rgb="FF000000"/>
            </x14:dataBar>
          </x14:cfRule>
          <xm:sqref>E10:E14</xm:sqref>
        </x14:conditionalFormatting>
      </x14:conditionalFormattings>
    </ex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F1B85-4DF4-C147-AB7C-5A33796BCAA1}">
  <dimension ref="A3:N39"/>
  <sheetViews>
    <sheetView showGridLines="0" zoomScale="75" workbookViewId="0"/>
  </sheetViews>
  <sheetFormatPr baseColWidth="10" defaultRowHeight="16" x14ac:dyDescent="0.2"/>
  <cols>
    <col min="1" max="1" width="14.6640625" customWidth="1"/>
    <col min="2" max="2" width="11.83203125" bestFit="1" customWidth="1"/>
    <col min="3" max="3" width="14.33203125" customWidth="1"/>
    <col min="5" max="5" width="22.33203125" bestFit="1" customWidth="1"/>
  </cols>
  <sheetData>
    <row r="3" spans="1:12" x14ac:dyDescent="0.2">
      <c r="A3" s="159"/>
      <c r="C3" s="252"/>
      <c r="D3" s="247"/>
      <c r="E3" s="247"/>
      <c r="F3" s="247"/>
      <c r="G3" s="247"/>
      <c r="H3" s="247"/>
      <c r="I3" s="247"/>
      <c r="J3" s="247"/>
      <c r="K3" s="247"/>
      <c r="L3" s="247"/>
    </row>
    <row r="4" spans="1:12" x14ac:dyDescent="0.2">
      <c r="A4" s="159"/>
      <c r="C4" s="253" t="s">
        <v>1872</v>
      </c>
      <c r="D4" s="248" t="s">
        <v>1871</v>
      </c>
      <c r="E4" s="247"/>
      <c r="F4" s="247"/>
      <c r="G4" s="247"/>
      <c r="H4" s="247"/>
      <c r="I4" s="247"/>
      <c r="J4" s="247"/>
      <c r="K4" s="247"/>
      <c r="L4" s="247"/>
    </row>
    <row r="5" spans="1:12" x14ac:dyDescent="0.2">
      <c r="A5" s="159"/>
      <c r="C5" s="253"/>
      <c r="D5" s="248" t="s">
        <v>1873</v>
      </c>
      <c r="E5" s="247"/>
      <c r="F5" s="247"/>
      <c r="G5" s="247"/>
      <c r="H5" s="247"/>
      <c r="I5" s="247"/>
      <c r="J5" s="247"/>
      <c r="K5" s="247"/>
      <c r="L5" s="247"/>
    </row>
    <row r="6" spans="1:12" x14ac:dyDescent="0.2">
      <c r="A6" s="159"/>
      <c r="C6" s="253"/>
      <c r="D6" s="248" t="s">
        <v>1874</v>
      </c>
      <c r="E6" s="247"/>
      <c r="F6" s="247"/>
      <c r="G6" s="247"/>
      <c r="H6" s="247"/>
      <c r="I6" s="247"/>
      <c r="J6" s="247"/>
      <c r="K6" s="247"/>
      <c r="L6" s="247"/>
    </row>
    <row r="7" spans="1:12" x14ac:dyDescent="0.2">
      <c r="A7" s="159"/>
      <c r="C7" s="253"/>
      <c r="D7" s="248" t="s">
        <v>1875</v>
      </c>
      <c r="E7" s="247"/>
      <c r="F7" s="247"/>
      <c r="G7" s="247"/>
      <c r="H7" s="247"/>
      <c r="I7" s="247"/>
      <c r="J7" s="247"/>
      <c r="K7" s="247"/>
      <c r="L7" s="247"/>
    </row>
    <row r="8" spans="1:12" x14ac:dyDescent="0.2">
      <c r="A8" s="159"/>
      <c r="C8" s="253"/>
      <c r="D8" s="248" t="s">
        <v>1876</v>
      </c>
      <c r="E8" s="247"/>
      <c r="F8" s="247"/>
      <c r="G8" s="247"/>
      <c r="H8" s="247"/>
      <c r="I8" s="247"/>
      <c r="J8" s="247"/>
      <c r="K8" s="247"/>
      <c r="L8" s="247"/>
    </row>
    <row r="9" spans="1:12" x14ac:dyDescent="0.2">
      <c r="A9" s="231"/>
      <c r="C9" s="253"/>
      <c r="D9" s="247"/>
      <c r="E9" s="247"/>
      <c r="F9" s="247"/>
      <c r="G9" s="247"/>
      <c r="H9" s="247"/>
      <c r="I9" s="247"/>
      <c r="J9" s="247"/>
      <c r="K9" s="247"/>
      <c r="L9" s="247"/>
    </row>
    <row r="10" spans="1:12" x14ac:dyDescent="0.2">
      <c r="A10" s="231"/>
      <c r="C10" s="253"/>
      <c r="D10" s="247"/>
      <c r="E10" s="247"/>
      <c r="F10" s="247"/>
      <c r="G10" s="247"/>
      <c r="H10" s="247"/>
      <c r="I10" s="247"/>
      <c r="J10" s="247"/>
      <c r="K10" s="247"/>
      <c r="L10" s="247"/>
    </row>
    <row r="11" spans="1:12" x14ac:dyDescent="0.2">
      <c r="A11" s="231"/>
      <c r="C11" s="253"/>
      <c r="D11" s="247"/>
      <c r="E11" s="247"/>
      <c r="F11" s="247"/>
      <c r="G11" s="247"/>
      <c r="H11" s="247"/>
      <c r="I11" s="247"/>
      <c r="J11" s="247"/>
      <c r="K11" s="247"/>
      <c r="L11" s="247"/>
    </row>
    <row r="12" spans="1:12" x14ac:dyDescent="0.2">
      <c r="A12" s="231"/>
      <c r="C12" s="253" t="s">
        <v>1869</v>
      </c>
      <c r="D12" s="249" t="s">
        <v>1870</v>
      </c>
      <c r="E12" s="247"/>
      <c r="F12" s="247"/>
      <c r="G12" s="247"/>
      <c r="H12" s="247"/>
      <c r="I12" s="247"/>
      <c r="J12" s="247"/>
      <c r="K12" s="247"/>
      <c r="L12" s="247"/>
    </row>
    <row r="13" spans="1:12" x14ac:dyDescent="0.2">
      <c r="A13" s="231"/>
      <c r="C13" s="253"/>
      <c r="D13" s="247"/>
      <c r="E13" s="247"/>
      <c r="F13" s="247"/>
      <c r="G13" s="247"/>
      <c r="H13" s="247"/>
      <c r="I13" s="247"/>
      <c r="J13" s="247"/>
      <c r="K13" s="247"/>
      <c r="L13" s="247"/>
    </row>
    <row r="14" spans="1:12" x14ac:dyDescent="0.2">
      <c r="A14" s="231"/>
      <c r="C14" s="253" t="s">
        <v>1846</v>
      </c>
      <c r="D14" s="249" t="s">
        <v>1847</v>
      </c>
      <c r="E14" s="247"/>
      <c r="F14" s="250" t="s">
        <v>1864</v>
      </c>
      <c r="G14" s="247"/>
      <c r="H14" s="247"/>
      <c r="I14" s="247"/>
      <c r="J14" s="247"/>
      <c r="K14" s="247"/>
      <c r="L14" s="247"/>
    </row>
    <row r="15" spans="1:12" x14ac:dyDescent="0.2">
      <c r="A15" s="231"/>
      <c r="C15" s="253"/>
      <c r="D15" s="249" t="s">
        <v>1848</v>
      </c>
      <c r="E15" s="247"/>
      <c r="F15" s="250" t="s">
        <v>1865</v>
      </c>
      <c r="G15" s="247"/>
      <c r="H15" s="247"/>
      <c r="I15" s="247"/>
      <c r="J15" s="247"/>
      <c r="K15" s="247"/>
      <c r="L15" s="247"/>
    </row>
    <row r="16" spans="1:12" x14ac:dyDescent="0.2">
      <c r="A16" s="231"/>
      <c r="C16" s="253"/>
      <c r="D16" s="249" t="s">
        <v>1849</v>
      </c>
      <c r="E16" s="247"/>
      <c r="F16" s="250" t="s">
        <v>1866</v>
      </c>
      <c r="G16" s="247"/>
      <c r="H16" s="247"/>
      <c r="I16" s="247"/>
      <c r="J16" s="247"/>
      <c r="K16" s="247"/>
      <c r="L16" s="247"/>
    </row>
    <row r="17" spans="1:12" x14ac:dyDescent="0.2">
      <c r="A17" s="231"/>
      <c r="C17" s="253"/>
      <c r="D17" s="249" t="s">
        <v>1850</v>
      </c>
      <c r="E17" s="247"/>
      <c r="F17" s="250" t="s">
        <v>1867</v>
      </c>
      <c r="G17" s="247"/>
      <c r="H17" s="247"/>
      <c r="I17" s="247"/>
      <c r="J17" s="247"/>
      <c r="K17" s="247"/>
      <c r="L17" s="247"/>
    </row>
    <row r="18" spans="1:12" x14ac:dyDescent="0.2">
      <c r="A18" s="231"/>
      <c r="C18" s="253"/>
      <c r="D18" s="249" t="s">
        <v>1851</v>
      </c>
      <c r="E18" s="247"/>
      <c r="F18" s="250" t="s">
        <v>1868</v>
      </c>
      <c r="G18" s="247"/>
      <c r="H18" s="247"/>
      <c r="I18" s="247"/>
      <c r="J18" s="247"/>
      <c r="K18" s="247"/>
      <c r="L18" s="247"/>
    </row>
    <row r="19" spans="1:12" x14ac:dyDescent="0.2">
      <c r="A19" s="231"/>
      <c r="C19" s="253"/>
      <c r="D19" s="247"/>
      <c r="E19" s="247"/>
      <c r="F19" s="247"/>
      <c r="G19" s="247"/>
      <c r="H19" s="247"/>
      <c r="I19" s="247"/>
      <c r="J19" s="247"/>
      <c r="K19" s="247"/>
      <c r="L19" s="247"/>
    </row>
    <row r="20" spans="1:12" x14ac:dyDescent="0.2">
      <c r="A20" s="231"/>
      <c r="C20" s="253"/>
      <c r="D20" s="247"/>
      <c r="E20" s="247"/>
      <c r="F20" s="247"/>
      <c r="G20" s="247"/>
      <c r="H20" s="247"/>
      <c r="I20" s="247"/>
      <c r="J20" s="247"/>
      <c r="K20" s="247"/>
      <c r="L20" s="247"/>
    </row>
    <row r="21" spans="1:12" x14ac:dyDescent="0.2">
      <c r="A21" s="231"/>
      <c r="C21" s="253" t="s">
        <v>1852</v>
      </c>
      <c r="D21" s="247"/>
      <c r="E21" s="247"/>
      <c r="F21" s="247"/>
      <c r="G21" s="247"/>
      <c r="H21" s="247"/>
      <c r="I21" s="247"/>
      <c r="J21" s="247"/>
      <c r="K21" s="247"/>
      <c r="L21" s="247"/>
    </row>
    <row r="22" spans="1:12" x14ac:dyDescent="0.2">
      <c r="A22" s="231"/>
      <c r="C22" s="253"/>
      <c r="D22" s="249" t="s">
        <v>1858</v>
      </c>
      <c r="E22" s="247"/>
      <c r="F22" s="250" t="s">
        <v>1885</v>
      </c>
      <c r="G22" s="247"/>
      <c r="H22" s="247"/>
      <c r="I22" s="247"/>
      <c r="J22" s="247"/>
      <c r="K22" s="247"/>
      <c r="L22" s="247"/>
    </row>
    <row r="23" spans="1:12" x14ac:dyDescent="0.2">
      <c r="A23" s="231"/>
      <c r="C23" s="253"/>
      <c r="D23" s="249" t="s">
        <v>1853</v>
      </c>
      <c r="E23" s="247"/>
      <c r="F23" s="250" t="s">
        <v>1884</v>
      </c>
      <c r="G23" s="247"/>
      <c r="H23" s="247"/>
      <c r="I23" s="247"/>
      <c r="J23" s="247"/>
      <c r="K23" s="247"/>
      <c r="L23" s="247"/>
    </row>
    <row r="24" spans="1:12" x14ac:dyDescent="0.2">
      <c r="A24" s="231"/>
      <c r="C24" s="253"/>
      <c r="D24" s="249" t="s">
        <v>1854</v>
      </c>
      <c r="E24" s="247"/>
      <c r="F24" s="250" t="s">
        <v>1863</v>
      </c>
      <c r="G24" s="247"/>
      <c r="H24" s="247"/>
      <c r="I24" s="247"/>
      <c r="J24" s="247"/>
      <c r="K24" s="247"/>
      <c r="L24" s="247"/>
    </row>
    <row r="25" spans="1:12" x14ac:dyDescent="0.2">
      <c r="A25" s="231"/>
      <c r="C25" s="253"/>
      <c r="D25" s="249" t="s">
        <v>1855</v>
      </c>
      <c r="E25" s="247"/>
      <c r="F25" s="250" t="s">
        <v>1862</v>
      </c>
      <c r="G25" s="247"/>
      <c r="H25" s="247"/>
      <c r="I25" s="247"/>
      <c r="J25" s="247"/>
      <c r="K25" s="247"/>
      <c r="L25" s="247"/>
    </row>
    <row r="26" spans="1:12" x14ac:dyDescent="0.2">
      <c r="A26" s="231"/>
      <c r="C26" s="253"/>
      <c r="D26" s="249" t="s">
        <v>1856</v>
      </c>
      <c r="E26" s="247"/>
      <c r="F26" s="250" t="s">
        <v>1860</v>
      </c>
      <c r="G26" s="247"/>
      <c r="H26" s="247"/>
      <c r="I26" s="247"/>
      <c r="J26" s="247"/>
      <c r="K26" s="247"/>
      <c r="L26" s="247"/>
    </row>
    <row r="27" spans="1:12" x14ac:dyDescent="0.2">
      <c r="A27" s="231"/>
      <c r="C27" s="253"/>
      <c r="D27" s="249" t="s">
        <v>1857</v>
      </c>
      <c r="E27" s="247"/>
      <c r="F27" s="250" t="s">
        <v>1861</v>
      </c>
      <c r="G27" s="247"/>
      <c r="H27" s="247"/>
      <c r="I27" s="247"/>
      <c r="J27" s="247"/>
      <c r="K27" s="247"/>
      <c r="L27" s="247"/>
    </row>
    <row r="28" spans="1:12" x14ac:dyDescent="0.2">
      <c r="A28" s="231"/>
      <c r="C28" s="253"/>
      <c r="D28" s="247"/>
      <c r="E28" s="247"/>
      <c r="F28" s="247"/>
      <c r="G28" s="247"/>
      <c r="H28" s="247"/>
      <c r="I28" s="247"/>
      <c r="J28" s="247"/>
      <c r="K28" s="247"/>
      <c r="L28" s="247"/>
    </row>
    <row r="29" spans="1:12" x14ac:dyDescent="0.2">
      <c r="A29" s="231"/>
      <c r="C29" s="253" t="s">
        <v>1877</v>
      </c>
      <c r="D29" s="248" t="s">
        <v>1878</v>
      </c>
      <c r="E29" s="247"/>
      <c r="F29" s="247"/>
      <c r="G29" s="247"/>
      <c r="H29" s="247"/>
      <c r="I29" s="247"/>
      <c r="J29" s="247"/>
      <c r="K29" s="247"/>
      <c r="L29" s="247"/>
    </row>
    <row r="30" spans="1:12" x14ac:dyDescent="0.2">
      <c r="A30" s="231"/>
      <c r="C30" s="252"/>
      <c r="D30" s="248" t="s">
        <v>1879</v>
      </c>
      <c r="E30" s="247"/>
      <c r="F30" s="247"/>
      <c r="G30" s="247"/>
      <c r="H30" s="247"/>
      <c r="I30" s="247"/>
      <c r="J30" s="247"/>
      <c r="K30" s="247"/>
      <c r="L30" s="247"/>
    </row>
    <row r="31" spans="1:12" x14ac:dyDescent="0.2">
      <c r="A31" s="231"/>
      <c r="C31" s="252"/>
      <c r="D31" s="251" t="s">
        <v>1880</v>
      </c>
      <c r="E31" s="247"/>
      <c r="F31" s="247"/>
      <c r="G31" s="247"/>
      <c r="H31" s="247"/>
      <c r="I31" s="247"/>
      <c r="J31" s="247"/>
      <c r="K31" s="247"/>
      <c r="L31" s="247"/>
    </row>
    <row r="32" spans="1:12" x14ac:dyDescent="0.2">
      <c r="A32" s="231"/>
      <c r="C32" s="252"/>
      <c r="D32" s="249" t="s">
        <v>1881</v>
      </c>
      <c r="E32" s="247"/>
      <c r="F32" s="247"/>
      <c r="G32" s="247"/>
      <c r="H32" s="247"/>
      <c r="I32" s="247"/>
      <c r="J32" s="247"/>
      <c r="K32" s="247"/>
      <c r="L32" s="247"/>
    </row>
    <row r="33" spans="1:14" x14ac:dyDescent="0.2">
      <c r="A33" s="231"/>
      <c r="C33" s="252"/>
      <c r="D33" s="247"/>
      <c r="E33" s="247"/>
      <c r="F33" s="247"/>
      <c r="G33" s="247"/>
      <c r="H33" s="247"/>
      <c r="I33" s="247"/>
      <c r="J33" s="247"/>
      <c r="K33" s="247"/>
      <c r="L33" s="247"/>
      <c r="N33" s="62"/>
    </row>
    <row r="34" spans="1:14" x14ac:dyDescent="0.2">
      <c r="A34" s="231"/>
      <c r="C34" s="252"/>
      <c r="D34" s="247"/>
      <c r="E34" s="247"/>
      <c r="F34" s="247"/>
      <c r="G34" s="247"/>
      <c r="H34" s="247"/>
      <c r="I34" s="247"/>
      <c r="J34" s="247"/>
      <c r="K34" s="247"/>
      <c r="L34" s="247"/>
    </row>
    <row r="35" spans="1:14" x14ac:dyDescent="0.2">
      <c r="A35" s="231"/>
      <c r="C35" s="252"/>
      <c r="D35" s="247"/>
      <c r="E35" s="247"/>
      <c r="F35" s="247"/>
      <c r="G35" s="247"/>
      <c r="H35" s="247"/>
      <c r="I35" s="247"/>
      <c r="J35" s="247"/>
      <c r="K35" s="247"/>
      <c r="L35" s="247"/>
    </row>
    <row r="36" spans="1:14" x14ac:dyDescent="0.2">
      <c r="A36" s="231"/>
      <c r="C36" s="126"/>
      <c r="D36" s="62"/>
      <c r="E36" s="62"/>
      <c r="F36" s="62"/>
      <c r="G36" s="62"/>
      <c r="H36" s="62"/>
      <c r="I36" s="62"/>
      <c r="J36" s="62"/>
      <c r="K36" s="62"/>
      <c r="L36" s="62"/>
    </row>
    <row r="37" spans="1:14" x14ac:dyDescent="0.2">
      <c r="C37" s="126"/>
      <c r="D37" s="62"/>
      <c r="E37" s="62"/>
      <c r="F37" s="62"/>
      <c r="G37" s="62"/>
      <c r="H37" s="62"/>
      <c r="I37" s="62"/>
      <c r="J37" s="62"/>
      <c r="K37" s="62"/>
      <c r="L37" s="62"/>
    </row>
    <row r="38" spans="1:14" x14ac:dyDescent="0.2">
      <c r="C38" s="126"/>
      <c r="D38" s="62"/>
      <c r="E38" s="62"/>
      <c r="F38" s="62"/>
      <c r="G38" s="62"/>
      <c r="H38" s="62"/>
      <c r="I38" s="62"/>
      <c r="J38" s="62"/>
      <c r="K38" s="62"/>
      <c r="L38" s="62"/>
    </row>
    <row r="39" spans="1:14" x14ac:dyDescent="0.2">
      <c r="C39" s="126"/>
      <c r="D39" s="62"/>
      <c r="E39" s="62"/>
      <c r="F39" s="62"/>
      <c r="G39" s="62"/>
      <c r="H39" s="62"/>
      <c r="I39" s="62"/>
      <c r="J39" s="62"/>
      <c r="K39" s="62"/>
      <c r="L39" s="62"/>
    </row>
  </sheetData>
  <hyperlinks>
    <hyperlink ref="D31" r:id="rId1" xr:uid="{602884B6-876D-9E4F-B42B-5CC7FB21F925}"/>
    <hyperlink ref="D12" r:id="rId2" xr:uid="{F1539E68-744F-0C40-A1D8-E01A20E02BC1}"/>
    <hyperlink ref="D32" r:id="rId3" xr:uid="{D4C4B672-0196-BE4D-8BF6-355708FD9F4B}"/>
    <hyperlink ref="D14" location="'a.nike.original.man'!A1" display="a.nike.orignial.man" xr:uid="{6EB77B60-B635-864D-99DE-65EE6875D6D9}"/>
    <hyperlink ref="D15" location="'b.nike.views'!A1" display="b.nike.views" xr:uid="{A799A14C-953E-E949-8B97-9512AC286B7C}"/>
    <hyperlink ref="D16" location="'c.nike.unbias'!A1" display="c.nike.unbias" xr:uid="{A268FE84-2594-1D49-B2BD-4A6336A2D37E}"/>
    <hyperlink ref="D17" location="'d.nike.bias'!A1" display="d.nike.bias" xr:uid="{16BABFBE-42B0-134A-962C-EF14800FD4D4}"/>
    <hyperlink ref="D18" location="'e.nike.discount'!A1" display="e.nike.discount" xr:uid="{40FB2E6D-92B5-024F-BE1B-8B29C2008C75}"/>
    <hyperlink ref="D22" location="f.nike.discriptive!A1" display="f.nike.discriptive" xr:uid="{241243FE-8026-4C4F-AC9A-0357601B8929}"/>
    <hyperlink ref="D23" location="g.nike.input!A1" display="g.nike.input" xr:uid="{0C29D9A5-2544-BE44-9C93-9567BB7B2C83}"/>
    <hyperlink ref="D24" location="h.nike.sales.dashboard!A1" display="h.nike.sales.dashboard" xr:uid="{9891F3D3-5E62-C746-84E6-B637BA2EE243}"/>
    <hyperlink ref="D25" location="i.nike.discount.dash!A1" display="i.nike.discount.dash" xr:uid="{4601DB73-ED94-484F-BFAD-93AD4D72A83F}"/>
    <hyperlink ref="D26" location="j.nike.today.view!A1" display="j.nike.today.view" xr:uid="{D0905AE8-06F4-BC4F-852C-6B8E70ADFC51}"/>
    <hyperlink ref="D27" location="k.nike.top5.shoe!A1" display="k.nike.top5.shoe" xr:uid="{9121AC3C-0FD3-D34F-BAE7-943B6F389D0C}"/>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a.nike.original.man</vt:lpstr>
      <vt:lpstr>b.nike.views</vt:lpstr>
      <vt:lpstr>c.nike.unbias</vt:lpstr>
      <vt:lpstr>d.nike.bias</vt:lpstr>
      <vt:lpstr>e.nike.discount</vt:lpstr>
      <vt:lpstr>f.nike.discriptive</vt:lpstr>
      <vt:lpstr>g.nike.input</vt:lpstr>
      <vt:lpstr>h.nike.sales.dashboard</vt:lpstr>
      <vt:lpstr>i.nike.discount.dash</vt:lpstr>
      <vt:lpstr>j.nike.today.view</vt:lpstr>
      <vt:lpstr>k.nike.top5.shoe</vt:lpstr>
      <vt:lpstr>l.readme.Index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Lloyd</dc:creator>
  <cp:lastModifiedBy>Jordan Lloyd</cp:lastModifiedBy>
  <dcterms:created xsi:type="dcterms:W3CDTF">2025-06-16T12:16:37Z</dcterms:created>
  <dcterms:modified xsi:type="dcterms:W3CDTF">2025-07-31T07:33:53Z</dcterms:modified>
</cp:coreProperties>
</file>