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7cd01eb389931ae/Desktop/"/>
    </mc:Choice>
  </mc:AlternateContent>
  <xr:revisionPtr revIDLastSave="299" documentId="8_{D54FFB31-8171-4D4F-B1C4-0C0062B71071}" xr6:coauthVersionLast="47" xr6:coauthVersionMax="47" xr10:uidLastSave="{3179DCA2-C9A6-446B-8067-E52D35C959E7}"/>
  <bookViews>
    <workbookView minimized="1" xWindow="12330" yWindow="450" windowWidth="14400" windowHeight="15480" xr2:uid="{E3A45643-739C-454F-A874-A1F6247F4008}"/>
  </bookViews>
  <sheets>
    <sheet name="DCF" sheetId="1" r:id="rId1"/>
    <sheet name="WACC" sheetId="6" r:id="rId2"/>
    <sheet name="IS" sheetId="4" r:id="rId3"/>
    <sheet name="CFS" sheetId="3" r:id="rId4"/>
    <sheet name="Sundry" sheetId="2" r:id="rId5"/>
    <sheet name="Estimates" sheetId="5" r:id="rId6"/>
  </sheets>
  <definedNames>
    <definedName name="tgr">DCF!$F$20</definedName>
    <definedName name="wacc">DCF!$F$19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" l="1"/>
  <c r="H93" i="1" s="1"/>
  <c r="E93" i="1"/>
  <c r="D93" i="1" s="1"/>
  <c r="F93" i="1"/>
  <c r="C97" i="1"/>
  <c r="C98" i="1" s="1"/>
  <c r="C95" i="1"/>
  <c r="C94" i="1" s="1"/>
  <c r="T84" i="1"/>
  <c r="T83" i="1"/>
  <c r="F20" i="1"/>
  <c r="F19" i="6"/>
  <c r="F21" i="6"/>
  <c r="F10" i="6" s="1"/>
  <c r="F11" i="6"/>
  <c r="S77" i="1"/>
  <c r="T77" i="1"/>
  <c r="R77" i="1"/>
  <c r="Q77" i="1"/>
  <c r="P77" i="1"/>
  <c r="P76" i="1"/>
  <c r="O71" i="1"/>
  <c r="N71" i="1"/>
  <c r="M71" i="1"/>
  <c r="L71" i="1"/>
  <c r="K71" i="1"/>
  <c r="J71" i="1"/>
  <c r="I71" i="1"/>
  <c r="O68" i="1"/>
  <c r="N68" i="1"/>
  <c r="M68" i="1"/>
  <c r="L68" i="1"/>
  <c r="K68" i="1"/>
  <c r="J68" i="1"/>
  <c r="I68" i="1"/>
  <c r="H68" i="1"/>
  <c r="G68" i="1"/>
  <c r="M65" i="1"/>
  <c r="H65" i="1"/>
  <c r="G65" i="1"/>
  <c r="F65" i="1"/>
  <c r="G36" i="1"/>
  <c r="H36" i="1"/>
  <c r="I36" i="1"/>
  <c r="J36" i="1"/>
  <c r="K36" i="1"/>
  <c r="L36" i="1"/>
  <c r="M36" i="1"/>
  <c r="N36" i="1"/>
  <c r="O36" i="1"/>
  <c r="P36" i="1" s="1"/>
  <c r="P65" i="1" s="1"/>
  <c r="F36" i="1"/>
  <c r="O70" i="1"/>
  <c r="N70" i="1"/>
  <c r="M70" i="1"/>
  <c r="L70" i="1"/>
  <c r="K70" i="1"/>
  <c r="J70" i="1"/>
  <c r="I70" i="1"/>
  <c r="H70" i="1"/>
  <c r="H71" i="1" s="1"/>
  <c r="G70" i="1"/>
  <c r="G71" i="1" s="1"/>
  <c r="F70" i="1"/>
  <c r="F71" i="1" s="1"/>
  <c r="O67" i="1"/>
  <c r="N67" i="1"/>
  <c r="M67" i="1"/>
  <c r="L67" i="1"/>
  <c r="K67" i="1"/>
  <c r="J67" i="1"/>
  <c r="I67" i="1"/>
  <c r="H67" i="1"/>
  <c r="G67" i="1"/>
  <c r="F67" i="1"/>
  <c r="F68" i="1" s="1"/>
  <c r="G64" i="1"/>
  <c r="H64" i="1"/>
  <c r="I64" i="1"/>
  <c r="I65" i="1" s="1"/>
  <c r="J64" i="1"/>
  <c r="J65" i="1" s="1"/>
  <c r="K64" i="1"/>
  <c r="K65" i="1" s="1"/>
  <c r="L64" i="1"/>
  <c r="L65" i="1" s="1"/>
  <c r="M64" i="1"/>
  <c r="N64" i="1"/>
  <c r="N65" i="1" s="1"/>
  <c r="O64" i="1"/>
  <c r="O65" i="1" s="1"/>
  <c r="F64" i="1"/>
  <c r="P60" i="1"/>
  <c r="Q60" i="1" s="1"/>
  <c r="R60" i="1" s="1"/>
  <c r="S60" i="1" s="1"/>
  <c r="T60" i="1" s="1"/>
  <c r="G60" i="1"/>
  <c r="H60" i="1"/>
  <c r="I60" i="1"/>
  <c r="J60" i="1"/>
  <c r="K60" i="1"/>
  <c r="L60" i="1"/>
  <c r="M60" i="1"/>
  <c r="N60" i="1"/>
  <c r="O60" i="1"/>
  <c r="F60" i="1"/>
  <c r="G59" i="1"/>
  <c r="H59" i="1"/>
  <c r="I59" i="1"/>
  <c r="J59" i="1"/>
  <c r="K59" i="1"/>
  <c r="L59" i="1"/>
  <c r="M59" i="1"/>
  <c r="N59" i="1"/>
  <c r="O59" i="1"/>
  <c r="F59" i="1"/>
  <c r="G53" i="1"/>
  <c r="H53" i="1"/>
  <c r="I53" i="1"/>
  <c r="J53" i="1"/>
  <c r="K53" i="1"/>
  <c r="L53" i="1"/>
  <c r="M53" i="1"/>
  <c r="N53" i="1"/>
  <c r="O53" i="1"/>
  <c r="F53" i="1"/>
  <c r="F48" i="1"/>
  <c r="G47" i="1"/>
  <c r="H47" i="1"/>
  <c r="I47" i="1"/>
  <c r="J47" i="1"/>
  <c r="K47" i="1"/>
  <c r="L47" i="1"/>
  <c r="M47" i="1"/>
  <c r="N47" i="1"/>
  <c r="O47" i="1"/>
  <c r="F47" i="1"/>
  <c r="H43" i="1"/>
  <c r="I43" i="1"/>
  <c r="J43" i="1"/>
  <c r="K43" i="1"/>
  <c r="L43" i="1"/>
  <c r="M43" i="1"/>
  <c r="N43" i="1"/>
  <c r="O43" i="1"/>
  <c r="G43" i="1"/>
  <c r="F17" i="6" l="1"/>
  <c r="F23" i="6" s="1"/>
  <c r="R19" i="1" s="1"/>
  <c r="X19" i="1" l="1"/>
  <c r="L19" i="1"/>
  <c r="F19" i="1"/>
  <c r="Q25" i="1" l="1"/>
  <c r="Q49" i="1" s="1"/>
  <c r="R25" i="1"/>
  <c r="R49" i="1" s="1"/>
  <c r="S25" i="1"/>
  <c r="S49" i="1" s="1"/>
  <c r="T25" i="1"/>
  <c r="T49" i="1" s="1"/>
  <c r="P25" i="1"/>
  <c r="P49" i="1" s="1"/>
  <c r="P42" i="1"/>
  <c r="G42" i="1"/>
  <c r="H42" i="1"/>
  <c r="I42" i="1"/>
  <c r="J42" i="1"/>
  <c r="K42" i="1"/>
  <c r="L42" i="1"/>
  <c r="M42" i="1"/>
  <c r="N42" i="1"/>
  <c r="O42" i="1"/>
  <c r="F42" i="1"/>
  <c r="Q31" i="1"/>
  <c r="R31" i="1" s="1"/>
  <c r="S31" i="1" s="1"/>
  <c r="T31" i="1" s="1"/>
  <c r="P31" i="1"/>
  <c r="P28" i="1"/>
  <c r="Q28" i="1" s="1"/>
  <c r="R28" i="1" s="1"/>
  <c r="S28" i="1" s="1"/>
  <c r="T28" i="1" s="1"/>
  <c r="G41" i="1"/>
  <c r="H41" i="1"/>
  <c r="I41" i="1"/>
  <c r="J41" i="1"/>
  <c r="K41" i="1"/>
  <c r="L41" i="1"/>
  <c r="M41" i="1"/>
  <c r="N41" i="1"/>
  <c r="O41" i="1"/>
  <c r="F41" i="1"/>
  <c r="G39" i="1"/>
  <c r="H39" i="1"/>
  <c r="I39" i="1"/>
  <c r="J39" i="1"/>
  <c r="K39" i="1"/>
  <c r="L39" i="1"/>
  <c r="M39" i="1"/>
  <c r="N39" i="1"/>
  <c r="O39" i="1"/>
  <c r="F39" i="1"/>
  <c r="G38" i="1"/>
  <c r="H38" i="1"/>
  <c r="I38" i="1"/>
  <c r="J38" i="1"/>
  <c r="K38" i="1"/>
  <c r="L38" i="1"/>
  <c r="M38" i="1"/>
  <c r="N38" i="1"/>
  <c r="O38" i="1"/>
  <c r="F38" i="1"/>
  <c r="G35" i="1"/>
  <c r="H35" i="1"/>
  <c r="I35" i="1"/>
  <c r="J35" i="1"/>
  <c r="K35" i="1"/>
  <c r="L35" i="1"/>
  <c r="M35" i="1"/>
  <c r="N35" i="1"/>
  <c r="O35" i="1"/>
  <c r="F35" i="1"/>
  <c r="G31" i="1"/>
  <c r="H31" i="1"/>
  <c r="I31" i="1"/>
  <c r="J31" i="1"/>
  <c r="K31" i="1"/>
  <c r="L31" i="1"/>
  <c r="M31" i="1"/>
  <c r="N31" i="1"/>
  <c r="O31" i="1"/>
  <c r="F31" i="1"/>
  <c r="G30" i="1"/>
  <c r="H30" i="1"/>
  <c r="I30" i="1"/>
  <c r="J30" i="1"/>
  <c r="K30" i="1"/>
  <c r="L30" i="1"/>
  <c r="M30" i="1"/>
  <c r="N30" i="1"/>
  <c r="O30" i="1"/>
  <c r="F30" i="1"/>
  <c r="G28" i="1"/>
  <c r="G54" i="1" s="1"/>
  <c r="H28" i="1"/>
  <c r="H54" i="1" s="1"/>
  <c r="I28" i="1"/>
  <c r="I54" i="1" s="1"/>
  <c r="J28" i="1"/>
  <c r="J54" i="1" s="1"/>
  <c r="K28" i="1"/>
  <c r="K54" i="1" s="1"/>
  <c r="L28" i="1"/>
  <c r="L54" i="1" s="1"/>
  <c r="M28" i="1"/>
  <c r="M54" i="1" s="1"/>
  <c r="N28" i="1"/>
  <c r="N54" i="1" s="1"/>
  <c r="O28" i="1"/>
  <c r="O54" i="1" s="1"/>
  <c r="F28" i="1"/>
  <c r="F54" i="1" s="1"/>
  <c r="G27" i="1"/>
  <c r="H27" i="1"/>
  <c r="I27" i="1"/>
  <c r="J27" i="1"/>
  <c r="K27" i="1"/>
  <c r="L27" i="1"/>
  <c r="M27" i="1"/>
  <c r="N27" i="1"/>
  <c r="O27" i="1"/>
  <c r="F27" i="1"/>
  <c r="H25" i="1"/>
  <c r="H48" i="1" s="1"/>
  <c r="I25" i="1"/>
  <c r="I48" i="1" s="1"/>
  <c r="J25" i="1"/>
  <c r="J48" i="1" s="1"/>
  <c r="K25" i="1"/>
  <c r="K48" i="1" s="1"/>
  <c r="L25" i="1"/>
  <c r="L48" i="1" s="1"/>
  <c r="M25" i="1"/>
  <c r="M48" i="1" s="1"/>
  <c r="N25" i="1"/>
  <c r="N48" i="1" s="1"/>
  <c r="O25" i="1"/>
  <c r="O48" i="1" s="1"/>
  <c r="G25" i="1"/>
  <c r="G48" i="1" s="1"/>
  <c r="G24" i="1"/>
  <c r="H24" i="1"/>
  <c r="I24" i="1"/>
  <c r="J24" i="1"/>
  <c r="K24" i="1"/>
  <c r="L24" i="1"/>
  <c r="M24" i="1"/>
  <c r="N24" i="1"/>
  <c r="O24" i="1"/>
  <c r="F24" i="1"/>
  <c r="S51" i="1" l="1"/>
  <c r="S50" i="1"/>
  <c r="S48" i="1" s="1"/>
  <c r="P51" i="1"/>
  <c r="P50" i="1"/>
  <c r="P48" i="1" s="1"/>
  <c r="P47" i="1" s="1"/>
  <c r="T51" i="1"/>
  <c r="T50" i="1"/>
  <c r="T48" i="1" s="1"/>
  <c r="P24" i="1"/>
  <c r="Q24" i="1" s="1"/>
  <c r="R24" i="1" s="1"/>
  <c r="S24" i="1" s="1"/>
  <c r="Q50" i="1"/>
  <c r="Q51" i="1"/>
  <c r="Q48" i="1" s="1"/>
  <c r="R51" i="1"/>
  <c r="R48" i="1" s="1"/>
  <c r="R50" i="1"/>
  <c r="P39" i="1"/>
  <c r="P68" i="1"/>
  <c r="Q39" i="1"/>
  <c r="P71" i="1"/>
  <c r="Q42" i="1"/>
  <c r="Q71" i="1" s="1"/>
  <c r="P55" i="1"/>
  <c r="R42" i="1"/>
  <c r="R41" i="1" s="1"/>
  <c r="Q36" i="1"/>
  <c r="Q65" i="1" s="1"/>
  <c r="P41" i="1" l="1"/>
  <c r="P43" i="1" s="1"/>
  <c r="Q41" i="1"/>
  <c r="Q43" i="1" s="1"/>
  <c r="P64" i="1"/>
  <c r="Q47" i="1"/>
  <c r="R47" i="1" s="1"/>
  <c r="S47" i="1" s="1"/>
  <c r="T47" i="1" s="1"/>
  <c r="P70" i="1"/>
  <c r="P67" i="1"/>
  <c r="P57" i="1"/>
  <c r="Q57" i="1" s="1"/>
  <c r="R57" i="1" s="1"/>
  <c r="S57" i="1" s="1"/>
  <c r="T57" i="1" s="1"/>
  <c r="P56" i="1"/>
  <c r="Q55" i="1"/>
  <c r="R55" i="1" s="1"/>
  <c r="S55" i="1" s="1"/>
  <c r="T55" i="1" s="1"/>
  <c r="Q68" i="1"/>
  <c r="Q67" i="1" s="1"/>
  <c r="R39" i="1"/>
  <c r="T24" i="1"/>
  <c r="R71" i="1"/>
  <c r="R43" i="1"/>
  <c r="S42" i="1"/>
  <c r="S41" i="1" s="1"/>
  <c r="R36" i="1"/>
  <c r="R65" i="1" s="1"/>
  <c r="R64" i="1" l="1"/>
  <c r="R70" i="1"/>
  <c r="Q70" i="1"/>
  <c r="Q64" i="1"/>
  <c r="R68" i="1"/>
  <c r="R67" i="1" s="1"/>
  <c r="S39" i="1"/>
  <c r="P54" i="1"/>
  <c r="P53" i="1" s="1"/>
  <c r="P59" i="1" s="1"/>
  <c r="P62" i="1" s="1"/>
  <c r="P73" i="1" s="1"/>
  <c r="P74" i="1" s="1"/>
  <c r="Q56" i="1"/>
  <c r="S71" i="1"/>
  <c r="S70" i="1" s="1"/>
  <c r="S43" i="1"/>
  <c r="T42" i="1"/>
  <c r="T41" i="1" s="1"/>
  <c r="S36" i="1"/>
  <c r="S65" i="1" s="1"/>
  <c r="S64" i="1" s="1"/>
  <c r="Q54" i="1" l="1"/>
  <c r="Q53" i="1" s="1"/>
  <c r="Q59" i="1" s="1"/>
  <c r="Q62" i="1" s="1"/>
  <c r="Q73" i="1" s="1"/>
  <c r="Q74" i="1" s="1"/>
  <c r="R56" i="1"/>
  <c r="S68" i="1"/>
  <c r="S67" i="1" s="1"/>
  <c r="T39" i="1"/>
  <c r="T68" i="1" s="1"/>
  <c r="T67" i="1" s="1"/>
  <c r="T71" i="1"/>
  <c r="T70" i="1" s="1"/>
  <c r="T43" i="1"/>
  <c r="T36" i="1"/>
  <c r="R54" i="1" l="1"/>
  <c r="R53" i="1" s="1"/>
  <c r="R59" i="1" s="1"/>
  <c r="R62" i="1" s="1"/>
  <c r="R73" i="1" s="1"/>
  <c r="R74" i="1" s="1"/>
  <c r="S56" i="1"/>
  <c r="T65" i="1"/>
  <c r="T64" i="1" s="1"/>
  <c r="T56" i="1" l="1"/>
  <c r="T54" i="1" s="1"/>
  <c r="T53" i="1" s="1"/>
  <c r="T59" i="1" s="1"/>
  <c r="T62" i="1" s="1"/>
  <c r="T73" i="1" s="1"/>
  <c r="S54" i="1"/>
  <c r="S53" i="1" s="1"/>
  <c r="S59" i="1" s="1"/>
  <c r="S62" i="1" s="1"/>
  <c r="S73" i="1" s="1"/>
  <c r="S74" i="1" s="1"/>
  <c r="T74" i="1" l="1"/>
  <c r="T79" i="1"/>
  <c r="T80" i="1" s="1"/>
  <c r="T82" i="1" l="1"/>
  <c r="T85" i="1" s="1"/>
  <c r="T88" i="1" s="1"/>
  <c r="C93" i="1" l="1"/>
  <c r="J4" i="1"/>
  <c r="J6" i="1" s="1"/>
</calcChain>
</file>

<file path=xl/sharedStrings.xml><?xml version="1.0" encoding="utf-8"?>
<sst xmlns="http://schemas.openxmlformats.org/spreadsheetml/2006/main" count="608" uniqueCount="214">
  <si>
    <t>Ticker</t>
  </si>
  <si>
    <t>Date</t>
  </si>
  <si>
    <t>Year End</t>
  </si>
  <si>
    <t>x</t>
  </si>
  <si>
    <t>Assumptions</t>
  </si>
  <si>
    <t>Switches</t>
  </si>
  <si>
    <t>Conservative</t>
  </si>
  <si>
    <t>Base</t>
  </si>
  <si>
    <t>Optimistic</t>
  </si>
  <si>
    <t>Revenue</t>
  </si>
  <si>
    <t>EBIT</t>
  </si>
  <si>
    <t>WACC</t>
  </si>
  <si>
    <t>TGR</t>
  </si>
  <si>
    <t>Valuation</t>
  </si>
  <si>
    <t>Income Statement (31/12 CYE)</t>
  </si>
  <si>
    <t xml:space="preserve">    % growth</t>
  </si>
  <si>
    <t>--</t>
  </si>
  <si>
    <t xml:space="preserve">    % of sales</t>
  </si>
  <si>
    <t>Taxes</t>
  </si>
  <si>
    <t xml:space="preserve">    Tax rate</t>
  </si>
  <si>
    <t>Cash Flow Items</t>
  </si>
  <si>
    <t>D&amp;A</t>
  </si>
  <si>
    <t>CapEx</t>
  </si>
  <si>
    <t>Change in NWC</t>
  </si>
  <si>
    <t xml:space="preserve">    % of change in sales</t>
  </si>
  <si>
    <t>HUB24 DCF</t>
  </si>
  <si>
    <t>ASX Code</t>
  </si>
  <si>
    <t>Company Name</t>
  </si>
  <si>
    <t>Item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</si>
  <si>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</si>
  <si>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</si>
  <si>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</si>
  <si>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</si>
  <si>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</si>
  <si>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</si>
  <si>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</si>
  <si>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</si>
  <si>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</si>
  <si>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</si>
  <si>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HUB</t>
  </si>
  <si>
    <t>HUB24 Limited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</si>
  <si>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</si>
  <si>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</si>
  <si>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</si>
  <si>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</si>
  <si>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</si>
  <si>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</si>
  <si>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</si>
  <si>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</si>
  <si>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</si>
  <si>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</si>
  <si>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</si>
  <si>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</si>
  <si>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Total Equity</t>
  </si>
  <si>
    <t>Gross Borrowings</t>
  </si>
  <si>
    <t>Corp Tax Rate (%)</t>
  </si>
  <si>
    <t>Tax on EBIT</t>
  </si>
  <si>
    <t>Amortisation</t>
  </si>
  <si>
    <t>NOPLAT</t>
  </si>
  <si>
    <t>Tax Expense</t>
  </si>
  <si>
    <t>Tax Shield</t>
  </si>
  <si>
    <t>Depreciation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</si>
  <si>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</si>
  <si>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</si>
  <si>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</si>
  <si>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</si>
  <si>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</si>
  <si>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</si>
  <si>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</si>
  <si>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</si>
  <si>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</si>
  <si>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</si>
  <si>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</si>
  <si>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</si>
  <si>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</si>
  <si>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</si>
  <si>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</si>
  <si>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</si>
  <si>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</si>
  <si>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</si>
  <si>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</si>
  <si>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</si>
  <si>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</si>
  <si>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</si>
  <si>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</si>
  <si>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</si>
  <si>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Dividends Received</t>
  </si>
  <si>
    <t>Interest Received</t>
  </si>
  <si>
    <t>Interest Paid</t>
  </si>
  <si>
    <t>Other Operating Cash</t>
  </si>
  <si>
    <t>Purchase of PPE</t>
  </si>
  <si>
    <t>Surplus Funds - Post Capex</t>
  </si>
  <si>
    <t>Proceeds from PPE</t>
  </si>
  <si>
    <t>Surplus Funds - Post PPE</t>
  </si>
  <si>
    <t>Dividends Paid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</si>
  <si>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</si>
  <si>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</si>
  <si>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</si>
  <si>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</si>
  <si>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</si>
  <si>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</si>
  <si>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</si>
  <si>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</si>
  <si>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</si>
  <si>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</si>
  <si>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</si>
  <si>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</si>
  <si>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</si>
  <si>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</si>
  <si>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</si>
  <si>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</si>
  <si>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Other Equity</t>
  </si>
  <si>
    <t>Convertible Equity</t>
  </si>
  <si>
    <t>Outside Equity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</si>
  <si>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</si>
  <si>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</si>
  <si>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</si>
  <si>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</si>
  <si>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</si>
  <si>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</si>
  <si>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</si>
  <si>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</si>
  <si>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</si>
  <si>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Revenue</t>
  </si>
  <si>
    <t>Other Revenue</t>
  </si>
  <si>
    <t>Total Revenue Excluding Interest</t>
  </si>
  <si>
    <t>Operating Expenses</t>
  </si>
  <si>
    <t>EBITDA</t>
  </si>
  <si>
    <t>Depreciation and Amortisation</t>
  </si>
  <si>
    <t>Interest Revenue</t>
  </si>
  <si>
    <t>Interest Expense</t>
  </si>
  <si>
    <t>Net Interest Expense</t>
  </si>
  <si>
    <t>PreTax Profit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</si>
  <si>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</si>
  <si>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</si>
  <si>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</si>
  <si>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</si>
  <si>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</si>
  <si>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</si>
  <si>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</si>
  <si>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</si>
  <si>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</si>
  <si>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</si>
  <si>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Receipts from Customers</t>
  </si>
  <si>
    <t>Payments to Suppliers and Employees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</si>
  <si>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</si>
  <si>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</si>
  <si>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</si>
  <si>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</si>
  <si>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</si>
  <si>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</si>
  <si>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</si>
  <si>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</si>
  <si>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</si>
  <si>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</si>
  <si>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</si>
  <si>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</si>
  <si>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</si>
  <si>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</si>
  <si>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</si>
  <si>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</si>
  <si>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</si>
  <si>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</si>
  <si>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</si>
  <si>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</si>
  <si>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</si>
  <si>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</si>
  <si>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</si>
  <si>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Year</t>
  </si>
  <si>
    <t>Revenue Estimate (AUD)</t>
  </si>
  <si>
    <t>Year-over-Year Growth (%)</t>
  </si>
  <si>
    <t>329.16 million</t>
  </si>
  <si>
    <t>389.27 million</t>
  </si>
  <si>
    <t>466.05 million</t>
  </si>
  <si>
    <t>558.19 million</t>
  </si>
  <si>
    <t>665.10 million</t>
  </si>
  <si>
    <t>DCF</t>
  </si>
  <si>
    <t>Street Case</t>
  </si>
  <si>
    <t>Conservative Case</t>
  </si>
  <si>
    <t>Optimistic Case</t>
  </si>
  <si>
    <t>EBIAT</t>
  </si>
  <si>
    <t>'24-'28</t>
  </si>
  <si>
    <t>Unlevered FCF</t>
  </si>
  <si>
    <t>Present Value of FCF</t>
  </si>
  <si>
    <t>Period</t>
  </si>
  <si>
    <t>Discount Period</t>
  </si>
  <si>
    <t>Terminal Value</t>
  </si>
  <si>
    <t>PV of Terminal Value</t>
  </si>
  <si>
    <t>Enterprise Value</t>
  </si>
  <si>
    <t>(+) Cash</t>
  </si>
  <si>
    <t>(-) Debt</t>
  </si>
  <si>
    <t>Equity Value</t>
  </si>
  <si>
    <t>Diluted Shares</t>
  </si>
  <si>
    <t>Implied Stock Price</t>
  </si>
  <si>
    <t>'25-'28</t>
  </si>
  <si>
    <t>'24</t>
  </si>
  <si>
    <t>Market Cap</t>
  </si>
  <si>
    <t>% of Equity</t>
  </si>
  <si>
    <t>Cost of Equity</t>
  </si>
  <si>
    <t>Risk Free Rate</t>
  </si>
  <si>
    <t>Beta</t>
  </si>
  <si>
    <t>Market Risk Premium</t>
  </si>
  <si>
    <t xml:space="preserve">Debt </t>
  </si>
  <si>
    <t>% of Debt</t>
  </si>
  <si>
    <t>Cost of Debt</t>
  </si>
  <si>
    <t>Tax Rate</t>
  </si>
  <si>
    <t>Total</t>
  </si>
  <si>
    <t>WACC = % of Equity x Cost of Equity + % of Debt x Cost of Debt x (1 - Tax Rate)</t>
  </si>
  <si>
    <t>Cost of Equity = Risk Free Rate + Beta x Market Risk Premium</t>
  </si>
  <si>
    <t xml:space="preserve"> </t>
  </si>
  <si>
    <t>Sensitivity Analysis</t>
  </si>
  <si>
    <t>Implied Price Per Share</t>
  </si>
  <si>
    <t>Current Share Price</t>
  </si>
  <si>
    <t>Implied Upside / (Downside)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</si>
</sst>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0\A"/>
    <numFmt numFmtId="165" formatCode="0\E"/>
    <numFmt numFmtId="166" formatCode="0%;\(0%\)"/>
    <numFmt numFmtId="167" formatCode="#,##0;\(#,##0\)"/>
    <numFmt numFmtId="168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rgb="FF70AD47"/>
      <name val="Calibri"/>
      <family val="2"/>
    </font>
    <font>
      <i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Aptos Narrow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b/>
      <sz val="11"/>
      <color theme="0"/>
      <name val="Aptos Narrow"/>
      <family val="2"/>
      <scheme val="minor"/>
    </font>
    <font>
      <i/>
      <sz val="11"/>
      <color rgb="FF7030A0"/>
      <name val="Calibri"/>
      <family val="2"/>
    </font>
    <font>
      <i/>
      <sz val="11"/>
      <color theme="9"/>
      <name val="Calibri"/>
      <family val="2"/>
    </font>
    <font>
      <i/>
      <sz val="11"/>
      <color rgb="FFC00000"/>
      <name val="Calibri"/>
      <family val="2"/>
    </font>
    <font>
      <sz val="11"/>
      <color theme="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333F4F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CCCCC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5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3" fillId="4" borderId="0" xfId="0" applyFont="1" applyFill="1"/>
    <xf numFmtId="0" fontId="7" fillId="0" borderId="0" xfId="0" applyFont="1"/>
    <xf numFmtId="164" fontId="6" fillId="3" borderId="0" xfId="0" applyNumberFormat="1" applyFont="1" applyFill="1"/>
    <xf numFmtId="165" fontId="6" fillId="3" borderId="0" xfId="0" applyNumberFormat="1" applyFont="1" applyFill="1"/>
    <xf numFmtId="3" fontId="8" fillId="0" borderId="0" xfId="0" applyNumberFormat="1" applyFont="1"/>
    <xf numFmtId="0" fontId="9" fillId="0" borderId="0" xfId="0" applyFont="1"/>
    <xf numFmtId="166" fontId="3" fillId="0" borderId="0" xfId="0" quotePrefix="1" applyNumberFormat="1" applyFont="1" applyAlignment="1">
      <alignment horizontal="right"/>
    </xf>
    <xf numFmtId="166" fontId="9" fillId="0" borderId="0" xfId="1" applyNumberFormat="1" applyFont="1" applyFill="1" applyBorder="1"/>
    <xf numFmtId="0" fontId="10" fillId="5" borderId="0" xfId="0" applyFont="1" applyFill="1" applyAlignment="1">
      <alignment horizontal="center"/>
    </xf>
    <xf numFmtId="4" fontId="0" fillId="0" borderId="0" xfId="0" applyNumberFormat="1"/>
    <xf numFmtId="0" fontId="11" fillId="5" borderId="0" xfId="0" applyFont="1" applyFill="1" applyAlignment="1">
      <alignment horizontal="center"/>
    </xf>
    <xf numFmtId="0" fontId="12" fillId="0" borderId="0" xfId="0" applyFont="1"/>
    <xf numFmtId="4" fontId="12" fillId="0" borderId="0" xfId="0" applyNumberFormat="1" applyFont="1"/>
    <xf numFmtId="167" fontId="8" fillId="0" borderId="0" xfId="0" applyNumberFormat="1" applyFont="1"/>
    <xf numFmtId="10" fontId="0" fillId="0" borderId="0" xfId="0" applyNumberFormat="1"/>
    <xf numFmtId="3" fontId="13" fillId="0" borderId="0" xfId="0" applyNumberFormat="1" applyFont="1"/>
    <xf numFmtId="0" fontId="3" fillId="0" borderId="3" xfId="0" applyFont="1" applyBorder="1"/>
    <xf numFmtId="0" fontId="3" fillId="0" borderId="4" xfId="0" applyFont="1" applyBorder="1"/>
    <xf numFmtId="3" fontId="14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9" fontId="3" fillId="2" borderId="2" xfId="0" applyNumberFormat="1" applyFont="1" applyFill="1" applyBorder="1" applyAlignment="1">
      <alignment horizontal="center"/>
    </xf>
    <xf numFmtId="166" fontId="9" fillId="0" borderId="0" xfId="0" quotePrefix="1" applyNumberFormat="1" applyFont="1" applyAlignment="1">
      <alignment horizontal="right"/>
    </xf>
    <xf numFmtId="166" fontId="9" fillId="0" borderId="0" xfId="0" applyNumberFormat="1" applyFont="1"/>
    <xf numFmtId="9" fontId="9" fillId="0" borderId="0" xfId="1" applyFont="1"/>
    <xf numFmtId="166" fontId="9" fillId="2" borderId="2" xfId="0" applyNumberFormat="1" applyFont="1" applyFill="1" applyBorder="1"/>
    <xf numFmtId="3" fontId="15" fillId="0" borderId="0" xfId="0" applyNumberFormat="1" applyFont="1"/>
    <xf numFmtId="167" fontId="14" fillId="0" borderId="0" xfId="0" applyNumberFormat="1" applyFont="1"/>
    <xf numFmtId="3" fontId="3" fillId="0" borderId="4" xfId="0" applyNumberFormat="1" applyFont="1" applyBorder="1"/>
    <xf numFmtId="3" fontId="3" fillId="0" borderId="5" xfId="0" applyNumberFormat="1" applyFont="1" applyBorder="1"/>
    <xf numFmtId="167" fontId="15" fillId="0" borderId="0" xfId="0" applyNumberFormat="1" applyFont="1"/>
    <xf numFmtId="0" fontId="0" fillId="0" borderId="1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3" fontId="3" fillId="0" borderId="7" xfId="0" applyNumberFormat="1" applyFont="1" applyBorder="1"/>
    <xf numFmtId="14" fontId="3" fillId="2" borderId="2" xfId="0" applyNumberFormat="1" applyFont="1" applyFill="1" applyBorder="1" applyAlignment="1">
      <alignment horizontal="center"/>
    </xf>
    <xf numFmtId="3" fontId="3" fillId="0" borderId="10" xfId="0" applyNumberFormat="1" applyFont="1" applyBorder="1"/>
    <xf numFmtId="166" fontId="17" fillId="2" borderId="2" xfId="0" applyNumberFormat="1" applyFont="1" applyFill="1" applyBorder="1"/>
    <xf numFmtId="168" fontId="3" fillId="2" borderId="2" xfId="0" applyNumberFormat="1" applyFont="1" applyFill="1" applyBorder="1" applyAlignment="1">
      <alignment horizontal="center"/>
    </xf>
    <xf numFmtId="9" fontId="9" fillId="2" borderId="2" xfId="1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6" fillId="6" borderId="0" xfId="0" applyFont="1" applyFill="1"/>
    <xf numFmtId="0" fontId="0" fillId="6" borderId="0" xfId="0" applyFill="1"/>
    <xf numFmtId="10" fontId="0" fillId="7" borderId="2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7" borderId="2" xfId="0" applyNumberFormat="1" applyFill="1" applyBorder="1" applyAlignment="1">
      <alignment horizontal="center"/>
    </xf>
    <xf numFmtId="10" fontId="3" fillId="2" borderId="2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3" fontId="15" fillId="0" borderId="9" xfId="0" applyNumberFormat="1" applyFont="1" applyBorder="1"/>
    <xf numFmtId="3" fontId="3" fillId="0" borderId="0" xfId="0" applyNumberFormat="1" applyFont="1"/>
    <xf numFmtId="44" fontId="3" fillId="0" borderId="0" xfId="2" applyFont="1"/>
    <xf numFmtId="166" fontId="18" fillId="0" borderId="0" xfId="1" applyNumberFormat="1" applyFont="1" applyFill="1" applyBorder="1"/>
    <xf numFmtId="166" fontId="19" fillId="0" borderId="0" xfId="0" applyNumberFormat="1" applyFont="1"/>
    <xf numFmtId="44" fontId="3" fillId="0" borderId="0" xfId="0" applyNumberFormat="1" applyFont="1"/>
    <xf numFmtId="44" fontId="3" fillId="0" borderId="6" xfId="0" applyNumberFormat="1" applyFont="1" applyBorder="1"/>
    <xf numFmtId="44" fontId="3" fillId="0" borderId="7" xfId="0" applyNumberFormat="1" applyFont="1" applyBorder="1"/>
    <xf numFmtId="44" fontId="3" fillId="0" borderId="10" xfId="0" applyNumberFormat="1" applyFont="1" applyBorder="1"/>
    <xf numFmtId="44" fontId="3" fillId="0" borderId="11" xfId="0" applyNumberFormat="1" applyFont="1" applyBorder="1"/>
    <xf numFmtId="44" fontId="3" fillId="0" borderId="0" xfId="0" applyNumberFormat="1" applyFont="1" applyBorder="1"/>
    <xf numFmtId="44" fontId="3" fillId="0" borderId="12" xfId="0" applyNumberFormat="1" applyFont="1" applyBorder="1"/>
    <xf numFmtId="44" fontId="3" fillId="0" borderId="8" xfId="0" applyNumberFormat="1" applyFont="1" applyBorder="1"/>
    <xf numFmtId="44" fontId="3" fillId="0" borderId="1" xfId="0" applyNumberFormat="1" applyFont="1" applyBorder="1"/>
    <xf numFmtId="44" fontId="3" fillId="0" borderId="9" xfId="0" applyNumberFormat="1" applyFont="1" applyBorder="1"/>
    <xf numFmtId="0" fontId="3" fillId="8" borderId="6" xfId="0" applyFont="1" applyFill="1" applyBorder="1"/>
    <xf numFmtId="0" fontId="3" fillId="8" borderId="7" xfId="0" applyFont="1" applyFill="1" applyBorder="1"/>
    <xf numFmtId="0" fontId="3" fillId="8" borderId="11" xfId="0" applyFont="1" applyFill="1" applyBorder="1"/>
    <xf numFmtId="0" fontId="3" fillId="8" borderId="11" xfId="0" applyFont="1" applyFill="1" applyBorder="1" applyAlignment="1">
      <alignment horizontal="center" vertical="center" textRotation="90"/>
    </xf>
    <xf numFmtId="10" fontId="3" fillId="8" borderId="11" xfId="0" applyNumberFormat="1" applyFont="1" applyFill="1" applyBorder="1"/>
    <xf numFmtId="0" fontId="0" fillId="8" borderId="11" xfId="0" applyFill="1" applyBorder="1" applyAlignment="1">
      <alignment horizontal="center" vertical="center" textRotation="90"/>
    </xf>
    <xf numFmtId="0" fontId="0" fillId="8" borderId="8" xfId="0" applyFill="1" applyBorder="1" applyAlignment="1">
      <alignment horizontal="center" vertical="center" textRotation="90"/>
    </xf>
    <xf numFmtId="10" fontId="3" fillId="8" borderId="8" xfId="0" applyNumberFormat="1" applyFont="1" applyFill="1" applyBorder="1"/>
    <xf numFmtId="0" fontId="3" fillId="8" borderId="7" xfId="0" applyFont="1" applyFill="1" applyBorder="1" applyAlignment="1">
      <alignment horizontal="centerContinuous"/>
    </xf>
    <xf numFmtId="0" fontId="3" fillId="8" borderId="10" xfId="0" applyFont="1" applyFill="1" applyBorder="1" applyAlignment="1">
      <alignment horizontal="centerContinuous"/>
    </xf>
    <xf numFmtId="10" fontId="3" fillId="8" borderId="7" xfId="0" applyNumberFormat="1" applyFont="1" applyFill="1" applyBorder="1"/>
    <xf numFmtId="10" fontId="3" fillId="8" borderId="10" xfId="0" applyNumberFormat="1" applyFont="1" applyFill="1" applyBorder="1"/>
    <xf numFmtId="44" fontId="20" fillId="8" borderId="6" xfId="0" applyNumberFormat="1" applyFont="1" applyFill="1" applyBorder="1"/>
    <xf numFmtId="166" fontId="3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E4E1-AF79-4C72-8471-E382B2B1E9F5}">
  <dimension ref="A2:X98"/>
  <sheetViews>
    <sheetView showGridLines="0" tabSelected="1" topLeftCell="A6" zoomScale="115" zoomScaleNormal="115" workbookViewId="0">
      <selection activeCell="B2" sqref="B2"/>
    </sheetView>
  </sheetViews>
  <sheetFormatPr defaultRowHeight="15" x14ac:dyDescent="0.25"/>
  <cols>
    <col min="1" max="1" width="5.7109375" style="5" customWidth="1"/>
    <col min="2" max="3" width="9.140625" style="6"/>
    <col min="4" max="4" width="11.85546875" style="6" bestFit="1" customWidth="1"/>
    <col min="5" max="5" width="9.140625" style="6"/>
    <col min="6" max="8" width="11.140625" style="6" bestFit="1" customWidth="1"/>
    <col min="9" max="9" width="12.28515625" style="6" bestFit="1" customWidth="1"/>
    <col min="10" max="11" width="11.140625" style="6" bestFit="1" customWidth="1"/>
    <col min="12" max="19" width="12.140625" style="6" bestFit="1" customWidth="1"/>
    <col min="20" max="20" width="13.85546875" style="6" bestFit="1" customWidth="1"/>
    <col min="21" max="16384" width="9.140625" style="6"/>
  </cols>
  <sheetData>
    <row r="2" spans="1:24" s="4" customFormat="1" ht="21" x14ac:dyDescent="0.35">
      <c r="A2" s="2"/>
      <c r="B2" s="3" t="s">
        <v>25</v>
      </c>
    </row>
    <row r="4" spans="1:24" x14ac:dyDescent="0.25">
      <c r="B4" s="6" t="s">
        <v>0</v>
      </c>
      <c r="D4" s="29" t="s">
        <v>39</v>
      </c>
      <c r="G4" s="6" t="s">
        <v>211</v>
      </c>
      <c r="J4" s="67">
        <f ca="1">$T$88</f>
        <v>43.17820881568494</v>
      </c>
    </row>
    <row r="5" spans="1:24" x14ac:dyDescent="0.25">
      <c r="B5" s="6" t="s">
        <v>1</v>
      </c>
      <c r="D5" s="46">
        <v>45473</v>
      </c>
      <c r="G5" s="6" t="s">
        <v>212</v>
      </c>
      <c r="J5" s="67">
        <v>46.73</v>
      </c>
    </row>
    <row r="6" spans="1:24" x14ac:dyDescent="0.25">
      <c r="B6" s="6" t="s">
        <v>2</v>
      </c>
      <c r="D6" s="46">
        <v>45657</v>
      </c>
      <c r="G6" s="6" t="s">
        <v>213</v>
      </c>
      <c r="J6" s="90">
        <f ca="1">J4/J5-1</f>
        <v>-7.6006659197839888E-2</v>
      </c>
    </row>
    <row r="8" spans="1:24" ht="17.25" x14ac:dyDescent="0.3">
      <c r="A8" s="5" t="s">
        <v>3</v>
      </c>
      <c r="B8" s="7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5.0999999999999996" customHeight="1" x14ac:dyDescent="0.25"/>
    <row r="11" spans="1:24" x14ac:dyDescent="0.25">
      <c r="B11" s="9" t="s">
        <v>5</v>
      </c>
      <c r="C11" s="10"/>
      <c r="D11" s="10"/>
      <c r="E11" s="10"/>
      <c r="F11" s="10"/>
      <c r="H11" s="9" t="s">
        <v>6</v>
      </c>
      <c r="I11" s="10"/>
      <c r="J11" s="10"/>
      <c r="K11" s="10"/>
      <c r="L11" s="10"/>
      <c r="N11" s="9" t="s">
        <v>7</v>
      </c>
      <c r="O11" s="10"/>
      <c r="P11" s="10"/>
      <c r="Q11" s="10"/>
      <c r="R11" s="10"/>
      <c r="T11" s="9" t="s">
        <v>8</v>
      </c>
      <c r="U11" s="10"/>
      <c r="V11" s="10"/>
      <c r="W11" s="10"/>
      <c r="X11" s="10"/>
    </row>
    <row r="12" spans="1:24" x14ac:dyDescent="0.25">
      <c r="B12" s="11" t="s">
        <v>4</v>
      </c>
      <c r="H12" s="11" t="s">
        <v>4</v>
      </c>
      <c r="N12" s="11" t="s">
        <v>4</v>
      </c>
      <c r="T12" s="11" t="s">
        <v>4</v>
      </c>
    </row>
    <row r="13" spans="1:24" x14ac:dyDescent="0.25">
      <c r="B13" s="6" t="s">
        <v>9</v>
      </c>
      <c r="F13" s="29">
        <v>3</v>
      </c>
      <c r="N13" s="6" t="s">
        <v>9</v>
      </c>
      <c r="Q13" s="30" t="s">
        <v>181</v>
      </c>
      <c r="R13" s="31">
        <v>0.05</v>
      </c>
      <c r="T13" s="6" t="s">
        <v>9</v>
      </c>
      <c r="W13" s="30" t="s">
        <v>181</v>
      </c>
      <c r="X13" s="31">
        <v>0.1</v>
      </c>
    </row>
    <row r="14" spans="1:24" x14ac:dyDescent="0.25">
      <c r="B14" s="6" t="s">
        <v>10</v>
      </c>
      <c r="F14" s="29">
        <v>3</v>
      </c>
      <c r="H14" s="6" t="s">
        <v>10</v>
      </c>
      <c r="K14" s="30" t="s">
        <v>194</v>
      </c>
      <c r="L14" s="31">
        <v>0.05</v>
      </c>
      <c r="N14" s="6" t="s">
        <v>10</v>
      </c>
      <c r="Q14" s="30" t="s">
        <v>194</v>
      </c>
      <c r="R14" s="49">
        <v>7.4999999999999997E-2</v>
      </c>
      <c r="T14" s="6" t="s">
        <v>10</v>
      </c>
      <c r="W14" s="30" t="s">
        <v>194</v>
      </c>
      <c r="X14" s="31">
        <v>0.1</v>
      </c>
    </row>
    <row r="15" spans="1:24" x14ac:dyDescent="0.25">
      <c r="B15" s="6" t="s">
        <v>11</v>
      </c>
      <c r="F15" s="29">
        <v>2</v>
      </c>
      <c r="N15" s="6" t="s">
        <v>10</v>
      </c>
      <c r="Q15" s="30" t="s">
        <v>195</v>
      </c>
      <c r="R15" s="49">
        <v>0.05</v>
      </c>
      <c r="T15" s="6" t="s">
        <v>10</v>
      </c>
      <c r="W15" s="30" t="s">
        <v>195</v>
      </c>
      <c r="X15" s="49">
        <v>7.4999999999999997E-2</v>
      </c>
    </row>
    <row r="16" spans="1:24" x14ac:dyDescent="0.25">
      <c r="B16" s="6" t="s">
        <v>12</v>
      </c>
      <c r="F16" s="29">
        <v>2</v>
      </c>
    </row>
    <row r="17" spans="1:24" x14ac:dyDescent="0.25">
      <c r="F17" s="5"/>
      <c r="L17" s="5"/>
      <c r="R17" s="5"/>
      <c r="X17" s="5"/>
    </row>
    <row r="18" spans="1:24" x14ac:dyDescent="0.25">
      <c r="B18" s="11" t="s">
        <v>13</v>
      </c>
      <c r="F18" s="5"/>
      <c r="H18" s="11" t="s">
        <v>13</v>
      </c>
      <c r="L18" s="5"/>
      <c r="N18" s="11" t="s">
        <v>13</v>
      </c>
      <c r="R18" s="5"/>
      <c r="T18" s="11" t="s">
        <v>13</v>
      </c>
      <c r="X18" s="5"/>
    </row>
    <row r="19" spans="1:24" x14ac:dyDescent="0.25">
      <c r="B19" s="6" t="s">
        <v>11</v>
      </c>
      <c r="F19" s="49">
        <f>CHOOSE(F15,L19,R19,X19)</f>
        <v>9.7832517439158426E-2</v>
      </c>
      <c r="H19" s="6" t="s">
        <v>11</v>
      </c>
      <c r="L19" s="49">
        <f>R19+1%</f>
        <v>0.10783251743915842</v>
      </c>
      <c r="N19" s="6" t="s">
        <v>11</v>
      </c>
      <c r="R19" s="60">
        <f>WACC!F23</f>
        <v>9.7832517439158426E-2</v>
      </c>
      <c r="T19" s="6" t="s">
        <v>11</v>
      </c>
      <c r="X19" s="49">
        <f>R19-1%</f>
        <v>8.7832517439158431E-2</v>
      </c>
    </row>
    <row r="20" spans="1:24" x14ac:dyDescent="0.25">
      <c r="B20" s="6" t="s">
        <v>12</v>
      </c>
      <c r="F20" s="49">
        <f>CHOOSE(F16,L20,R20,X20)</f>
        <v>2.5000000000000001E-2</v>
      </c>
      <c r="H20" s="6" t="s">
        <v>12</v>
      </c>
      <c r="L20" s="49">
        <v>0.02</v>
      </c>
      <c r="N20" s="6" t="s">
        <v>12</v>
      </c>
      <c r="R20" s="60">
        <v>2.5000000000000001E-2</v>
      </c>
      <c r="T20" s="6" t="s">
        <v>12</v>
      </c>
      <c r="X20" s="49">
        <v>0.03</v>
      </c>
    </row>
    <row r="22" spans="1:24" ht="17.25" x14ac:dyDescent="0.3">
      <c r="A22" s="5" t="s">
        <v>3</v>
      </c>
      <c r="B22" s="7" t="s">
        <v>14</v>
      </c>
      <c r="C22" s="8"/>
      <c r="D22" s="8"/>
      <c r="E22" s="8"/>
      <c r="F22" s="12">
        <v>2014</v>
      </c>
      <c r="G22" s="12">
        <v>2015</v>
      </c>
      <c r="H22" s="12">
        <v>2016</v>
      </c>
      <c r="I22" s="12">
        <v>2017</v>
      </c>
      <c r="J22" s="12">
        <v>2018</v>
      </c>
      <c r="K22" s="12">
        <v>2019</v>
      </c>
      <c r="L22" s="12">
        <v>2020</v>
      </c>
      <c r="M22" s="12">
        <v>2021</v>
      </c>
      <c r="N22" s="12">
        <v>2022</v>
      </c>
      <c r="O22" s="12">
        <v>2023</v>
      </c>
      <c r="P22" s="13">
        <v>2024</v>
      </c>
      <c r="Q22" s="13">
        <v>2025</v>
      </c>
      <c r="R22" s="13">
        <v>2026</v>
      </c>
      <c r="S22" s="13">
        <v>2027</v>
      </c>
      <c r="T22" s="13">
        <v>2028</v>
      </c>
    </row>
    <row r="23" spans="1:24" ht="5.0999999999999996" customHeight="1" x14ac:dyDescent="0.25"/>
    <row r="24" spans="1:24" x14ac:dyDescent="0.25">
      <c r="B24" s="6" t="s">
        <v>9</v>
      </c>
      <c r="F24" s="14">
        <f>IS!D4</f>
        <v>3209190</v>
      </c>
      <c r="G24" s="14">
        <f>IS!E4</f>
        <v>28669253</v>
      </c>
      <c r="H24" s="14">
        <f>IS!F4</f>
        <v>43272544</v>
      </c>
      <c r="I24" s="14">
        <f>IS!G4</f>
        <v>62893971</v>
      </c>
      <c r="J24" s="14">
        <f>IS!H4</f>
        <v>86434359</v>
      </c>
      <c r="K24" s="14">
        <f>IS!I4</f>
        <v>97503451</v>
      </c>
      <c r="L24" s="14">
        <f>IS!J4</f>
        <v>111115698</v>
      </c>
      <c r="M24" s="14">
        <f>IS!K4</f>
        <v>109524875</v>
      </c>
      <c r="N24" s="14">
        <f>IS!L4</f>
        <v>189931000</v>
      </c>
      <c r="O24" s="14">
        <f>IS!M4</f>
        <v>276524000</v>
      </c>
      <c r="P24" s="36">
        <f>O24*(1+P25)</f>
        <v>329340084</v>
      </c>
      <c r="Q24" s="36">
        <f t="shared" ref="Q24:T24" si="0">P24*(1+Q25)</f>
        <v>389609319.37200004</v>
      </c>
      <c r="R24" s="36">
        <f t="shared" si="0"/>
        <v>466362355.28828406</v>
      </c>
      <c r="S24" s="36">
        <f t="shared" si="0"/>
        <v>558702101.63536429</v>
      </c>
      <c r="T24" s="36">
        <f t="shared" si="0"/>
        <v>665972905.14935422</v>
      </c>
    </row>
    <row r="25" spans="1:24" x14ac:dyDescent="0.25">
      <c r="B25" s="15" t="s">
        <v>15</v>
      </c>
      <c r="F25" s="16" t="s">
        <v>16</v>
      </c>
      <c r="G25" s="17">
        <f>G24/F24-1</f>
        <v>7.9334857082316717</v>
      </c>
      <c r="H25" s="17">
        <f t="shared" ref="H25:O25" si="1">H24/G24-1</f>
        <v>0.50937117196600834</v>
      </c>
      <c r="I25" s="17">
        <f t="shared" si="1"/>
        <v>0.4534382586796839</v>
      </c>
      <c r="J25" s="17">
        <f t="shared" si="1"/>
        <v>0.37428687719527209</v>
      </c>
      <c r="K25" s="17">
        <f t="shared" si="1"/>
        <v>0.12806356324109491</v>
      </c>
      <c r="L25" s="17">
        <f t="shared" si="1"/>
        <v>0.13960784834169604</v>
      </c>
      <c r="M25" s="17">
        <f t="shared" si="1"/>
        <v>-1.4316815973203001E-2</v>
      </c>
      <c r="N25" s="17">
        <f t="shared" si="1"/>
        <v>0.73413573857080405</v>
      </c>
      <c r="O25" s="17">
        <f t="shared" si="1"/>
        <v>0.45591820187331189</v>
      </c>
      <c r="P25" s="65">
        <f>Estimates!F1</f>
        <v>0.191</v>
      </c>
      <c r="Q25" s="65">
        <f>Estimates!G1</f>
        <v>0.183</v>
      </c>
      <c r="R25" s="65">
        <f>Estimates!H1</f>
        <v>0.19700000000000001</v>
      </c>
      <c r="S25" s="65">
        <f>Estimates!I1</f>
        <v>0.19800000000000001</v>
      </c>
      <c r="T25" s="65">
        <f>Estimates!J1</f>
        <v>0.192</v>
      </c>
    </row>
    <row r="27" spans="1:24" x14ac:dyDescent="0.25">
      <c r="B27" s="6" t="s">
        <v>10</v>
      </c>
      <c r="F27" s="23">
        <f>IS!D10</f>
        <v>-8692715</v>
      </c>
      <c r="G27" s="23">
        <f>IS!E10</f>
        <v>-5985292</v>
      </c>
      <c r="H27" s="23">
        <f>IS!F10</f>
        <v>-3082687</v>
      </c>
      <c r="I27" s="23">
        <f>IS!G10</f>
        <v>2779677</v>
      </c>
      <c r="J27" s="23">
        <f>IS!H10</f>
        <v>9597570</v>
      </c>
      <c r="K27" s="23">
        <f>IS!I10</f>
        <v>9205012</v>
      </c>
      <c r="L27" s="23">
        <f>IS!J10</f>
        <v>14734301</v>
      </c>
      <c r="M27" s="23">
        <f>IS!K10</f>
        <v>22658267</v>
      </c>
      <c r="N27" s="23">
        <f>IS!L10</f>
        <v>50637000</v>
      </c>
      <c r="O27" s="23">
        <f>IS!M10</f>
        <v>71228000</v>
      </c>
      <c r="P27" s="25"/>
      <c r="Q27" s="25"/>
      <c r="R27" s="25"/>
      <c r="S27" s="25"/>
      <c r="T27" s="25"/>
    </row>
    <row r="28" spans="1:24" x14ac:dyDescent="0.25">
      <c r="B28" s="15" t="s">
        <v>17</v>
      </c>
      <c r="F28" s="32">
        <f>F27/F24</f>
        <v>-2.7086944057534765</v>
      </c>
      <c r="G28" s="32">
        <f t="shared" ref="G28:O28" si="2">G27/G24</f>
        <v>-0.20877042035242424</v>
      </c>
      <c r="H28" s="32">
        <f t="shared" si="2"/>
        <v>-7.1238866843604115E-2</v>
      </c>
      <c r="I28" s="32">
        <f t="shared" si="2"/>
        <v>4.4196239413790556E-2</v>
      </c>
      <c r="J28" s="32">
        <f t="shared" si="2"/>
        <v>0.11103882889904927</v>
      </c>
      <c r="K28" s="32">
        <f t="shared" si="2"/>
        <v>9.4407037962174284E-2</v>
      </c>
      <c r="L28" s="32">
        <f t="shared" si="2"/>
        <v>0.13260323487325795</v>
      </c>
      <c r="M28" s="32">
        <f t="shared" si="2"/>
        <v>0.20687781656906706</v>
      </c>
      <c r="N28" s="32">
        <f t="shared" si="2"/>
        <v>0.26660734687860327</v>
      </c>
      <c r="O28" s="32">
        <f t="shared" si="2"/>
        <v>0.25758342856316269</v>
      </c>
      <c r="P28" s="66">
        <f>AVERAGE(K28:O28)</f>
        <v>0.19161577296925306</v>
      </c>
      <c r="Q28" s="33">
        <f>P28</f>
        <v>0.19161577296925306</v>
      </c>
      <c r="R28" s="33">
        <f t="shared" ref="R28:T28" si="3">Q28</f>
        <v>0.19161577296925306</v>
      </c>
      <c r="S28" s="33">
        <f t="shared" si="3"/>
        <v>0.19161577296925306</v>
      </c>
      <c r="T28" s="33">
        <f t="shared" si="3"/>
        <v>0.19161577296925306</v>
      </c>
    </row>
    <row r="30" spans="1:24" x14ac:dyDescent="0.25">
      <c r="B30" s="6" t="s">
        <v>18</v>
      </c>
      <c r="F30" s="23">
        <f>-IS!D15</f>
        <v>-414137</v>
      </c>
      <c r="G30" s="23">
        <f>-IS!E15</f>
        <v>0</v>
      </c>
      <c r="H30" s="23">
        <f>-IS!F15</f>
        <v>-1125149</v>
      </c>
      <c r="I30" s="23">
        <f>-IS!G15</f>
        <v>-15122793</v>
      </c>
      <c r="J30" s="23">
        <f>-IS!H15</f>
        <v>2431085</v>
      </c>
      <c r="K30" s="23">
        <f>-IS!I15</f>
        <v>3681787</v>
      </c>
      <c r="L30" s="23">
        <f>-IS!J15</f>
        <v>4599101</v>
      </c>
      <c r="M30" s="23">
        <f>-IS!K15</f>
        <v>6401633</v>
      </c>
      <c r="N30" s="23">
        <f>-IS!L15</f>
        <v>15469000</v>
      </c>
      <c r="O30" s="23">
        <f>-IS!M15</f>
        <v>10576000</v>
      </c>
      <c r="P30" s="25"/>
      <c r="Q30" s="25"/>
      <c r="R30" s="25"/>
      <c r="S30" s="25"/>
      <c r="T30" s="25"/>
    </row>
    <row r="31" spans="1:24" x14ac:dyDescent="0.25">
      <c r="B31" s="15" t="s">
        <v>19</v>
      </c>
      <c r="F31" s="32">
        <f>-IS!D15/IS!D14</f>
        <v>5.0768732491194415E-2</v>
      </c>
      <c r="G31" s="32">
        <f>-IS!E15/IS!E14</f>
        <v>0</v>
      </c>
      <c r="H31" s="32">
        <f>-IS!F15/IS!F14</f>
        <v>0.41691873014108516</v>
      </c>
      <c r="I31" s="32">
        <f>-IS!G15/IS!G14</f>
        <v>-4.6288407385187993</v>
      </c>
      <c r="J31" s="32">
        <f>-IS!H15/IS!H14</f>
        <v>0.23932607110915535</v>
      </c>
      <c r="K31" s="32">
        <f>-IS!I15/IS!I14</f>
        <v>0.35507145044952604</v>
      </c>
      <c r="L31" s="32">
        <f>-IS!J15/IS!J14</f>
        <v>0.29720700695206143</v>
      </c>
      <c r="M31" s="32">
        <f>-IS!K15/IS!K14</f>
        <v>0.27471293277330794</v>
      </c>
      <c r="N31" s="32">
        <f>-IS!L15/IS!L14</f>
        <v>0.30135785392842535</v>
      </c>
      <c r="O31" s="32">
        <f>-IS!M15/IS!M14</f>
        <v>0.14812117477346257</v>
      </c>
      <c r="P31" s="66">
        <f>AVERAGE(K31:O31)</f>
        <v>0.27529408377535669</v>
      </c>
      <c r="Q31" s="33">
        <f>P31</f>
        <v>0.27529408377535669</v>
      </c>
      <c r="R31" s="33">
        <f t="shared" ref="R31:T31" si="4">Q31</f>
        <v>0.27529408377535669</v>
      </c>
      <c r="S31" s="33">
        <f t="shared" si="4"/>
        <v>0.27529408377535669</v>
      </c>
      <c r="T31" s="33">
        <f t="shared" si="4"/>
        <v>0.27529408377535669</v>
      </c>
    </row>
    <row r="33" spans="1:20" ht="17.25" x14ac:dyDescent="0.3">
      <c r="A33" s="5" t="s">
        <v>3</v>
      </c>
      <c r="B33" s="7" t="s">
        <v>20</v>
      </c>
      <c r="C33" s="8"/>
      <c r="D33" s="8"/>
      <c r="E33" s="8"/>
      <c r="F33" s="12">
        <v>2014</v>
      </c>
      <c r="G33" s="12">
        <v>2015</v>
      </c>
      <c r="H33" s="12">
        <v>2016</v>
      </c>
      <c r="I33" s="12">
        <v>2017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</row>
    <row r="34" spans="1:20" ht="5.0999999999999996" customHeight="1" x14ac:dyDescent="0.25"/>
    <row r="35" spans="1:20" x14ac:dyDescent="0.25">
      <c r="B35" s="6" t="s">
        <v>21</v>
      </c>
      <c r="F35" s="23">
        <f>-IS!D9</f>
        <v>1028915</v>
      </c>
      <c r="G35" s="23">
        <f>-IS!E9</f>
        <v>617288</v>
      </c>
      <c r="H35" s="23">
        <f>-IS!F9</f>
        <v>784324</v>
      </c>
      <c r="I35" s="23">
        <f>-IS!G9</f>
        <v>1423529</v>
      </c>
      <c r="J35" s="23">
        <f>-IS!H9</f>
        <v>2015909</v>
      </c>
      <c r="K35" s="23">
        <f>-IS!I9</f>
        <v>2574321</v>
      </c>
      <c r="L35" s="23">
        <f>-IS!J9</f>
        <v>5322539</v>
      </c>
      <c r="M35" s="23">
        <f>-IS!K9</f>
        <v>6957116</v>
      </c>
      <c r="N35" s="23">
        <f>-IS!L9</f>
        <v>19831000</v>
      </c>
      <c r="O35" s="23">
        <f>-IS!M9</f>
        <v>27706000</v>
      </c>
      <c r="P35" s="25"/>
      <c r="Q35" s="25"/>
      <c r="R35" s="25"/>
      <c r="S35" s="25"/>
      <c r="T35" s="25"/>
    </row>
    <row r="36" spans="1:20" x14ac:dyDescent="0.25">
      <c r="B36" s="15" t="s">
        <v>17</v>
      </c>
      <c r="F36" s="32">
        <f>F35/F$24</f>
        <v>0.32061517080634055</v>
      </c>
      <c r="G36" s="32">
        <f t="shared" ref="G36:O36" si="5">G35/G$24</f>
        <v>2.1531359746275916E-2</v>
      </c>
      <c r="H36" s="32">
        <f t="shared" si="5"/>
        <v>1.812521121938197E-2</v>
      </c>
      <c r="I36" s="32">
        <f t="shared" si="5"/>
        <v>2.2633791083091256E-2</v>
      </c>
      <c r="J36" s="32">
        <f t="shared" si="5"/>
        <v>2.332300514891306E-2</v>
      </c>
      <c r="K36" s="32">
        <f t="shared" si="5"/>
        <v>2.6402357799622907E-2</v>
      </c>
      <c r="L36" s="32">
        <f t="shared" si="5"/>
        <v>4.7900873556137855E-2</v>
      </c>
      <c r="M36" s="32">
        <f t="shared" si="5"/>
        <v>6.3520875965391424E-2</v>
      </c>
      <c r="N36" s="32">
        <f t="shared" si="5"/>
        <v>0.10441160210813401</v>
      </c>
      <c r="O36" s="32">
        <f t="shared" si="5"/>
        <v>0.10019383489317384</v>
      </c>
      <c r="P36" s="66">
        <f>AVERAGE(K36:O36)</f>
        <v>6.8485908864492004E-2</v>
      </c>
      <c r="Q36" s="33">
        <f>P36</f>
        <v>6.8485908864492004E-2</v>
      </c>
      <c r="R36" s="33">
        <f t="shared" ref="R36:T36" si="6">Q36</f>
        <v>6.8485908864492004E-2</v>
      </c>
      <c r="S36" s="33">
        <f t="shared" si="6"/>
        <v>6.8485908864492004E-2</v>
      </c>
      <c r="T36" s="33">
        <f t="shared" si="6"/>
        <v>6.8485908864492004E-2</v>
      </c>
    </row>
    <row r="38" spans="1:20" x14ac:dyDescent="0.25">
      <c r="B38" s="6" t="s">
        <v>22</v>
      </c>
      <c r="F38" s="23">
        <f>-Sundry!D48</f>
        <v>-30151</v>
      </c>
      <c r="G38" s="23">
        <f>-Sundry!E48</f>
        <v>851024</v>
      </c>
      <c r="H38" s="23">
        <f>-Sundry!F48</f>
        <v>1567023</v>
      </c>
      <c r="I38" s="23">
        <f>-Sundry!G48</f>
        <v>2473187</v>
      </c>
      <c r="J38" s="23">
        <f>-Sundry!H48</f>
        <v>6401191</v>
      </c>
      <c r="K38" s="23">
        <f>-Sundry!I48</f>
        <v>7363052</v>
      </c>
      <c r="L38" s="23">
        <f>-Sundry!J48</f>
        <v>7225322</v>
      </c>
      <c r="M38" s="23">
        <f>-Sundry!K48</f>
        <v>6045602</v>
      </c>
      <c r="N38" s="23">
        <f>-Sundry!L48</f>
        <v>12591000</v>
      </c>
      <c r="O38" s="23">
        <f>-Sundry!M48</f>
        <v>17826000</v>
      </c>
      <c r="P38" s="25"/>
      <c r="Q38" s="25"/>
      <c r="R38" s="25"/>
      <c r="S38" s="25"/>
      <c r="T38" s="25"/>
    </row>
    <row r="39" spans="1:20" x14ac:dyDescent="0.25">
      <c r="B39" s="15" t="s">
        <v>17</v>
      </c>
      <c r="F39" s="32">
        <f>F38/F24</f>
        <v>-9.3952056437917354E-3</v>
      </c>
      <c r="G39" s="32">
        <f t="shared" ref="G39:O39" si="7">G38/G24</f>
        <v>2.9684205584289202E-2</v>
      </c>
      <c r="H39" s="32">
        <f t="shared" si="7"/>
        <v>3.6212869758708896E-2</v>
      </c>
      <c r="I39" s="32">
        <f t="shared" si="7"/>
        <v>3.9323117314376606E-2</v>
      </c>
      <c r="J39" s="32">
        <f t="shared" si="7"/>
        <v>7.4058407721864408E-2</v>
      </c>
      <c r="K39" s="32">
        <f t="shared" si="7"/>
        <v>7.5515809178897678E-2</v>
      </c>
      <c r="L39" s="32">
        <f t="shared" si="7"/>
        <v>6.5025213629130968E-2</v>
      </c>
      <c r="M39" s="32">
        <f t="shared" si="7"/>
        <v>5.5198437797806206E-2</v>
      </c>
      <c r="N39" s="32">
        <f t="shared" si="7"/>
        <v>6.6292495695805323E-2</v>
      </c>
      <c r="O39" s="32">
        <f t="shared" si="7"/>
        <v>6.4464567270833634E-2</v>
      </c>
      <c r="P39" s="66">
        <f>AVERAGE(K39:O39)</f>
        <v>6.5299304714494771E-2</v>
      </c>
      <c r="Q39" s="33">
        <f>P39</f>
        <v>6.5299304714494771E-2</v>
      </c>
      <c r="R39" s="33">
        <f t="shared" ref="R39:T39" si="8">Q39</f>
        <v>6.5299304714494771E-2</v>
      </c>
      <c r="S39" s="33">
        <f t="shared" si="8"/>
        <v>6.5299304714494771E-2</v>
      </c>
      <c r="T39" s="33">
        <f t="shared" si="8"/>
        <v>6.5299304714494771E-2</v>
      </c>
    </row>
    <row r="41" spans="1:20" x14ac:dyDescent="0.25">
      <c r="B41" s="6" t="s">
        <v>23</v>
      </c>
      <c r="F41" s="23">
        <f>Sundry!D47</f>
        <v>-1144041</v>
      </c>
      <c r="G41" s="23">
        <f>Sundry!E47</f>
        <v>-695666</v>
      </c>
      <c r="H41" s="23">
        <f>Sundry!F47</f>
        <v>3037984</v>
      </c>
      <c r="I41" s="23">
        <f>Sundry!G47</f>
        <v>-5536942</v>
      </c>
      <c r="J41" s="23">
        <f>Sundry!H47</f>
        <v>548874</v>
      </c>
      <c r="K41" s="23">
        <f>Sundry!I47</f>
        <v>3543421</v>
      </c>
      <c r="L41" s="23">
        <f>Sundry!J47</f>
        <v>-1095212</v>
      </c>
      <c r="M41" s="23">
        <f>Sundry!K47</f>
        <v>-4901662</v>
      </c>
      <c r="N41" s="23">
        <f>Sundry!L47</f>
        <v>-895944</v>
      </c>
      <c r="O41" s="23">
        <f>Sundry!M47</f>
        <v>4235000</v>
      </c>
      <c r="P41" s="40">
        <f>P42*P24</f>
        <v>-505270.87163780082</v>
      </c>
      <c r="Q41" s="40">
        <f t="shared" ref="Q41:T41" si="9">Q42*Q24</f>
        <v>-597735.44114751846</v>
      </c>
      <c r="R41" s="40">
        <f t="shared" si="9"/>
        <v>-715489.32305357954</v>
      </c>
      <c r="S41" s="40">
        <f t="shared" si="9"/>
        <v>-857156.2090181883</v>
      </c>
      <c r="T41" s="40">
        <f t="shared" si="9"/>
        <v>-1021730.2011496804</v>
      </c>
    </row>
    <row r="42" spans="1:20" x14ac:dyDescent="0.25">
      <c r="B42" s="15" t="s">
        <v>17</v>
      </c>
      <c r="F42" s="32">
        <f>F41/F24</f>
        <v>-0.35648902059398163</v>
      </c>
      <c r="G42" s="32">
        <f t="shared" ref="G42:O42" si="10">G41/G24</f>
        <v>-2.4265229373084816E-2</v>
      </c>
      <c r="H42" s="32">
        <f t="shared" si="10"/>
        <v>7.0205809947295916E-2</v>
      </c>
      <c r="I42" s="32">
        <f t="shared" si="10"/>
        <v>-8.803613306591819E-2</v>
      </c>
      <c r="J42" s="32">
        <f t="shared" si="10"/>
        <v>6.3501830331153374E-3</v>
      </c>
      <c r="K42" s="32">
        <f t="shared" si="10"/>
        <v>3.6341493184687379E-2</v>
      </c>
      <c r="L42" s="32">
        <f t="shared" si="10"/>
        <v>-9.8565011039214272E-3</v>
      </c>
      <c r="M42" s="32">
        <f t="shared" si="10"/>
        <v>-4.4753869840070577E-2</v>
      </c>
      <c r="N42" s="32">
        <f t="shared" si="10"/>
        <v>-4.7172078281059963E-3</v>
      </c>
      <c r="O42" s="32">
        <f t="shared" si="10"/>
        <v>1.5315126354312826E-2</v>
      </c>
      <c r="P42" s="66">
        <f>AVERAGE(K42:O42)</f>
        <v>-1.5341918466195595E-3</v>
      </c>
      <c r="Q42" s="33">
        <f>P42</f>
        <v>-1.5341918466195595E-3</v>
      </c>
      <c r="R42" s="33">
        <f t="shared" ref="R42:T42" si="11">Q42</f>
        <v>-1.5341918466195595E-3</v>
      </c>
      <c r="S42" s="33">
        <f t="shared" si="11"/>
        <v>-1.5341918466195595E-3</v>
      </c>
      <c r="T42" s="33">
        <f t="shared" si="11"/>
        <v>-1.5341918466195595E-3</v>
      </c>
    </row>
    <row r="43" spans="1:20" x14ac:dyDescent="0.25">
      <c r="B43" s="15" t="s">
        <v>24</v>
      </c>
      <c r="F43" s="32" t="s">
        <v>16</v>
      </c>
      <c r="G43" s="32">
        <f>G41/(G24-F24)</f>
        <v>-2.7323812985066063E-2</v>
      </c>
      <c r="H43" s="32">
        <f t="shared" ref="H43:T43" si="12">H41/(H24-G24)</f>
        <v>0.20803420270129522</v>
      </c>
      <c r="I43" s="32">
        <f t="shared" si="12"/>
        <v>-0.28218854826409923</v>
      </c>
      <c r="J43" s="32">
        <f t="shared" si="12"/>
        <v>2.3316268194050159E-2</v>
      </c>
      <c r="K43" s="32">
        <f t="shared" si="12"/>
        <v>0.32011848849029351</v>
      </c>
      <c r="L43" s="32">
        <f t="shared" si="12"/>
        <v>-8.0457840648939155E-2</v>
      </c>
      <c r="M43" s="32">
        <f t="shared" si="12"/>
        <v>3.0812114232695906</v>
      </c>
      <c r="N43" s="32">
        <f t="shared" si="12"/>
        <v>-1.1142733218395987E-2</v>
      </c>
      <c r="O43" s="32">
        <f t="shared" si="12"/>
        <v>4.8906955527583063E-2</v>
      </c>
      <c r="P43" s="32">
        <f t="shared" si="12"/>
        <v>-9.5666098917481426E-3</v>
      </c>
      <c r="Q43" s="32">
        <f t="shared" si="12"/>
        <v>-9.917753850005125E-3</v>
      </c>
      <c r="R43" s="32">
        <f t="shared" si="12"/>
        <v>-9.3219677177848338E-3</v>
      </c>
      <c r="S43" s="32">
        <f t="shared" si="12"/>
        <v>-9.2826355164153142E-3</v>
      </c>
      <c r="T43" s="32">
        <f t="shared" si="12"/>
        <v>-9.5247743810964319E-3</v>
      </c>
    </row>
    <row r="45" spans="1:20" ht="17.25" x14ac:dyDescent="0.3">
      <c r="A45" s="5" t="s">
        <v>3</v>
      </c>
      <c r="B45" s="7" t="s">
        <v>176</v>
      </c>
      <c r="C45" s="8"/>
      <c r="D45" s="8"/>
      <c r="E45" s="8"/>
      <c r="F45" s="12">
        <v>2014</v>
      </c>
      <c r="G45" s="12">
        <v>2015</v>
      </c>
      <c r="H45" s="12">
        <v>2016</v>
      </c>
      <c r="I45" s="12">
        <v>2017</v>
      </c>
      <c r="J45" s="12">
        <v>2018</v>
      </c>
      <c r="K45" s="12">
        <v>2019</v>
      </c>
      <c r="L45" s="12">
        <v>2020</v>
      </c>
      <c r="M45" s="12">
        <v>2021</v>
      </c>
      <c r="N45" s="12">
        <v>2022</v>
      </c>
      <c r="O45" s="12">
        <v>2023</v>
      </c>
      <c r="P45" s="13">
        <v>2024</v>
      </c>
      <c r="Q45" s="13">
        <v>2025</v>
      </c>
      <c r="R45" s="13">
        <v>2026</v>
      </c>
      <c r="S45" s="13">
        <v>2027</v>
      </c>
      <c r="T45" s="13">
        <v>2028</v>
      </c>
    </row>
    <row r="46" spans="1:20" ht="5.0999999999999996" customHeight="1" x14ac:dyDescent="0.25"/>
    <row r="47" spans="1:20" x14ac:dyDescent="0.25">
      <c r="B47" s="6" t="s">
        <v>9</v>
      </c>
      <c r="F47" s="28">
        <f>F24</f>
        <v>3209190</v>
      </c>
      <c r="G47" s="28">
        <f t="shared" ref="G47:O47" si="13">G24</f>
        <v>28669253</v>
      </c>
      <c r="H47" s="28">
        <f t="shared" si="13"/>
        <v>43272544</v>
      </c>
      <c r="I47" s="28">
        <f t="shared" si="13"/>
        <v>62893971</v>
      </c>
      <c r="J47" s="28">
        <f t="shared" si="13"/>
        <v>86434359</v>
      </c>
      <c r="K47" s="28">
        <f t="shared" si="13"/>
        <v>97503451</v>
      </c>
      <c r="L47" s="28">
        <f t="shared" si="13"/>
        <v>111115698</v>
      </c>
      <c r="M47" s="28">
        <f t="shared" si="13"/>
        <v>109524875</v>
      </c>
      <c r="N47" s="28">
        <f t="shared" si="13"/>
        <v>189931000</v>
      </c>
      <c r="O47" s="28">
        <f t="shared" si="13"/>
        <v>276524000</v>
      </c>
      <c r="P47" s="36">
        <f ca="1">O47*(1+P48)</f>
        <v>356992484</v>
      </c>
      <c r="Q47" s="36">
        <f t="shared" ref="Q47:T47" ca="1" si="14">P47*(1+Q48)</f>
        <v>458021356.97199994</v>
      </c>
      <c r="R47" s="36">
        <f t="shared" ca="1" si="14"/>
        <v>594053699.99268401</v>
      </c>
      <c r="S47" s="36">
        <f t="shared" ca="1" si="14"/>
        <v>771081702.59050381</v>
      </c>
      <c r="T47" s="36">
        <f t="shared" ca="1" si="14"/>
        <v>996237559.74693096</v>
      </c>
    </row>
    <row r="48" spans="1:20" x14ac:dyDescent="0.25">
      <c r="B48" s="15" t="s">
        <v>15</v>
      </c>
      <c r="F48" s="33" t="str">
        <f>F25</f>
        <v>--</v>
      </c>
      <c r="G48" s="33">
        <f t="shared" ref="G48:O48" si="15">G25</f>
        <v>7.9334857082316717</v>
      </c>
      <c r="H48" s="33">
        <f t="shared" si="15"/>
        <v>0.50937117196600834</v>
      </c>
      <c r="I48" s="33">
        <f t="shared" si="15"/>
        <v>0.4534382586796839</v>
      </c>
      <c r="J48" s="33">
        <f t="shared" si="15"/>
        <v>0.37428687719527209</v>
      </c>
      <c r="K48" s="33">
        <f t="shared" si="15"/>
        <v>0.12806356324109491</v>
      </c>
      <c r="L48" s="33">
        <f t="shared" si="15"/>
        <v>0.13960784834169604</v>
      </c>
      <c r="M48" s="33">
        <f t="shared" si="15"/>
        <v>-1.4316815973203001E-2</v>
      </c>
      <c r="N48" s="33">
        <f t="shared" si="15"/>
        <v>0.73413573857080405</v>
      </c>
      <c r="O48" s="33">
        <f t="shared" si="15"/>
        <v>0.45591820187331189</v>
      </c>
      <c r="P48" s="34">
        <f ca="1">OFFSET(P48,$F$13,0)</f>
        <v>0.29100000000000004</v>
      </c>
      <c r="Q48" s="34">
        <f t="shared" ref="Q48:T48" ca="1" si="16">OFFSET(Q48,$F$13,0)</f>
        <v>0.28300000000000003</v>
      </c>
      <c r="R48" s="34">
        <f t="shared" ca="1" si="16"/>
        <v>0.29700000000000004</v>
      </c>
      <c r="S48" s="34">
        <f t="shared" ca="1" si="16"/>
        <v>0.29800000000000004</v>
      </c>
      <c r="T48" s="34">
        <f t="shared" ca="1" si="16"/>
        <v>0.29200000000000004</v>
      </c>
    </row>
    <row r="49" spans="2:20" x14ac:dyDescent="0.25">
      <c r="B49" s="6" t="s">
        <v>178</v>
      </c>
      <c r="P49" s="48">
        <f>P25</f>
        <v>0.191</v>
      </c>
      <c r="Q49" s="48">
        <f t="shared" ref="Q49:T49" si="17">Q25</f>
        <v>0.183</v>
      </c>
      <c r="R49" s="48">
        <f t="shared" si="17"/>
        <v>0.19700000000000001</v>
      </c>
      <c r="S49" s="48">
        <f t="shared" si="17"/>
        <v>0.19800000000000001</v>
      </c>
      <c r="T49" s="48">
        <f t="shared" si="17"/>
        <v>0.192</v>
      </c>
    </row>
    <row r="50" spans="2:20" x14ac:dyDescent="0.25">
      <c r="B50" s="6" t="s">
        <v>177</v>
      </c>
      <c r="P50" s="35">
        <f>P49+$R$13</f>
        <v>0.24099999999999999</v>
      </c>
      <c r="Q50" s="35">
        <f t="shared" ref="Q50:T50" si="18">Q49+$R$13</f>
        <v>0.23299999999999998</v>
      </c>
      <c r="R50" s="35">
        <f t="shared" si="18"/>
        <v>0.247</v>
      </c>
      <c r="S50" s="35">
        <f t="shared" si="18"/>
        <v>0.248</v>
      </c>
      <c r="T50" s="35">
        <f t="shared" si="18"/>
        <v>0.24199999999999999</v>
      </c>
    </row>
    <row r="51" spans="2:20" x14ac:dyDescent="0.25">
      <c r="B51" s="6" t="s">
        <v>179</v>
      </c>
      <c r="P51" s="35">
        <f>P49+$X$13</f>
        <v>0.29100000000000004</v>
      </c>
      <c r="Q51" s="35">
        <f t="shared" ref="Q51:T51" si="19">Q49+$X$13</f>
        <v>0.28300000000000003</v>
      </c>
      <c r="R51" s="35">
        <f t="shared" si="19"/>
        <v>0.29700000000000004</v>
      </c>
      <c r="S51" s="35">
        <f t="shared" si="19"/>
        <v>0.29800000000000004</v>
      </c>
      <c r="T51" s="35">
        <f t="shared" si="19"/>
        <v>0.29200000000000004</v>
      </c>
    </row>
    <row r="53" spans="2:20" x14ac:dyDescent="0.25">
      <c r="B53" s="6" t="s">
        <v>10</v>
      </c>
      <c r="F53" s="37">
        <f>F27</f>
        <v>-8692715</v>
      </c>
      <c r="G53" s="37">
        <f t="shared" ref="G53:O53" si="20">G27</f>
        <v>-5985292</v>
      </c>
      <c r="H53" s="37">
        <f t="shared" si="20"/>
        <v>-3082687</v>
      </c>
      <c r="I53" s="37">
        <f t="shared" si="20"/>
        <v>2779677</v>
      </c>
      <c r="J53" s="37">
        <f t="shared" si="20"/>
        <v>9597570</v>
      </c>
      <c r="K53" s="37">
        <f t="shared" si="20"/>
        <v>9205012</v>
      </c>
      <c r="L53" s="37">
        <f t="shared" si="20"/>
        <v>14734301</v>
      </c>
      <c r="M53" s="37">
        <f t="shared" si="20"/>
        <v>22658267</v>
      </c>
      <c r="N53" s="37">
        <f t="shared" si="20"/>
        <v>50637000</v>
      </c>
      <c r="O53" s="37">
        <f t="shared" si="20"/>
        <v>71228000</v>
      </c>
      <c r="P53" s="36">
        <f ca="1">P54*P47</f>
        <v>93519980.694684848</v>
      </c>
      <c r="Q53" s="36">
        <f t="shared" ref="Q53:T53" ca="1" si="21">Q54*Q47</f>
        <v>131984748.75440872</v>
      </c>
      <c r="R53" s="36">
        <f t="shared" ca="1" si="21"/>
        <v>194946367.13417548</v>
      </c>
      <c r="S53" s="36">
        <f t="shared" ca="1" si="21"/>
        <v>283883652.64377987</v>
      </c>
      <c r="T53" s="36">
        <f t="shared" ca="1" si="21"/>
        <v>406627181.60564083</v>
      </c>
    </row>
    <row r="54" spans="2:20" x14ac:dyDescent="0.25">
      <c r="B54" s="15" t="s">
        <v>15</v>
      </c>
      <c r="F54" s="33">
        <f>F28</f>
        <v>-2.7086944057534765</v>
      </c>
      <c r="G54" s="33">
        <f t="shared" ref="G54:O54" si="22">G28</f>
        <v>-0.20877042035242424</v>
      </c>
      <c r="H54" s="33">
        <f t="shared" si="22"/>
        <v>-7.1238866843604115E-2</v>
      </c>
      <c r="I54" s="33">
        <f t="shared" si="22"/>
        <v>4.4196239413790556E-2</v>
      </c>
      <c r="J54" s="33">
        <f t="shared" si="22"/>
        <v>0.11103882889904927</v>
      </c>
      <c r="K54" s="33">
        <f t="shared" si="22"/>
        <v>9.4407037962174284E-2</v>
      </c>
      <c r="L54" s="33">
        <f t="shared" si="22"/>
        <v>0.13260323487325795</v>
      </c>
      <c r="M54" s="33">
        <f t="shared" si="22"/>
        <v>0.20687781656906706</v>
      </c>
      <c r="N54" s="33">
        <f t="shared" si="22"/>
        <v>0.26660734687860327</v>
      </c>
      <c r="O54" s="33">
        <f t="shared" si="22"/>
        <v>0.25758342856316269</v>
      </c>
      <c r="P54" s="33">
        <f ca="1">OFFSET(P54,$F$14,0)</f>
        <v>0.26196624547054848</v>
      </c>
      <c r="Q54" s="33">
        <f t="shared" ref="Q54:T54" ca="1" si="23">OFFSET(Q54,$F$14,0)</f>
        <v>0.28816287001760332</v>
      </c>
      <c r="R54" s="33">
        <f t="shared" ca="1" si="23"/>
        <v>0.3281628700176033</v>
      </c>
      <c r="S54" s="33">
        <f t="shared" ca="1" si="23"/>
        <v>0.36816287001760328</v>
      </c>
      <c r="T54" s="33">
        <f t="shared" ca="1" si="23"/>
        <v>0.40816287001760326</v>
      </c>
    </row>
    <row r="55" spans="2:20" x14ac:dyDescent="0.25">
      <c r="B55" s="6" t="s">
        <v>178</v>
      </c>
      <c r="P55" s="35">
        <f>AVERAGE(M54:O54)</f>
        <v>0.24368953067027768</v>
      </c>
      <c r="Q55" s="35">
        <f>P55*(1+$L$14)</f>
        <v>0.25587400720379155</v>
      </c>
      <c r="R55" s="35">
        <f t="shared" ref="R55:T55" si="24">Q55+2%</f>
        <v>0.27587400720379157</v>
      </c>
      <c r="S55" s="35">
        <f t="shared" si="24"/>
        <v>0.29587400720379159</v>
      </c>
      <c r="T55" s="35">
        <f t="shared" si="24"/>
        <v>0.31587400720379161</v>
      </c>
    </row>
    <row r="56" spans="2:20" x14ac:dyDescent="0.25">
      <c r="B56" s="6" t="s">
        <v>177</v>
      </c>
      <c r="P56" s="50">
        <f>P55*(1+$R$15)</f>
        <v>0.25587400720379155</v>
      </c>
      <c r="Q56" s="50">
        <f>P56*(1+$R$14)</f>
        <v>0.2750645577440759</v>
      </c>
      <c r="R56" s="50">
        <f t="shared" ref="R56:T56" si="25">Q56+3%</f>
        <v>0.30506455774407593</v>
      </c>
      <c r="S56" s="50">
        <f t="shared" si="25"/>
        <v>0.33506455774407595</v>
      </c>
      <c r="T56" s="50">
        <f t="shared" si="25"/>
        <v>0.36506455774407598</v>
      </c>
    </row>
    <row r="57" spans="2:20" x14ac:dyDescent="0.25">
      <c r="B57" s="6" t="s">
        <v>179</v>
      </c>
      <c r="P57" s="50">
        <f>P55*(1+$X$15)</f>
        <v>0.26196624547054848</v>
      </c>
      <c r="Q57" s="50">
        <f>P57*(1+$X$14)</f>
        <v>0.28816287001760332</v>
      </c>
      <c r="R57" s="50">
        <f t="shared" ref="R57:T57" si="26">Q57+4%</f>
        <v>0.3281628700176033</v>
      </c>
      <c r="S57" s="50">
        <f t="shared" si="26"/>
        <v>0.36816287001760328</v>
      </c>
      <c r="T57" s="50">
        <f t="shared" si="26"/>
        <v>0.40816287001760326</v>
      </c>
    </row>
    <row r="59" spans="2:20" x14ac:dyDescent="0.25">
      <c r="B59" s="6" t="s">
        <v>18</v>
      </c>
      <c r="F59" s="37">
        <f>F30</f>
        <v>-414137</v>
      </c>
      <c r="G59" s="37">
        <f t="shared" ref="G59:O59" si="27">G30</f>
        <v>0</v>
      </c>
      <c r="H59" s="37">
        <f t="shared" si="27"/>
        <v>-1125149</v>
      </c>
      <c r="I59" s="37">
        <f t="shared" si="27"/>
        <v>-15122793</v>
      </c>
      <c r="J59" s="37">
        <f t="shared" si="27"/>
        <v>2431085</v>
      </c>
      <c r="K59" s="37">
        <f t="shared" si="27"/>
        <v>3681787</v>
      </c>
      <c r="L59" s="37">
        <f t="shared" si="27"/>
        <v>4599101</v>
      </c>
      <c r="M59" s="37">
        <f t="shared" si="27"/>
        <v>6401633</v>
      </c>
      <c r="N59" s="37">
        <f t="shared" si="27"/>
        <v>15469000</v>
      </c>
      <c r="O59" s="37">
        <f t="shared" si="27"/>
        <v>10576000</v>
      </c>
      <c r="P59" s="36">
        <f ca="1">P60*P53</f>
        <v>25745497.400032312</v>
      </c>
      <c r="Q59" s="36">
        <f t="shared" ref="Q59:T59" ca="1" si="28">Q60*Q53</f>
        <v>36334620.480665594</v>
      </c>
      <c r="R59" s="36">
        <f t="shared" ca="1" si="28"/>
        <v>53667581.525537148</v>
      </c>
      <c r="S59" s="36">
        <f t="shared" ca="1" si="28"/>
        <v>78151490.053370997</v>
      </c>
      <c r="T59" s="36">
        <f t="shared" ca="1" si="28"/>
        <v>111942057.39828047</v>
      </c>
    </row>
    <row r="60" spans="2:20" x14ac:dyDescent="0.25">
      <c r="B60" s="6" t="s">
        <v>19</v>
      </c>
      <c r="F60" s="33">
        <f>F31</f>
        <v>5.0768732491194415E-2</v>
      </c>
      <c r="G60" s="33">
        <f t="shared" ref="G60:O60" si="29">G31</f>
        <v>0</v>
      </c>
      <c r="H60" s="33">
        <f t="shared" si="29"/>
        <v>0.41691873014108516</v>
      </c>
      <c r="I60" s="33">
        <f t="shared" si="29"/>
        <v>-4.6288407385187993</v>
      </c>
      <c r="J60" s="33">
        <f t="shared" si="29"/>
        <v>0.23932607110915535</v>
      </c>
      <c r="K60" s="33">
        <f t="shared" si="29"/>
        <v>0.35507145044952604</v>
      </c>
      <c r="L60" s="33">
        <f t="shared" si="29"/>
        <v>0.29720700695206143</v>
      </c>
      <c r="M60" s="33">
        <f t="shared" si="29"/>
        <v>0.27471293277330794</v>
      </c>
      <c r="N60" s="33">
        <f t="shared" si="29"/>
        <v>0.30135785392842535</v>
      </c>
      <c r="O60" s="33">
        <f t="shared" si="29"/>
        <v>0.14812117477346257</v>
      </c>
      <c r="P60" s="48">
        <f>P31</f>
        <v>0.27529408377535669</v>
      </c>
      <c r="Q60" s="48">
        <f>P60</f>
        <v>0.27529408377535669</v>
      </c>
      <c r="R60" s="48">
        <f t="shared" ref="R60:T60" si="30">Q60</f>
        <v>0.27529408377535669</v>
      </c>
      <c r="S60" s="48">
        <f t="shared" si="30"/>
        <v>0.27529408377535669</v>
      </c>
      <c r="T60" s="48">
        <f t="shared" si="30"/>
        <v>0.27529408377535669</v>
      </c>
    </row>
    <row r="62" spans="2:20" x14ac:dyDescent="0.25">
      <c r="B62" s="26" t="s">
        <v>180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38">
        <f ca="1">P53-P59</f>
        <v>67774483.294652537</v>
      </c>
      <c r="Q62" s="38">
        <f t="shared" ref="Q62:T62" ca="1" si="31">Q53-Q59</f>
        <v>95650128.273743123</v>
      </c>
      <c r="R62" s="38">
        <f t="shared" ca="1" si="31"/>
        <v>141278785.60863835</v>
      </c>
      <c r="S62" s="38">
        <f t="shared" ca="1" si="31"/>
        <v>205732162.59040886</v>
      </c>
      <c r="T62" s="39">
        <f t="shared" ca="1" si="31"/>
        <v>294685124.20736039</v>
      </c>
    </row>
    <row r="64" spans="2:20" x14ac:dyDescent="0.25">
      <c r="B64" s="6" t="s">
        <v>21</v>
      </c>
      <c r="F64" s="37">
        <f>F35</f>
        <v>1028915</v>
      </c>
      <c r="G64" s="37">
        <f t="shared" ref="G64:O64" si="32">G35</f>
        <v>617288</v>
      </c>
      <c r="H64" s="37">
        <f t="shared" si="32"/>
        <v>784324</v>
      </c>
      <c r="I64" s="37">
        <f t="shared" si="32"/>
        <v>1423529</v>
      </c>
      <c r="J64" s="37">
        <f t="shared" si="32"/>
        <v>2015909</v>
      </c>
      <c r="K64" s="37">
        <f t="shared" si="32"/>
        <v>2574321</v>
      </c>
      <c r="L64" s="37">
        <f t="shared" si="32"/>
        <v>5322539</v>
      </c>
      <c r="M64" s="37">
        <f t="shared" si="32"/>
        <v>6957116</v>
      </c>
      <c r="N64" s="37">
        <f t="shared" si="32"/>
        <v>19831000</v>
      </c>
      <c r="O64" s="37">
        <f t="shared" si="32"/>
        <v>27706000</v>
      </c>
      <c r="P64" s="36">
        <f ca="1">P65*P47</f>
        <v>24448954.724532619</v>
      </c>
      <c r="Q64" s="36">
        <f t="shared" ref="Q64:T64" ca="1" si="33">Q65*Q47</f>
        <v>31368008.911575347</v>
      </c>
      <c r="R64" s="36">
        <f t="shared" ca="1" si="33"/>
        <v>40684307.558313228</v>
      </c>
      <c r="S64" s="36">
        <f t="shared" ca="1" si="33"/>
        <v>52808231.210690573</v>
      </c>
      <c r="T64" s="36">
        <f t="shared" ca="1" si="33"/>
        <v>68228234.724212214</v>
      </c>
    </row>
    <row r="65" spans="2:20" x14ac:dyDescent="0.25">
      <c r="B65" s="15" t="s">
        <v>17</v>
      </c>
      <c r="F65" s="32">
        <f>F64/F$24</f>
        <v>0.32061517080634055</v>
      </c>
      <c r="G65" s="32">
        <f t="shared" ref="G65" si="34">G64/G$24</f>
        <v>2.1531359746275916E-2</v>
      </c>
      <c r="H65" s="32">
        <f t="shared" ref="H65" si="35">H64/H$24</f>
        <v>1.812521121938197E-2</v>
      </c>
      <c r="I65" s="32">
        <f t="shared" ref="I65" si="36">I64/I$24</f>
        <v>2.2633791083091256E-2</v>
      </c>
      <c r="J65" s="32">
        <f t="shared" ref="J65" si="37">J64/J$24</f>
        <v>2.332300514891306E-2</v>
      </c>
      <c r="K65" s="32">
        <f t="shared" ref="K65" si="38">K64/K$24</f>
        <v>2.6402357799622907E-2</v>
      </c>
      <c r="L65" s="32">
        <f t="shared" ref="L65" si="39">L64/L$24</f>
        <v>4.7900873556137855E-2</v>
      </c>
      <c r="M65" s="32">
        <f t="shared" ref="M65" si="40">M64/M$24</f>
        <v>6.3520875965391424E-2</v>
      </c>
      <c r="N65" s="32">
        <f t="shared" ref="N65" si="41">N64/N$24</f>
        <v>0.10441160210813401</v>
      </c>
      <c r="O65" s="32">
        <f t="shared" ref="O65" si="42">O64/O$24</f>
        <v>0.10019383489317384</v>
      </c>
      <c r="P65" s="48">
        <f>P36</f>
        <v>6.8485908864492004E-2</v>
      </c>
      <c r="Q65" s="48">
        <f t="shared" ref="Q65:T65" si="43">Q36</f>
        <v>6.8485908864492004E-2</v>
      </c>
      <c r="R65" s="48">
        <f t="shared" si="43"/>
        <v>6.8485908864492004E-2</v>
      </c>
      <c r="S65" s="48">
        <f t="shared" si="43"/>
        <v>6.8485908864492004E-2</v>
      </c>
      <c r="T65" s="48">
        <f t="shared" si="43"/>
        <v>6.8485908864492004E-2</v>
      </c>
    </row>
    <row r="67" spans="2:20" x14ac:dyDescent="0.25">
      <c r="B67" s="6" t="s">
        <v>22</v>
      </c>
      <c r="F67" s="37">
        <f>F38</f>
        <v>-30151</v>
      </c>
      <c r="G67" s="37">
        <f t="shared" ref="G67:O67" si="44">G38</f>
        <v>851024</v>
      </c>
      <c r="H67" s="37">
        <f t="shared" si="44"/>
        <v>1567023</v>
      </c>
      <c r="I67" s="37">
        <f t="shared" si="44"/>
        <v>2473187</v>
      </c>
      <c r="J67" s="37">
        <f t="shared" si="44"/>
        <v>6401191</v>
      </c>
      <c r="K67" s="37">
        <f t="shared" si="44"/>
        <v>7363052</v>
      </c>
      <c r="L67" s="37">
        <f t="shared" si="44"/>
        <v>7225322</v>
      </c>
      <c r="M67" s="37">
        <f t="shared" si="44"/>
        <v>6045602</v>
      </c>
      <c r="N67" s="37">
        <f t="shared" si="44"/>
        <v>12591000</v>
      </c>
      <c r="O67" s="37">
        <f t="shared" si="44"/>
        <v>17826000</v>
      </c>
      <c r="P67" s="36">
        <f ca="1">P68*P47</f>
        <v>23311360.9935004</v>
      </c>
      <c r="Q67" s="36">
        <f t="shared" ref="Q67:T67" ca="1" si="45">Q68*Q47</f>
        <v>29908476.154661007</v>
      </c>
      <c r="R67" s="36">
        <f t="shared" ca="1" si="45"/>
        <v>38791293.572595336</v>
      </c>
      <c r="S67" s="36">
        <f t="shared" ca="1" si="45"/>
        <v>50351099.057228744</v>
      </c>
      <c r="T67" s="36">
        <f t="shared" ca="1" si="45"/>
        <v>65053619.981939532</v>
      </c>
    </row>
    <row r="68" spans="2:20" x14ac:dyDescent="0.25">
      <c r="B68" s="15" t="s">
        <v>17</v>
      </c>
      <c r="F68" s="32">
        <f>F67/F$24</f>
        <v>-9.3952056437917354E-3</v>
      </c>
      <c r="G68" s="32">
        <f t="shared" ref="G68" si="46">G67/G$24</f>
        <v>2.9684205584289202E-2</v>
      </c>
      <c r="H68" s="32">
        <f t="shared" ref="H68" si="47">H67/H$24</f>
        <v>3.6212869758708896E-2</v>
      </c>
      <c r="I68" s="32">
        <f t="shared" ref="I68" si="48">I67/I$24</f>
        <v>3.9323117314376606E-2</v>
      </c>
      <c r="J68" s="32">
        <f t="shared" ref="J68" si="49">J67/J$24</f>
        <v>7.4058407721864408E-2</v>
      </c>
      <c r="K68" s="32">
        <f t="shared" ref="K68" si="50">K67/K$24</f>
        <v>7.5515809178897678E-2</v>
      </c>
      <c r="L68" s="32">
        <f t="shared" ref="L68" si="51">L67/L$24</f>
        <v>6.5025213629130968E-2</v>
      </c>
      <c r="M68" s="32">
        <f t="shared" ref="M68" si="52">M67/M$24</f>
        <v>5.5198437797806206E-2</v>
      </c>
      <c r="N68" s="32">
        <f t="shared" ref="N68" si="53">N67/N$24</f>
        <v>6.6292495695805323E-2</v>
      </c>
      <c r="O68" s="32">
        <f t="shared" ref="O68" si="54">O67/O$24</f>
        <v>6.4464567270833634E-2</v>
      </c>
      <c r="P68" s="48">
        <f>P39</f>
        <v>6.5299304714494771E-2</v>
      </c>
      <c r="Q68" s="48">
        <f t="shared" ref="Q68:T68" si="55">Q39</f>
        <v>6.5299304714494771E-2</v>
      </c>
      <c r="R68" s="48">
        <f t="shared" si="55"/>
        <v>6.5299304714494771E-2</v>
      </c>
      <c r="S68" s="48">
        <f t="shared" si="55"/>
        <v>6.5299304714494771E-2</v>
      </c>
      <c r="T68" s="48">
        <f t="shared" si="55"/>
        <v>6.5299304714494771E-2</v>
      </c>
    </row>
    <row r="70" spans="2:20" x14ac:dyDescent="0.25">
      <c r="B70" s="6" t="s">
        <v>23</v>
      </c>
      <c r="F70" s="37">
        <f>F41</f>
        <v>-1144041</v>
      </c>
      <c r="G70" s="37">
        <f t="shared" ref="G70:O70" si="56">G41</f>
        <v>-695666</v>
      </c>
      <c r="H70" s="37">
        <f t="shared" si="56"/>
        <v>3037984</v>
      </c>
      <c r="I70" s="37">
        <f t="shared" si="56"/>
        <v>-5536942</v>
      </c>
      <c r="J70" s="37">
        <f t="shared" si="56"/>
        <v>548874</v>
      </c>
      <c r="K70" s="37">
        <f t="shared" si="56"/>
        <v>3543421</v>
      </c>
      <c r="L70" s="37">
        <f t="shared" si="56"/>
        <v>-1095212</v>
      </c>
      <c r="M70" s="37">
        <f t="shared" si="56"/>
        <v>-4901662</v>
      </c>
      <c r="N70" s="37">
        <f t="shared" si="56"/>
        <v>-895944</v>
      </c>
      <c r="O70" s="37">
        <f t="shared" si="56"/>
        <v>4235000</v>
      </c>
      <c r="P70" s="40">
        <f ca="1">P71*P47</f>
        <v>-547694.95825726353</v>
      </c>
      <c r="Q70" s="40">
        <f t="shared" ref="Q70:T70" ca="1" si="57">Q71*Q47</f>
        <v>-702692.63144406897</v>
      </c>
      <c r="R70" s="40">
        <f t="shared" ca="1" si="57"/>
        <v>-911392.34298295761</v>
      </c>
      <c r="S70" s="40">
        <f t="shared" ca="1" si="57"/>
        <v>-1182987.2611918789</v>
      </c>
      <c r="T70" s="40">
        <f t="shared" ca="1" si="57"/>
        <v>-1528419.5414599078</v>
      </c>
    </row>
    <row r="71" spans="2:20" x14ac:dyDescent="0.25">
      <c r="B71" s="15" t="s">
        <v>17</v>
      </c>
      <c r="F71" s="32">
        <f>F70/F$24</f>
        <v>-0.35648902059398163</v>
      </c>
      <c r="G71" s="32">
        <f t="shared" ref="G71" si="58">G70/G$24</f>
        <v>-2.4265229373084816E-2</v>
      </c>
      <c r="H71" s="32">
        <f t="shared" ref="H71" si="59">H70/H$24</f>
        <v>7.0205809947295916E-2</v>
      </c>
      <c r="I71" s="32">
        <f t="shared" ref="I71" si="60">I70/I$24</f>
        <v>-8.803613306591819E-2</v>
      </c>
      <c r="J71" s="32">
        <f t="shared" ref="J71" si="61">J70/J$24</f>
        <v>6.3501830331153374E-3</v>
      </c>
      <c r="K71" s="32">
        <f t="shared" ref="K71" si="62">K70/K$24</f>
        <v>3.6341493184687379E-2</v>
      </c>
      <c r="L71" s="32">
        <f t="shared" ref="L71" si="63">L70/L$24</f>
        <v>-9.8565011039214272E-3</v>
      </c>
      <c r="M71" s="32">
        <f t="shared" ref="M71" si="64">M70/M$24</f>
        <v>-4.4753869840070577E-2</v>
      </c>
      <c r="N71" s="32">
        <f t="shared" ref="N71" si="65">N70/N$24</f>
        <v>-4.7172078281059963E-3</v>
      </c>
      <c r="O71" s="32">
        <f t="shared" ref="O71" si="66">O70/O$24</f>
        <v>1.5315126354312826E-2</v>
      </c>
      <c r="P71" s="48">
        <f>P42</f>
        <v>-1.5341918466195595E-3</v>
      </c>
      <c r="Q71" s="48">
        <f t="shared" ref="Q71:T71" si="67">Q42</f>
        <v>-1.5341918466195595E-3</v>
      </c>
      <c r="R71" s="48">
        <f t="shared" si="67"/>
        <v>-1.5341918466195595E-3</v>
      </c>
      <c r="S71" s="48">
        <f t="shared" si="67"/>
        <v>-1.5341918466195595E-3</v>
      </c>
      <c r="T71" s="48">
        <f t="shared" si="67"/>
        <v>-1.5341918466195595E-3</v>
      </c>
    </row>
    <row r="72" spans="2:20" x14ac:dyDescent="0.25">
      <c r="B72" s="15"/>
    </row>
    <row r="73" spans="2:20" x14ac:dyDescent="0.25">
      <c r="B73" s="42" t="s">
        <v>182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5">
        <f ca="1">P62+P64-P67-P70</f>
        <v>69459771.983942017</v>
      </c>
      <c r="Q73" s="45">
        <f t="shared" ref="Q73:T73" ca="1" si="68">Q62+Q64-Q67-Q70</f>
        <v>97812353.662101537</v>
      </c>
      <c r="R73" s="45">
        <f t="shared" ca="1" si="68"/>
        <v>144083191.93733919</v>
      </c>
      <c r="S73" s="45">
        <f t="shared" ca="1" si="68"/>
        <v>209372282.00506255</v>
      </c>
      <c r="T73" s="47">
        <f t="shared" ca="1" si="68"/>
        <v>299388158.49109298</v>
      </c>
    </row>
    <row r="74" spans="2:20" x14ac:dyDescent="0.25">
      <c r="B74" s="44" t="s">
        <v>183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61">
        <f ca="1">DCF!P73/(1+wacc)^DCF!P77</f>
        <v>67857730.52454409</v>
      </c>
      <c r="Q74" s="61">
        <f ca="1">DCF!Q73/(1+wacc)^DCF!Q77</f>
        <v>89095879.479195952</v>
      </c>
      <c r="R74" s="61">
        <f ca="1">DCF!R73/(1+wacc)^DCF!R77</f>
        <v>119547676.70616241</v>
      </c>
      <c r="S74" s="61">
        <f ca="1">DCF!S73/(1+wacc)^DCF!S77</f>
        <v>158238047.55500698</v>
      </c>
      <c r="T74" s="62">
        <f ca="1">DCF!T73/(1+wacc)^DCF!T77</f>
        <v>206105821.07402956</v>
      </c>
    </row>
    <row r="76" spans="2:20" x14ac:dyDescent="0.25">
      <c r="B76" s="6" t="s">
        <v>184</v>
      </c>
      <c r="P76" s="6">
        <f>YEARFRAC(D5,D6)</f>
        <v>0.5</v>
      </c>
    </row>
    <row r="77" spans="2:20" x14ac:dyDescent="0.25">
      <c r="B77" s="6" t="s">
        <v>185</v>
      </c>
      <c r="P77" s="6">
        <f>P76/2</f>
        <v>0.25</v>
      </c>
      <c r="Q77" s="6">
        <f>P76+0.5</f>
        <v>1</v>
      </c>
      <c r="R77" s="6">
        <f>Q77+1</f>
        <v>2</v>
      </c>
      <c r="S77" s="6">
        <f t="shared" ref="S77:T77" si="69">R77+1</f>
        <v>3</v>
      </c>
      <c r="T77" s="6">
        <f t="shared" si="69"/>
        <v>4</v>
      </c>
    </row>
    <row r="79" spans="2:20" x14ac:dyDescent="0.25">
      <c r="B79" s="6" t="s">
        <v>186</v>
      </c>
      <c r="T79" s="40">
        <f ca="1">(T73*(1+tgr))/(wacc-tgr)</f>
        <v>4213404578.6584334</v>
      </c>
    </row>
    <row r="80" spans="2:20" x14ac:dyDescent="0.25">
      <c r="B80" s="6" t="s">
        <v>187</v>
      </c>
      <c r="T80" s="40">
        <f ca="1">T79/(1+wacc)^T77</f>
        <v>2900606405.3375306</v>
      </c>
    </row>
    <row r="82" spans="1:24" x14ac:dyDescent="0.25">
      <c r="B82" t="s">
        <v>188</v>
      </c>
      <c r="C82"/>
      <c r="T82" s="63">
        <f ca="1">SUM(P74:T74,T80)</f>
        <v>3541451560.6764698</v>
      </c>
    </row>
    <row r="83" spans="1:24" x14ac:dyDescent="0.25">
      <c r="B83" t="s">
        <v>189</v>
      </c>
      <c r="C83"/>
      <c r="T83" s="63">
        <f>Sundry!M11</f>
        <v>72747000</v>
      </c>
    </row>
    <row r="84" spans="1:24" x14ac:dyDescent="0.25">
      <c r="B84" t="s">
        <v>190</v>
      </c>
      <c r="C84"/>
      <c r="T84" s="63">
        <f>Sundry!M67</f>
        <v>36409000</v>
      </c>
    </row>
    <row r="85" spans="1:24" x14ac:dyDescent="0.25">
      <c r="B85" t="s">
        <v>191</v>
      </c>
      <c r="C85"/>
      <c r="T85" s="63">
        <f ca="1">T82+T83-T84</f>
        <v>3577789560.6764698</v>
      </c>
    </row>
    <row r="86" spans="1:24" x14ac:dyDescent="0.25">
      <c r="B86"/>
      <c r="C86"/>
      <c r="T86" s="6" t="s">
        <v>209</v>
      </c>
    </row>
    <row r="87" spans="1:24" x14ac:dyDescent="0.25">
      <c r="B87" t="s">
        <v>192</v>
      </c>
      <c r="C87"/>
      <c r="T87" s="63">
        <v>82861000</v>
      </c>
    </row>
    <row r="88" spans="1:24" x14ac:dyDescent="0.25">
      <c r="B88" t="s">
        <v>193</v>
      </c>
      <c r="C88"/>
      <c r="T88" s="64">
        <f ca="1">T85/T87</f>
        <v>43.17820881568494</v>
      </c>
    </row>
    <row r="90" spans="1:24" ht="17.25" x14ac:dyDescent="0.3">
      <c r="A90" s="5" t="s">
        <v>3</v>
      </c>
      <c r="B90" s="7" t="s">
        <v>210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5.0999999999999996" customHeight="1" x14ac:dyDescent="0.25"/>
    <row r="92" spans="1:24" x14ac:dyDescent="0.25">
      <c r="B92" s="77"/>
      <c r="C92" s="78"/>
      <c r="D92" s="85" t="s">
        <v>12</v>
      </c>
      <c r="E92" s="85"/>
      <c r="F92" s="85"/>
      <c r="G92" s="85"/>
      <c r="H92" s="86"/>
    </row>
    <row r="93" spans="1:24" x14ac:dyDescent="0.25">
      <c r="B93" s="79"/>
      <c r="C93" s="89">
        <f ca="1">$T$88</f>
        <v>43.17820881568494</v>
      </c>
      <c r="D93" s="87">
        <f>E93-0.25%</f>
        <v>2.0000000000000004E-2</v>
      </c>
      <c r="E93" s="87">
        <f>F93-0.25%</f>
        <v>2.2500000000000003E-2</v>
      </c>
      <c r="F93" s="87">
        <f>2.5%</f>
        <v>2.5000000000000001E-2</v>
      </c>
      <c r="G93" s="87">
        <f>F93+0.25%</f>
        <v>2.75E-2</v>
      </c>
      <c r="H93" s="88">
        <f>G93+0.25%</f>
        <v>0.03</v>
      </c>
    </row>
    <row r="94" spans="1:24" x14ac:dyDescent="0.25">
      <c r="B94" s="80" t="s">
        <v>11</v>
      </c>
      <c r="C94" s="81">
        <f>C95-0.5%</f>
        <v>0.09</v>
      </c>
      <c r="D94" s="68">
        <f t="dataTable" ref="D94:H98" dt2D="1" dtr="1" r1="F20" r2="F19" ca="1"/>
        <v>45.61383036869794</v>
      </c>
      <c r="E94" s="69">
        <v>47.090023399767723</v>
      </c>
      <c r="F94" s="69">
        <v>48.679769740919802</v>
      </c>
      <c r="G94" s="69">
        <v>50.396695789364053</v>
      </c>
      <c r="H94" s="70">
        <v>52.256699008511994</v>
      </c>
    </row>
    <row r="95" spans="1:24" x14ac:dyDescent="0.25">
      <c r="B95" s="82"/>
      <c r="C95" s="81">
        <f>C96-0.5%</f>
        <v>9.5000000000000001E-2</v>
      </c>
      <c r="D95" s="71">
        <v>42.403591657680913</v>
      </c>
      <c r="E95" s="72">
        <v>43.668860547778635</v>
      </c>
      <c r="F95" s="72">
        <v>45.024505787169026</v>
      </c>
      <c r="G95" s="72">
        <v>46.480569192440228</v>
      </c>
      <c r="H95" s="73">
        <v>48.048637475039953</v>
      </c>
    </row>
    <row r="96" spans="1:24" x14ac:dyDescent="0.25">
      <c r="B96" s="82"/>
      <c r="C96" s="81">
        <v>0.1</v>
      </c>
      <c r="D96" s="71">
        <v>39.598225293497528</v>
      </c>
      <c r="E96" s="72">
        <v>40.692823450151181</v>
      </c>
      <c r="F96" s="72">
        <v>41.860394817248391</v>
      </c>
      <c r="G96" s="72">
        <v>43.108488347593713</v>
      </c>
      <c r="H96" s="73">
        <v>44.445731415820831</v>
      </c>
    </row>
    <row r="97" spans="2:8" x14ac:dyDescent="0.25">
      <c r="B97" s="82"/>
      <c r="C97" s="81">
        <f>C96+0.5%</f>
        <v>0.10500000000000001</v>
      </c>
      <c r="D97" s="71">
        <v>37.126211849509751</v>
      </c>
      <c r="E97" s="72">
        <v>38.080907071605239</v>
      </c>
      <c r="F97" s="72">
        <v>39.095270745081685</v>
      </c>
      <c r="G97" s="72">
        <v>40.175077236201787</v>
      </c>
      <c r="H97" s="73">
        <v>41.326870826729888</v>
      </c>
    </row>
    <row r="98" spans="2:8" x14ac:dyDescent="0.25">
      <c r="B98" s="83"/>
      <c r="C98" s="84">
        <f>C97+0.5%</f>
        <v>0.11000000000000001</v>
      </c>
      <c r="D98" s="74">
        <v>34.931926832475746</v>
      </c>
      <c r="E98" s="75">
        <v>35.770623579551511</v>
      </c>
      <c r="F98" s="75">
        <v>36.658655429396426</v>
      </c>
      <c r="G98" s="75">
        <v>37.600507391353162</v>
      </c>
      <c r="H98" s="76">
        <v>38.60122510093219</v>
      </c>
    </row>
  </sheetData>
  <mergeCells count="1">
    <mergeCell ref="B94:B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A3CB-4AEB-493D-9617-4CC689A751E6}">
  <dimension ref="A2:F23"/>
  <sheetViews>
    <sheetView showGridLines="0" zoomScale="115" zoomScaleNormal="115" workbookViewId="0">
      <selection activeCell="H9" sqref="H9"/>
    </sheetView>
  </sheetViews>
  <sheetFormatPr defaultRowHeight="15" x14ac:dyDescent="0.25"/>
  <cols>
    <col min="1" max="1" width="5.7109375" style="52" customWidth="1"/>
  </cols>
  <sheetData>
    <row r="2" spans="1:6" s="41" customFormat="1" ht="21" x14ac:dyDescent="0.35">
      <c r="A2" s="51"/>
      <c r="B2" s="1" t="s">
        <v>11</v>
      </c>
    </row>
    <row r="4" spans="1:6" x14ac:dyDescent="0.25">
      <c r="B4" t="s">
        <v>207</v>
      </c>
    </row>
    <row r="5" spans="1:6" x14ac:dyDescent="0.25">
      <c r="B5" t="s">
        <v>208</v>
      </c>
    </row>
    <row r="7" spans="1:6" x14ac:dyDescent="0.25">
      <c r="A7" s="52" t="s">
        <v>3</v>
      </c>
      <c r="B7" s="53" t="s">
        <v>11</v>
      </c>
      <c r="C7" s="54"/>
      <c r="D7" s="54"/>
      <c r="E7" s="54"/>
      <c r="F7" s="54"/>
    </row>
    <row r="8" spans="1:6" ht="5.0999999999999996" customHeight="1" x14ac:dyDescent="0.25"/>
    <row r="9" spans="1:6" x14ac:dyDescent="0.25">
      <c r="B9" t="s">
        <v>196</v>
      </c>
      <c r="F9" s="58">
        <v>3813</v>
      </c>
    </row>
    <row r="10" spans="1:6" x14ac:dyDescent="0.25">
      <c r="B10" t="s">
        <v>197</v>
      </c>
      <c r="F10" s="57">
        <f>F9/F21</f>
        <v>0.99054166496727158</v>
      </c>
    </row>
    <row r="11" spans="1:6" x14ac:dyDescent="0.25">
      <c r="B11" t="s">
        <v>198</v>
      </c>
      <c r="F11" s="57">
        <f>F12+F13*F14</f>
        <v>9.8603999999999997E-2</v>
      </c>
    </row>
    <row r="12" spans="1:6" x14ac:dyDescent="0.25">
      <c r="B12" t="s">
        <v>199</v>
      </c>
      <c r="F12" s="55">
        <v>4.4549999999999999E-2</v>
      </c>
    </row>
    <row r="13" spans="1:6" x14ac:dyDescent="0.25">
      <c r="B13" t="s">
        <v>200</v>
      </c>
      <c r="F13" s="56">
        <v>0.91</v>
      </c>
    </row>
    <row r="14" spans="1:6" x14ac:dyDescent="0.25">
      <c r="B14" t="s">
        <v>201</v>
      </c>
      <c r="F14" s="55">
        <v>5.9400000000000001E-2</v>
      </c>
    </row>
    <row r="16" spans="1:6" x14ac:dyDescent="0.25">
      <c r="B16" t="s">
        <v>202</v>
      </c>
      <c r="F16" s="59">
        <v>36.408999999999999</v>
      </c>
    </row>
    <row r="17" spans="2:6" x14ac:dyDescent="0.25">
      <c r="B17" t="s">
        <v>203</v>
      </c>
      <c r="F17" s="57">
        <f>1-F10</f>
        <v>9.4583350327284155E-3</v>
      </c>
    </row>
    <row r="18" spans="2:6" x14ac:dyDescent="0.25">
      <c r="B18" t="s">
        <v>204</v>
      </c>
      <c r="F18" s="55">
        <v>0.02</v>
      </c>
    </row>
    <row r="19" spans="2:6" x14ac:dyDescent="0.25">
      <c r="B19" t="s">
        <v>205</v>
      </c>
      <c r="F19" s="55">
        <f>DCF!O60</f>
        <v>0.14812117477346257</v>
      </c>
    </row>
    <row r="21" spans="2:6" x14ac:dyDescent="0.25">
      <c r="B21" t="s">
        <v>206</v>
      </c>
      <c r="F21" s="58">
        <f>F9+F16</f>
        <v>3849.4090000000001</v>
      </c>
    </row>
    <row r="23" spans="2:6" x14ac:dyDescent="0.25">
      <c r="B23" t="s">
        <v>11</v>
      </c>
      <c r="F23" s="57">
        <f>F10*F11+F17*F18*(1-F19)</f>
        <v>9.7832517439158426E-2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62B1-8E16-48C6-884F-8C647CE19E25}">
  <dimension ref="A1:M25"/>
  <sheetViews>
    <sheetView workbookViewId="0">
      <selection activeCell="C4" sqref="C4"/>
    </sheetView>
  </sheetViews>
  <sheetFormatPr defaultRowHeight="15" x14ac:dyDescent="0.25"/>
  <cols>
    <col min="1" max="1" width="9.42578125" bestFit="1" customWidth="1"/>
    <col min="2" max="2" width="15.140625" bestFit="1" customWidth="1"/>
    <col min="3" max="3" width="34" bestFit="1" customWidth="1"/>
    <col min="4" max="9" width="13.5703125" bestFit="1" customWidth="1"/>
    <col min="10" max="11" width="13.85546875" bestFit="1" customWidth="1"/>
    <col min="12" max="13" width="14.5703125" bestFit="1" customWidth="1"/>
  </cols>
  <sheetData>
    <row r="1" spans="1:13" x14ac:dyDescent="0.25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  <c r="J1" s="18" t="s">
        <v>35</v>
      </c>
      <c r="K1" s="18" t="s">
        <v>36</v>
      </c>
      <c r="L1" s="18" t="s">
        <v>37</v>
      </c>
      <c r="M1" s="18" t="s">
        <v>38</v>
      </c>
    </row>
    <row r="2" spans="1:13" x14ac:dyDescent="0.25">
      <c r="A2" t="s">
        <v>39</v>
      </c>
      <c r="B2" t="s">
        <v>40</v>
      </c>
      <c r="C2" t="s">
        <v>123</v>
      </c>
      <c r="D2" s="19">
        <v>3209190</v>
      </c>
      <c r="E2" s="19">
        <v>28669253</v>
      </c>
      <c r="F2" s="19">
        <v>43272544</v>
      </c>
      <c r="G2" s="19">
        <v>61968564</v>
      </c>
      <c r="H2" s="19">
        <v>84050509</v>
      </c>
      <c r="I2" s="19">
        <v>96358115</v>
      </c>
      <c r="J2" s="19">
        <v>110265071</v>
      </c>
      <c r="K2" s="19">
        <v>107956897</v>
      </c>
      <c r="L2" s="19">
        <v>189508000</v>
      </c>
      <c r="M2" s="19">
        <v>276307000</v>
      </c>
    </row>
    <row r="3" spans="1:13" x14ac:dyDescent="0.25">
      <c r="A3" t="s">
        <v>39</v>
      </c>
      <c r="B3" t="s">
        <v>40</v>
      </c>
      <c r="C3" t="s">
        <v>124</v>
      </c>
      <c r="D3" s="19">
        <v>0</v>
      </c>
      <c r="E3" s="19">
        <v>0</v>
      </c>
      <c r="F3" s="19">
        <v>0</v>
      </c>
      <c r="G3" s="19">
        <v>925407</v>
      </c>
      <c r="H3" s="19">
        <v>2383850</v>
      </c>
      <c r="I3" s="19">
        <v>1145336</v>
      </c>
      <c r="J3" s="19">
        <v>850627</v>
      </c>
      <c r="K3" s="19">
        <v>1567978</v>
      </c>
      <c r="L3" s="19">
        <v>423000</v>
      </c>
      <c r="M3" s="19">
        <v>217000</v>
      </c>
    </row>
    <row r="4" spans="1:13" x14ac:dyDescent="0.25">
      <c r="A4" t="s">
        <v>39</v>
      </c>
      <c r="B4" t="s">
        <v>40</v>
      </c>
      <c r="C4" t="s">
        <v>125</v>
      </c>
      <c r="D4" s="19">
        <v>3209190</v>
      </c>
      <c r="E4" s="19">
        <v>28669253</v>
      </c>
      <c r="F4" s="19">
        <v>43272544</v>
      </c>
      <c r="G4" s="19">
        <v>62893971</v>
      </c>
      <c r="H4" s="19">
        <v>86434359</v>
      </c>
      <c r="I4" s="19">
        <v>97503451</v>
      </c>
      <c r="J4" s="19">
        <v>111115698</v>
      </c>
      <c r="K4" s="19">
        <v>109524875</v>
      </c>
      <c r="L4" s="19">
        <v>189931000</v>
      </c>
      <c r="M4" s="19">
        <v>276524000</v>
      </c>
    </row>
    <row r="5" spans="1:13" x14ac:dyDescent="0.25">
      <c r="A5" t="s">
        <v>39</v>
      </c>
      <c r="B5" t="s">
        <v>40</v>
      </c>
      <c r="C5" t="s">
        <v>126</v>
      </c>
      <c r="D5" s="19">
        <v>-10872990</v>
      </c>
      <c r="E5" s="19">
        <v>-34037257</v>
      </c>
      <c r="F5" s="19">
        <v>-45570907</v>
      </c>
      <c r="G5" s="19">
        <v>-58690765</v>
      </c>
      <c r="H5" s="19">
        <v>-74820880</v>
      </c>
      <c r="I5" s="19">
        <v>-85724118</v>
      </c>
      <c r="J5" s="19">
        <v>-91058858</v>
      </c>
      <c r="K5" s="19">
        <v>-79909492</v>
      </c>
      <c r="L5" s="19">
        <v>-119463000</v>
      </c>
      <c r="M5" s="19">
        <v>-177590000</v>
      </c>
    </row>
    <row r="6" spans="1:13" x14ac:dyDescent="0.25">
      <c r="A6" t="s">
        <v>39</v>
      </c>
      <c r="B6" t="s">
        <v>40</v>
      </c>
      <c r="C6" t="s">
        <v>127</v>
      </c>
      <c r="D6" s="19">
        <v>-7663800</v>
      </c>
      <c r="E6" s="19">
        <v>-5368004</v>
      </c>
      <c r="F6" s="19">
        <v>-2298363</v>
      </c>
      <c r="G6" s="19">
        <v>4203206</v>
      </c>
      <c r="H6" s="19">
        <v>11613479</v>
      </c>
      <c r="I6" s="19">
        <v>11779333</v>
      </c>
      <c r="J6" s="19">
        <v>20056840</v>
      </c>
      <c r="K6" s="19">
        <v>29615383</v>
      </c>
      <c r="L6" s="19">
        <v>70468000</v>
      </c>
      <c r="M6" s="19">
        <v>98934000</v>
      </c>
    </row>
    <row r="7" spans="1:13" x14ac:dyDescent="0.25">
      <c r="A7" t="s">
        <v>39</v>
      </c>
      <c r="B7" t="s">
        <v>40</v>
      </c>
      <c r="C7" t="s">
        <v>61</v>
      </c>
      <c r="D7" s="19">
        <v>-53718</v>
      </c>
      <c r="E7" s="19">
        <v>-57016</v>
      </c>
      <c r="F7" s="19">
        <v>-78982</v>
      </c>
      <c r="G7" s="19">
        <v>-325683</v>
      </c>
      <c r="H7" s="19">
        <v>-576097</v>
      </c>
      <c r="I7" s="19">
        <v>-714864</v>
      </c>
      <c r="J7" s="19">
        <v>-2490282</v>
      </c>
      <c r="K7" s="19">
        <v>-2850955</v>
      </c>
      <c r="L7" s="19">
        <v>-4099000</v>
      </c>
      <c r="M7" s="19">
        <v>-5481000</v>
      </c>
    </row>
    <row r="8" spans="1:13" x14ac:dyDescent="0.25">
      <c r="A8" t="s">
        <v>39</v>
      </c>
      <c r="B8" t="s">
        <v>40</v>
      </c>
      <c r="C8" t="s">
        <v>57</v>
      </c>
      <c r="D8" s="19">
        <v>-975197</v>
      </c>
      <c r="E8" s="19">
        <v>-560272</v>
      </c>
      <c r="F8" s="19">
        <v>-705342</v>
      </c>
      <c r="G8" s="19">
        <v>-1097846</v>
      </c>
      <c r="H8" s="19">
        <v>-1439812</v>
      </c>
      <c r="I8" s="19">
        <v>-1859457</v>
      </c>
      <c r="J8" s="19">
        <v>-2832257</v>
      </c>
      <c r="K8" s="19">
        <v>-4106161</v>
      </c>
      <c r="L8" s="19">
        <v>-15732000</v>
      </c>
      <c r="M8" s="19">
        <v>-22225000</v>
      </c>
    </row>
    <row r="9" spans="1:13" x14ac:dyDescent="0.25">
      <c r="A9" t="s">
        <v>39</v>
      </c>
      <c r="B9" t="s">
        <v>40</v>
      </c>
      <c r="C9" t="s">
        <v>128</v>
      </c>
      <c r="D9" s="19">
        <v>-1028915</v>
      </c>
      <c r="E9" s="19">
        <v>-617288</v>
      </c>
      <c r="F9" s="19">
        <v>-784324</v>
      </c>
      <c r="G9" s="19">
        <v>-1423529</v>
      </c>
      <c r="H9" s="19">
        <v>-2015909</v>
      </c>
      <c r="I9" s="19">
        <v>-2574321</v>
      </c>
      <c r="J9" s="19">
        <v>-5322539</v>
      </c>
      <c r="K9" s="19">
        <v>-6957116</v>
      </c>
      <c r="L9" s="19">
        <v>-19831000</v>
      </c>
      <c r="M9" s="19">
        <v>-27706000</v>
      </c>
    </row>
    <row r="10" spans="1:13" x14ac:dyDescent="0.25">
      <c r="A10" t="s">
        <v>39</v>
      </c>
      <c r="B10" t="s">
        <v>40</v>
      </c>
      <c r="C10" t="s">
        <v>10</v>
      </c>
      <c r="D10" s="19">
        <v>-8692715</v>
      </c>
      <c r="E10" s="19">
        <v>-5985292</v>
      </c>
      <c r="F10" s="19">
        <v>-3082687</v>
      </c>
      <c r="G10" s="19">
        <v>2779677</v>
      </c>
      <c r="H10" s="19">
        <v>9597570</v>
      </c>
      <c r="I10" s="19">
        <v>9205012</v>
      </c>
      <c r="J10" s="19">
        <v>14734301</v>
      </c>
      <c r="K10" s="19">
        <v>22658267</v>
      </c>
      <c r="L10" s="19">
        <v>50637000</v>
      </c>
      <c r="M10" s="19">
        <v>71228000</v>
      </c>
    </row>
    <row r="11" spans="1:13" x14ac:dyDescent="0.25">
      <c r="A11" t="s">
        <v>39</v>
      </c>
      <c r="B11" t="s">
        <v>40</v>
      </c>
      <c r="C11" t="s">
        <v>129</v>
      </c>
      <c r="D11" s="19">
        <v>535391</v>
      </c>
      <c r="E11" s="19">
        <v>634929</v>
      </c>
      <c r="F11" s="19">
        <v>383962</v>
      </c>
      <c r="G11" s="19">
        <v>875289</v>
      </c>
      <c r="H11" s="19">
        <v>560475</v>
      </c>
      <c r="I11" s="19">
        <v>1164132</v>
      </c>
      <c r="J11" s="19">
        <v>944510</v>
      </c>
      <c r="K11" s="19">
        <v>855679</v>
      </c>
      <c r="L11" s="19">
        <v>1472000</v>
      </c>
      <c r="M11" s="19">
        <v>2102000</v>
      </c>
    </row>
    <row r="12" spans="1:13" x14ac:dyDescent="0.25">
      <c r="A12" t="s">
        <v>39</v>
      </c>
      <c r="B12" t="s">
        <v>40</v>
      </c>
      <c r="C12" t="s">
        <v>130</v>
      </c>
      <c r="D12" s="19">
        <v>0</v>
      </c>
      <c r="E12" s="19">
        <v>0</v>
      </c>
      <c r="F12" s="19">
        <v>0</v>
      </c>
      <c r="G12" s="19">
        <v>-387886</v>
      </c>
      <c r="H12" s="19">
        <v>0</v>
      </c>
      <c r="I12" s="19">
        <v>0</v>
      </c>
      <c r="J12" s="19">
        <v>-204408</v>
      </c>
      <c r="K12" s="19">
        <v>-210955</v>
      </c>
      <c r="L12" s="19">
        <v>-778000</v>
      </c>
      <c r="M12" s="19">
        <v>-1929000</v>
      </c>
    </row>
    <row r="13" spans="1:13" x14ac:dyDescent="0.25">
      <c r="A13" t="s">
        <v>39</v>
      </c>
      <c r="B13" t="s">
        <v>40</v>
      </c>
      <c r="C13" t="s">
        <v>131</v>
      </c>
      <c r="D13" s="19">
        <v>535391</v>
      </c>
      <c r="E13" s="19">
        <v>634929</v>
      </c>
      <c r="F13" s="19">
        <v>383962</v>
      </c>
      <c r="G13" s="19">
        <v>487403</v>
      </c>
      <c r="H13" s="19">
        <v>560475</v>
      </c>
      <c r="I13" s="19">
        <v>1164132</v>
      </c>
      <c r="J13" s="19">
        <v>740102</v>
      </c>
      <c r="K13" s="19">
        <v>644724</v>
      </c>
      <c r="L13" s="19">
        <v>694000</v>
      </c>
      <c r="M13" s="19">
        <v>173000</v>
      </c>
    </row>
    <row r="14" spans="1:13" x14ac:dyDescent="0.25">
      <c r="A14" t="s">
        <v>39</v>
      </c>
      <c r="B14" t="s">
        <v>40</v>
      </c>
      <c r="C14" t="s">
        <v>132</v>
      </c>
      <c r="D14" s="19">
        <v>-8157324</v>
      </c>
      <c r="E14" s="19">
        <v>-5350363</v>
      </c>
      <c r="F14" s="19">
        <v>-2698725</v>
      </c>
      <c r="G14" s="19">
        <v>3267080</v>
      </c>
      <c r="H14" s="19">
        <v>10158045</v>
      </c>
      <c r="I14" s="19">
        <v>10369144</v>
      </c>
      <c r="J14" s="19">
        <v>15474403</v>
      </c>
      <c r="K14" s="19">
        <v>23302991</v>
      </c>
      <c r="L14" s="19">
        <v>51331000</v>
      </c>
      <c r="M14" s="19">
        <v>71401000</v>
      </c>
    </row>
    <row r="15" spans="1:13" x14ac:dyDescent="0.25">
      <c r="A15" t="s">
        <v>39</v>
      </c>
      <c r="B15" t="s">
        <v>40</v>
      </c>
      <c r="C15" t="s">
        <v>59</v>
      </c>
      <c r="D15" s="19">
        <v>414137</v>
      </c>
      <c r="E15" s="19">
        <v>0</v>
      </c>
      <c r="F15" s="19">
        <v>1125149</v>
      </c>
      <c r="G15" s="19">
        <v>15122793</v>
      </c>
      <c r="H15" s="19">
        <v>-2431085</v>
      </c>
      <c r="I15" s="19">
        <v>-3681787</v>
      </c>
      <c r="J15" s="19">
        <v>-4599101</v>
      </c>
      <c r="K15" s="19">
        <v>-6401633</v>
      </c>
      <c r="L15" s="19">
        <v>-15469000</v>
      </c>
      <c r="M15" s="19">
        <v>-10576000</v>
      </c>
    </row>
    <row r="16" spans="1:13" x14ac:dyDescent="0.25">
      <c r="A16" t="s">
        <v>39</v>
      </c>
      <c r="B16" t="s">
        <v>40</v>
      </c>
      <c r="C16" t="s">
        <v>133</v>
      </c>
      <c r="D16" s="19">
        <v>-7743187</v>
      </c>
      <c r="E16" s="19">
        <v>-5350363</v>
      </c>
      <c r="F16" s="19">
        <v>-1573576</v>
      </c>
      <c r="G16" s="19">
        <v>18389873</v>
      </c>
      <c r="H16" s="19">
        <v>7726960</v>
      </c>
      <c r="I16" s="19">
        <v>6687357</v>
      </c>
      <c r="J16" s="19">
        <v>10875302</v>
      </c>
      <c r="K16" s="19">
        <v>16901358</v>
      </c>
      <c r="L16" s="19">
        <v>35862000</v>
      </c>
      <c r="M16" s="19">
        <v>60825000</v>
      </c>
    </row>
    <row r="17" spans="1:13" x14ac:dyDescent="0.25">
      <c r="A17" t="s">
        <v>39</v>
      </c>
      <c r="B17" t="s">
        <v>40</v>
      </c>
      <c r="C17" t="s">
        <v>134</v>
      </c>
      <c r="D17" s="19">
        <v>0</v>
      </c>
      <c r="E17" s="19">
        <v>0</v>
      </c>
      <c r="F17" s="19">
        <v>386448</v>
      </c>
      <c r="G17" s="19">
        <v>484258</v>
      </c>
      <c r="H17" s="19">
        <v>-348211</v>
      </c>
      <c r="I17" s="19">
        <v>476598</v>
      </c>
      <c r="J17" s="19">
        <v>-2647005</v>
      </c>
      <c r="K17" s="19">
        <v>-7954754</v>
      </c>
      <c r="L17" s="19">
        <v>-30200000</v>
      </c>
      <c r="M17" s="19">
        <v>-22659000</v>
      </c>
    </row>
    <row r="18" spans="1:13" x14ac:dyDescent="0.25">
      <c r="A18" t="s">
        <v>39</v>
      </c>
      <c r="B18" t="s">
        <v>40</v>
      </c>
      <c r="C18" t="s">
        <v>135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9000000</v>
      </c>
      <c r="M18" s="19">
        <v>0</v>
      </c>
    </row>
    <row r="19" spans="1:13" x14ac:dyDescent="0.25">
      <c r="A19" t="s">
        <v>39</v>
      </c>
      <c r="B19" t="s">
        <v>40</v>
      </c>
      <c r="C19" t="s">
        <v>136</v>
      </c>
      <c r="D19" s="19">
        <v>0</v>
      </c>
      <c r="E19" s="19">
        <v>0</v>
      </c>
      <c r="F19" s="19">
        <v>386448</v>
      </c>
      <c r="G19" s="19">
        <v>484258</v>
      </c>
      <c r="H19" s="19">
        <v>-348211</v>
      </c>
      <c r="I19" s="19">
        <v>476598</v>
      </c>
      <c r="J19" s="19">
        <v>-2647005</v>
      </c>
      <c r="K19" s="19">
        <v>-7954754</v>
      </c>
      <c r="L19" s="19">
        <v>-21200000</v>
      </c>
      <c r="M19" s="19">
        <v>-22659000</v>
      </c>
    </row>
    <row r="20" spans="1:13" x14ac:dyDescent="0.25">
      <c r="A20" t="s">
        <v>39</v>
      </c>
      <c r="B20" t="s">
        <v>40</v>
      </c>
      <c r="C20" t="s">
        <v>137</v>
      </c>
      <c r="D20" s="19">
        <v>-8423012</v>
      </c>
      <c r="E20" s="19">
        <v>-6456900</v>
      </c>
      <c r="F20" s="19">
        <v>-1187128</v>
      </c>
      <c r="G20" s="19">
        <v>18874131</v>
      </c>
      <c r="H20" s="19">
        <v>7378749</v>
      </c>
      <c r="I20" s="19">
        <v>7163955</v>
      </c>
      <c r="J20" s="19">
        <v>8228297</v>
      </c>
      <c r="K20" s="19">
        <v>9769140</v>
      </c>
      <c r="L20" s="19">
        <v>14662000</v>
      </c>
      <c r="M20" s="19">
        <v>38166000</v>
      </c>
    </row>
    <row r="21" spans="1:13" x14ac:dyDescent="0.25">
      <c r="A21" t="s">
        <v>39</v>
      </c>
      <c r="B21" t="s">
        <v>40</v>
      </c>
      <c r="C21" t="s">
        <v>138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5">
      <c r="A22" t="s">
        <v>39</v>
      </c>
      <c r="B22" t="s">
        <v>40</v>
      </c>
      <c r="C22" t="s">
        <v>139</v>
      </c>
      <c r="D22" s="19">
        <v>47243292</v>
      </c>
      <c r="E22" s="19">
        <v>52199292</v>
      </c>
      <c r="F22" s="19">
        <v>52999772</v>
      </c>
      <c r="G22" s="19">
        <v>54980675</v>
      </c>
      <c r="H22" s="19">
        <v>61588666</v>
      </c>
      <c r="I22" s="19">
        <v>62329415</v>
      </c>
      <c r="J22" s="19">
        <v>62846130</v>
      </c>
      <c r="K22" s="19">
        <v>68333179</v>
      </c>
      <c r="L22" s="19">
        <v>79745546</v>
      </c>
      <c r="M22" s="19">
        <v>81146109</v>
      </c>
    </row>
    <row r="23" spans="1:13" x14ac:dyDescent="0.25">
      <c r="A23" t="s">
        <v>39</v>
      </c>
      <c r="B23" t="s">
        <v>40</v>
      </c>
      <c r="C23" t="s">
        <v>140</v>
      </c>
      <c r="D23" s="19">
        <v>42786411</v>
      </c>
      <c r="E23" s="19">
        <v>48414345</v>
      </c>
      <c r="F23" s="19">
        <v>52553713</v>
      </c>
      <c r="G23" s="19">
        <v>53996742</v>
      </c>
      <c r="H23" s="19">
        <v>60145774</v>
      </c>
      <c r="I23" s="19">
        <v>62097012</v>
      </c>
      <c r="J23" s="19">
        <v>62666196</v>
      </c>
      <c r="K23" s="19">
        <v>65865008</v>
      </c>
      <c r="L23" s="19">
        <v>72674651</v>
      </c>
      <c r="M23" s="19">
        <v>80021546</v>
      </c>
    </row>
    <row r="24" spans="1:13" x14ac:dyDescent="0.25">
      <c r="A24" t="s">
        <v>39</v>
      </c>
      <c r="B24" t="s">
        <v>40</v>
      </c>
      <c r="C24" t="s">
        <v>141</v>
      </c>
      <c r="D24" s="19">
        <v>-18.100000000000001</v>
      </c>
      <c r="E24" s="19">
        <v>-11.05</v>
      </c>
      <c r="F24" s="19">
        <v>-2.99</v>
      </c>
      <c r="G24" s="19">
        <v>32.299999999999997</v>
      </c>
      <c r="H24" s="19">
        <v>12.47</v>
      </c>
      <c r="I24" s="19">
        <v>10.55</v>
      </c>
      <c r="J24" s="19">
        <v>16.98</v>
      </c>
      <c r="K24" s="19">
        <v>24.7</v>
      </c>
      <c r="L24" s="19">
        <v>47.77</v>
      </c>
      <c r="M24" s="19">
        <v>73.41</v>
      </c>
    </row>
    <row r="25" spans="1:13" x14ac:dyDescent="0.25">
      <c r="A25" t="s">
        <v>39</v>
      </c>
      <c r="B25" t="s">
        <v>40</v>
      </c>
      <c r="C25" t="s">
        <v>142</v>
      </c>
      <c r="D25" s="19">
        <v>-19.690000000000001</v>
      </c>
      <c r="E25" s="19">
        <v>-13.34</v>
      </c>
      <c r="F25" s="19">
        <v>-2.2599999999999998</v>
      </c>
      <c r="G25" s="19">
        <v>33.15</v>
      </c>
      <c r="H25" s="19">
        <v>11.91</v>
      </c>
      <c r="I25" s="19">
        <v>11.3</v>
      </c>
      <c r="J25" s="19">
        <v>12.85</v>
      </c>
      <c r="K25" s="19">
        <v>14.28</v>
      </c>
      <c r="L25" s="19">
        <v>19.53</v>
      </c>
      <c r="M25" s="19">
        <v>46.06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9EAE-B59F-41AD-AF08-4A09C8769E91}">
  <dimension ref="A1:M30"/>
  <sheetViews>
    <sheetView workbookViewId="0">
      <selection activeCell="A3" sqref="A3"/>
    </sheetView>
  </sheetViews>
  <sheetFormatPr defaultRowHeight="15" x14ac:dyDescent="0.25"/>
  <cols>
    <col min="1" max="1" width="9.42578125" bestFit="1" customWidth="1"/>
    <col min="2" max="2" width="15.140625" bestFit="1" customWidth="1"/>
    <col min="3" max="3" width="35.5703125" bestFit="1" customWidth="1"/>
    <col min="4" max="8" width="13.5703125" bestFit="1" customWidth="1"/>
    <col min="9" max="10" width="13.85546875" bestFit="1" customWidth="1"/>
    <col min="11" max="13" width="14.5703125" bestFit="1" customWidth="1"/>
  </cols>
  <sheetData>
    <row r="1" spans="1:13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  <c r="I1" s="20" t="s">
        <v>34</v>
      </c>
      <c r="J1" s="20" t="s">
        <v>35</v>
      </c>
      <c r="K1" s="20" t="s">
        <v>36</v>
      </c>
      <c r="L1" s="20" t="s">
        <v>37</v>
      </c>
      <c r="M1" s="20" t="s">
        <v>38</v>
      </c>
    </row>
    <row r="2" spans="1:13" x14ac:dyDescent="0.25">
      <c r="A2" s="21" t="s">
        <v>39</v>
      </c>
      <c r="B2" s="21" t="s">
        <v>40</v>
      </c>
      <c r="C2" s="21" t="s">
        <v>143</v>
      </c>
      <c r="D2" s="22">
        <v>3530109</v>
      </c>
      <c r="E2" s="22">
        <v>30875855</v>
      </c>
      <c r="F2" s="22">
        <v>45781644</v>
      </c>
      <c r="G2" s="22">
        <v>65195263</v>
      </c>
      <c r="H2" s="22">
        <v>93222547</v>
      </c>
      <c r="I2" s="22">
        <v>102183621</v>
      </c>
      <c r="J2" s="22">
        <v>116810659</v>
      </c>
      <c r="K2" s="22">
        <v>129176166</v>
      </c>
      <c r="L2" s="22">
        <v>182193000</v>
      </c>
      <c r="M2" s="22">
        <v>273753000</v>
      </c>
    </row>
    <row r="3" spans="1:13" x14ac:dyDescent="0.25">
      <c r="A3" s="21" t="s">
        <v>39</v>
      </c>
      <c r="B3" s="21" t="s">
        <v>40</v>
      </c>
      <c r="C3" s="21" t="s">
        <v>144</v>
      </c>
      <c r="D3" s="22">
        <v>-11255535</v>
      </c>
      <c r="E3" s="22">
        <v>-36493694</v>
      </c>
      <c r="F3" s="22">
        <v>-46867316</v>
      </c>
      <c r="G3" s="22">
        <v>-61882882</v>
      </c>
      <c r="H3" s="22">
        <v>-81481922</v>
      </c>
      <c r="I3" s="22">
        <v>-91197982</v>
      </c>
      <c r="J3" s="22">
        <v>-91768273</v>
      </c>
      <c r="K3" s="22">
        <v>-101034426</v>
      </c>
      <c r="L3" s="22">
        <v>-121959000</v>
      </c>
      <c r="M3" s="22">
        <v>-176402000</v>
      </c>
    </row>
    <row r="4" spans="1:13" x14ac:dyDescent="0.25">
      <c r="A4" s="21" t="s">
        <v>39</v>
      </c>
      <c r="B4" s="21" t="s">
        <v>40</v>
      </c>
      <c r="C4" s="21" t="s">
        <v>86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</row>
    <row r="5" spans="1:13" x14ac:dyDescent="0.25">
      <c r="A5" s="21" t="s">
        <v>39</v>
      </c>
      <c r="B5" s="21" t="s">
        <v>40</v>
      </c>
      <c r="C5" s="21" t="s">
        <v>87</v>
      </c>
      <c r="D5" s="22">
        <v>478200</v>
      </c>
      <c r="E5" s="22">
        <v>386320</v>
      </c>
      <c r="F5" s="22">
        <v>407590</v>
      </c>
      <c r="G5" s="22">
        <v>622999</v>
      </c>
      <c r="H5" s="22">
        <v>509966</v>
      </c>
      <c r="I5" s="22">
        <v>645014</v>
      </c>
      <c r="J5" s="22">
        <v>633021</v>
      </c>
      <c r="K5" s="22">
        <v>849977</v>
      </c>
      <c r="L5" s="22">
        <v>1618000</v>
      </c>
      <c r="M5" s="22">
        <v>2102000</v>
      </c>
    </row>
    <row r="6" spans="1:13" x14ac:dyDescent="0.25">
      <c r="A6" s="21" t="s">
        <v>39</v>
      </c>
      <c r="B6" s="21" t="s">
        <v>40</v>
      </c>
      <c r="C6" s="21" t="s">
        <v>88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-204408</v>
      </c>
      <c r="K6" s="22">
        <v>-210952</v>
      </c>
      <c r="L6" s="22">
        <v>-254000</v>
      </c>
      <c r="M6" s="22">
        <v>-315000</v>
      </c>
    </row>
    <row r="7" spans="1:13" x14ac:dyDescent="0.25">
      <c r="A7" s="21" t="s">
        <v>39</v>
      </c>
      <c r="B7" s="21" t="s">
        <v>40</v>
      </c>
      <c r="C7" s="21" t="s">
        <v>145</v>
      </c>
      <c r="D7" s="22">
        <v>0</v>
      </c>
      <c r="E7" s="22">
        <v>0</v>
      </c>
      <c r="F7" s="22">
        <v>1153701</v>
      </c>
      <c r="G7" s="22">
        <v>0</v>
      </c>
      <c r="H7" s="22">
        <v>0</v>
      </c>
      <c r="I7" s="22">
        <v>0</v>
      </c>
      <c r="J7" s="22">
        <v>0</v>
      </c>
      <c r="K7" s="22">
        <v>-2261754</v>
      </c>
      <c r="L7" s="22">
        <v>-7535000</v>
      </c>
      <c r="M7" s="22">
        <v>-13735000</v>
      </c>
    </row>
    <row r="8" spans="1:13" x14ac:dyDescent="0.25">
      <c r="A8" s="21" t="s">
        <v>39</v>
      </c>
      <c r="B8" s="21" t="s">
        <v>40</v>
      </c>
      <c r="C8" s="21" t="s">
        <v>146</v>
      </c>
      <c r="D8" s="22">
        <v>1588298</v>
      </c>
      <c r="E8" s="22">
        <v>28327</v>
      </c>
      <c r="F8" s="22">
        <v>828614</v>
      </c>
      <c r="G8" s="22">
        <v>127428</v>
      </c>
      <c r="H8" s="22">
        <v>0</v>
      </c>
      <c r="I8" s="22">
        <v>0</v>
      </c>
      <c r="J8" s="22">
        <v>-212620</v>
      </c>
      <c r="K8" s="22">
        <v>-7353973</v>
      </c>
      <c r="L8" s="22">
        <v>-17132000</v>
      </c>
      <c r="M8" s="22">
        <v>-9913000</v>
      </c>
    </row>
    <row r="9" spans="1:13" x14ac:dyDescent="0.25">
      <c r="A9" s="21" t="s">
        <v>39</v>
      </c>
      <c r="B9" s="21" t="s">
        <v>40</v>
      </c>
      <c r="C9" s="21" t="s">
        <v>147</v>
      </c>
      <c r="D9" s="22">
        <v>-5658928</v>
      </c>
      <c r="E9" s="22">
        <v>-5203192</v>
      </c>
      <c r="F9" s="22">
        <v>1304233</v>
      </c>
      <c r="G9" s="22">
        <v>4062808</v>
      </c>
      <c r="H9" s="22">
        <v>12250591</v>
      </c>
      <c r="I9" s="22">
        <v>11630653</v>
      </c>
      <c r="J9" s="22">
        <v>25258379</v>
      </c>
      <c r="K9" s="22">
        <v>19165038</v>
      </c>
      <c r="L9" s="22">
        <v>36931000</v>
      </c>
      <c r="M9" s="22">
        <v>75490000</v>
      </c>
    </row>
    <row r="10" spans="1:13" x14ac:dyDescent="0.25">
      <c r="A10" s="21" t="s">
        <v>39</v>
      </c>
      <c r="B10" s="21" t="s">
        <v>40</v>
      </c>
      <c r="C10" s="21" t="s">
        <v>148</v>
      </c>
      <c r="D10" s="22">
        <v>30151</v>
      </c>
      <c r="E10" s="22">
        <v>-851024</v>
      </c>
      <c r="F10" s="22">
        <v>-1567023</v>
      </c>
      <c r="G10" s="22">
        <v>-2473187</v>
      </c>
      <c r="H10" s="22">
        <v>-6401191</v>
      </c>
      <c r="I10" s="22">
        <v>-7363052</v>
      </c>
      <c r="J10" s="22">
        <v>-7225322</v>
      </c>
      <c r="K10" s="22">
        <v>-6045602</v>
      </c>
      <c r="L10" s="22">
        <v>-12591000</v>
      </c>
      <c r="M10" s="22">
        <v>-17826000</v>
      </c>
    </row>
    <row r="11" spans="1:13" x14ac:dyDescent="0.25">
      <c r="A11" s="21" t="s">
        <v>39</v>
      </c>
      <c r="B11" s="21" t="s">
        <v>40</v>
      </c>
      <c r="C11" s="21" t="s">
        <v>149</v>
      </c>
      <c r="D11" s="22">
        <v>-360726</v>
      </c>
      <c r="E11" s="22">
        <v>125000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</row>
    <row r="12" spans="1:13" x14ac:dyDescent="0.25">
      <c r="A12" s="21" t="s">
        <v>39</v>
      </c>
      <c r="B12" s="21" t="s">
        <v>40</v>
      </c>
      <c r="C12" s="21" t="s">
        <v>150</v>
      </c>
      <c r="D12" s="22">
        <v>330403</v>
      </c>
      <c r="E12" s="22">
        <v>293443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</row>
    <row r="13" spans="1:13" x14ac:dyDescent="0.25">
      <c r="A13" s="21" t="s">
        <v>39</v>
      </c>
      <c r="B13" s="21" t="s">
        <v>40</v>
      </c>
      <c r="C13" s="21" t="s">
        <v>151</v>
      </c>
      <c r="D13" s="22">
        <v>-217307</v>
      </c>
      <c r="E13" s="22">
        <v>-2590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</row>
    <row r="14" spans="1:13" x14ac:dyDescent="0.25">
      <c r="A14" s="21" t="s">
        <v>39</v>
      </c>
      <c r="B14" s="21" t="s">
        <v>40</v>
      </c>
      <c r="C14" s="21" t="s">
        <v>152</v>
      </c>
      <c r="D14" s="22">
        <v>0</v>
      </c>
      <c r="E14" s="22">
        <v>-941091</v>
      </c>
      <c r="F14" s="22">
        <v>-1000000</v>
      </c>
      <c r="G14" s="22">
        <v>-1254580</v>
      </c>
      <c r="H14" s="22">
        <v>-2000000</v>
      </c>
      <c r="I14" s="22">
        <v>-411250</v>
      </c>
      <c r="J14" s="22">
        <v>-475000</v>
      </c>
      <c r="K14" s="22">
        <v>-47729882</v>
      </c>
      <c r="L14" s="22">
        <v>-12452000</v>
      </c>
      <c r="M14" s="22">
        <v>-353000</v>
      </c>
    </row>
    <row r="15" spans="1:13" x14ac:dyDescent="0.25">
      <c r="A15" s="21" t="s">
        <v>39</v>
      </c>
      <c r="B15" s="21" t="s">
        <v>40</v>
      </c>
      <c r="C15" s="21" t="s">
        <v>153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-1332270</v>
      </c>
      <c r="L15" s="22">
        <v>0</v>
      </c>
      <c r="M15" s="22">
        <v>0</v>
      </c>
    </row>
    <row r="16" spans="1:13" x14ac:dyDescent="0.25">
      <c r="A16" s="21" t="s">
        <v>39</v>
      </c>
      <c r="B16" s="21" t="s">
        <v>40</v>
      </c>
      <c r="C16" s="21" t="s">
        <v>154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</row>
    <row r="17" spans="1:13" x14ac:dyDescent="0.25">
      <c r="A17" s="21" t="s">
        <v>39</v>
      </c>
      <c r="B17" s="21" t="s">
        <v>40</v>
      </c>
      <c r="C17" s="21" t="s">
        <v>155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</row>
    <row r="18" spans="1:13" x14ac:dyDescent="0.25">
      <c r="A18" s="21" t="s">
        <v>39</v>
      </c>
      <c r="B18" s="21" t="s">
        <v>40</v>
      </c>
      <c r="C18" s="21" t="s">
        <v>156</v>
      </c>
      <c r="D18" s="22">
        <v>0</v>
      </c>
      <c r="E18" s="22">
        <v>0</v>
      </c>
      <c r="F18" s="22">
        <v>0</v>
      </c>
      <c r="G18" s="22">
        <v>143366</v>
      </c>
      <c r="H18" s="22">
        <v>0</v>
      </c>
      <c r="I18" s="22">
        <v>0</v>
      </c>
      <c r="J18" s="22">
        <v>0</v>
      </c>
      <c r="K18" s="22">
        <v>0</v>
      </c>
      <c r="L18" s="22">
        <v>474000</v>
      </c>
      <c r="M18" s="22">
        <v>653000</v>
      </c>
    </row>
    <row r="19" spans="1:13" x14ac:dyDescent="0.25">
      <c r="A19" s="21" t="s">
        <v>39</v>
      </c>
      <c r="B19" s="21" t="s">
        <v>40</v>
      </c>
      <c r="C19" s="21" t="s">
        <v>157</v>
      </c>
      <c r="D19" s="22">
        <v>-217479</v>
      </c>
      <c r="E19" s="22">
        <v>-1376262</v>
      </c>
      <c r="F19" s="22">
        <v>-2567023</v>
      </c>
      <c r="G19" s="22">
        <v>-3584401</v>
      </c>
      <c r="H19" s="22">
        <v>-8401191</v>
      </c>
      <c r="I19" s="22">
        <v>-7774302</v>
      </c>
      <c r="J19" s="22">
        <v>-7700322</v>
      </c>
      <c r="K19" s="22">
        <v>-55107754</v>
      </c>
      <c r="L19" s="22">
        <v>-24569000</v>
      </c>
      <c r="M19" s="22">
        <v>-17526000</v>
      </c>
    </row>
    <row r="20" spans="1:13" x14ac:dyDescent="0.25">
      <c r="A20" s="21" t="s">
        <v>39</v>
      </c>
      <c r="B20" s="21" t="s">
        <v>40</v>
      </c>
      <c r="C20" s="21" t="s">
        <v>158</v>
      </c>
      <c r="D20" s="22">
        <v>10588126</v>
      </c>
      <c r="E20" s="22">
        <v>5250000</v>
      </c>
      <c r="F20" s="22">
        <v>421128</v>
      </c>
      <c r="G20" s="22">
        <v>1102826</v>
      </c>
      <c r="H20" s="22">
        <v>2324780</v>
      </c>
      <c r="I20" s="22">
        <v>1093137</v>
      </c>
      <c r="J20" s="22">
        <v>1242371</v>
      </c>
      <c r="K20" s="22">
        <v>3635503</v>
      </c>
      <c r="L20" s="22">
        <v>2552000</v>
      </c>
      <c r="M20" s="22">
        <v>1228000</v>
      </c>
    </row>
    <row r="21" spans="1:13" x14ac:dyDescent="0.25">
      <c r="A21" s="21" t="s">
        <v>39</v>
      </c>
      <c r="B21" s="21" t="s">
        <v>40</v>
      </c>
      <c r="C21" s="21" t="s">
        <v>159</v>
      </c>
      <c r="D21" s="22">
        <v>0</v>
      </c>
      <c r="E21" s="22">
        <v>-150000</v>
      </c>
      <c r="F21" s="22">
        <v>0</v>
      </c>
      <c r="G21" s="22">
        <v>0</v>
      </c>
      <c r="H21" s="22">
        <v>0</v>
      </c>
      <c r="I21" s="22">
        <v>0</v>
      </c>
      <c r="J21" s="22">
        <v>2000000</v>
      </c>
      <c r="K21" s="22">
        <v>83199980</v>
      </c>
      <c r="L21" s="22">
        <v>0</v>
      </c>
      <c r="M21" s="22">
        <v>0</v>
      </c>
    </row>
    <row r="22" spans="1:13" x14ac:dyDescent="0.25">
      <c r="A22" s="21" t="s">
        <v>39</v>
      </c>
      <c r="B22" s="21" t="s">
        <v>40</v>
      </c>
      <c r="C22" s="21" t="s">
        <v>160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-4125000</v>
      </c>
      <c r="M22" s="22">
        <v>-9320000</v>
      </c>
    </row>
    <row r="23" spans="1:13" x14ac:dyDescent="0.25">
      <c r="A23" s="21" t="s">
        <v>39</v>
      </c>
      <c r="B23" s="21" t="s">
        <v>40</v>
      </c>
      <c r="C23" s="21" t="s">
        <v>94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-3423166</v>
      </c>
      <c r="J23" s="22">
        <v>-3826943</v>
      </c>
      <c r="K23" s="22">
        <v>-5274623</v>
      </c>
      <c r="L23" s="22">
        <v>-9773000</v>
      </c>
      <c r="M23" s="22">
        <v>-21219000</v>
      </c>
    </row>
    <row r="24" spans="1:13" x14ac:dyDescent="0.25">
      <c r="A24" s="21" t="s">
        <v>39</v>
      </c>
      <c r="B24" s="21" t="s">
        <v>40</v>
      </c>
      <c r="C24" s="21" t="s">
        <v>161</v>
      </c>
      <c r="D24" s="22">
        <v>-474721</v>
      </c>
      <c r="E24" s="22">
        <v>-191565</v>
      </c>
      <c r="F24" s="22">
        <v>-2000000</v>
      </c>
      <c r="G24" s="22">
        <v>-11750</v>
      </c>
      <c r="H24" s="22">
        <v>-51830</v>
      </c>
      <c r="I24" s="22">
        <v>-19471</v>
      </c>
      <c r="J24" s="22">
        <v>-1630009</v>
      </c>
      <c r="K24" s="22">
        <v>-15966284</v>
      </c>
      <c r="L24" s="22">
        <v>-21023000</v>
      </c>
      <c r="M24" s="22">
        <v>640000</v>
      </c>
    </row>
    <row r="25" spans="1:13" x14ac:dyDescent="0.25">
      <c r="A25" s="21" t="s">
        <v>39</v>
      </c>
      <c r="B25" s="21" t="s">
        <v>40</v>
      </c>
      <c r="C25" s="21" t="s">
        <v>162</v>
      </c>
      <c r="D25" s="22">
        <v>10113405</v>
      </c>
      <c r="E25" s="22">
        <v>4908435</v>
      </c>
      <c r="F25" s="22">
        <v>-1578872</v>
      </c>
      <c r="G25" s="22">
        <v>1091076</v>
      </c>
      <c r="H25" s="22">
        <v>2272950</v>
      </c>
      <c r="I25" s="22">
        <v>-2349500</v>
      </c>
      <c r="J25" s="22">
        <v>-2214581</v>
      </c>
      <c r="K25" s="22">
        <v>65594576</v>
      </c>
      <c r="L25" s="22">
        <v>-32369000</v>
      </c>
      <c r="M25" s="22">
        <v>-28671000</v>
      </c>
    </row>
    <row r="26" spans="1:13" x14ac:dyDescent="0.25">
      <c r="A26" s="21" t="s">
        <v>39</v>
      </c>
      <c r="B26" s="21" t="s">
        <v>40</v>
      </c>
      <c r="C26" s="21" t="s">
        <v>163</v>
      </c>
      <c r="D26" s="22">
        <v>4236998</v>
      </c>
      <c r="E26" s="22">
        <v>-1671019</v>
      </c>
      <c r="F26" s="22">
        <v>-2841662</v>
      </c>
      <c r="G26" s="22">
        <v>1569483</v>
      </c>
      <c r="H26" s="22">
        <v>6122350</v>
      </c>
      <c r="I26" s="22">
        <v>1506851</v>
      </c>
      <c r="J26" s="22">
        <v>15343476</v>
      </c>
      <c r="K26" s="22">
        <v>29651860</v>
      </c>
      <c r="L26" s="22">
        <v>-20007000</v>
      </c>
      <c r="M26" s="22">
        <v>29293000</v>
      </c>
    </row>
    <row r="27" spans="1:13" x14ac:dyDescent="0.25">
      <c r="A27" s="21" t="s">
        <v>39</v>
      </c>
      <c r="B27" s="21" t="s">
        <v>40</v>
      </c>
      <c r="C27" s="21" t="s">
        <v>164</v>
      </c>
      <c r="D27" s="22">
        <v>9542846</v>
      </c>
      <c r="E27" s="22">
        <v>13779844</v>
      </c>
      <c r="F27" s="22">
        <v>12108825</v>
      </c>
      <c r="G27" s="22">
        <v>9267163</v>
      </c>
      <c r="H27" s="22">
        <v>10836646</v>
      </c>
      <c r="I27" s="22">
        <v>16958996</v>
      </c>
      <c r="J27" s="22">
        <v>18465847</v>
      </c>
      <c r="K27" s="22">
        <v>33809323</v>
      </c>
      <c r="L27" s="22">
        <v>63461000</v>
      </c>
      <c r="M27" s="22">
        <v>43454000</v>
      </c>
    </row>
    <row r="28" spans="1:13" x14ac:dyDescent="0.25">
      <c r="A28" s="21" t="s">
        <v>39</v>
      </c>
      <c r="B28" s="21" t="s">
        <v>40</v>
      </c>
      <c r="C28" s="21" t="s">
        <v>165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</row>
    <row r="29" spans="1:13" x14ac:dyDescent="0.25">
      <c r="A29" s="21" t="s">
        <v>39</v>
      </c>
      <c r="B29" s="21" t="s">
        <v>40</v>
      </c>
      <c r="C29" s="21" t="s">
        <v>166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</row>
    <row r="30" spans="1:13" x14ac:dyDescent="0.25">
      <c r="A30" s="21" t="s">
        <v>39</v>
      </c>
      <c r="B30" s="21" t="s">
        <v>40</v>
      </c>
      <c r="C30" s="21" t="s">
        <v>167</v>
      </c>
      <c r="D30" s="22">
        <v>13779844</v>
      </c>
      <c r="E30" s="22">
        <v>12108825</v>
      </c>
      <c r="F30" s="22">
        <v>9267163</v>
      </c>
      <c r="G30" s="22">
        <v>10836646</v>
      </c>
      <c r="H30" s="22">
        <v>16958996</v>
      </c>
      <c r="I30" s="22">
        <v>18465847</v>
      </c>
      <c r="J30" s="22">
        <v>33809323</v>
      </c>
      <c r="K30" s="22">
        <v>63461183</v>
      </c>
      <c r="L30" s="22">
        <v>43454000</v>
      </c>
      <c r="M30" s="22">
        <v>72747000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9E1A-B298-48A2-8121-DF6A27531ECA}">
  <dimension ref="A1:M94"/>
  <sheetViews>
    <sheetView topLeftCell="A40" workbookViewId="0">
      <selection activeCell="M76" sqref="M76"/>
    </sheetView>
  </sheetViews>
  <sheetFormatPr defaultRowHeight="15" x14ac:dyDescent="0.25"/>
  <cols>
    <col min="1" max="1" width="9.42578125" bestFit="1" customWidth="1"/>
    <col min="2" max="2" width="15.140625" bestFit="1" customWidth="1"/>
    <col min="3" max="3" width="37.5703125" bestFit="1" customWidth="1"/>
    <col min="4" max="9" width="13.5703125" bestFit="1" customWidth="1"/>
    <col min="10" max="13" width="13.85546875" bestFit="1" customWidth="1"/>
  </cols>
  <sheetData>
    <row r="1" spans="1:13" x14ac:dyDescent="0.25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  <c r="J1" s="18" t="s">
        <v>35</v>
      </c>
      <c r="K1" s="18" t="s">
        <v>36</v>
      </c>
      <c r="L1" s="18" t="s">
        <v>37</v>
      </c>
      <c r="M1" s="18" t="s">
        <v>38</v>
      </c>
    </row>
    <row r="2" spans="1:13" x14ac:dyDescent="0.25">
      <c r="A2" t="s">
        <v>39</v>
      </c>
      <c r="B2" t="s">
        <v>40</v>
      </c>
      <c r="C2" t="s">
        <v>41</v>
      </c>
      <c r="D2" s="19">
        <v>825030</v>
      </c>
      <c r="E2" s="19">
        <v>2606177</v>
      </c>
      <c r="F2" s="19">
        <v>5453533</v>
      </c>
      <c r="G2" s="19">
        <v>7519192</v>
      </c>
      <c r="H2" s="19">
        <v>5852765</v>
      </c>
      <c r="I2" s="19">
        <v>8346462</v>
      </c>
      <c r="J2" s="19">
        <v>11845458</v>
      </c>
      <c r="K2" s="19">
        <v>19203232</v>
      </c>
      <c r="L2" s="19">
        <v>31589000</v>
      </c>
      <c r="M2" s="19">
        <v>38195000</v>
      </c>
    </row>
    <row r="3" spans="1:13" x14ac:dyDescent="0.25">
      <c r="A3" t="s">
        <v>39</v>
      </c>
      <c r="B3" t="s">
        <v>40</v>
      </c>
      <c r="C3" t="s">
        <v>42</v>
      </c>
      <c r="D3" s="19">
        <v>-2051883</v>
      </c>
      <c r="E3" s="19">
        <v>-4528696</v>
      </c>
      <c r="F3" s="19">
        <v>-4338068</v>
      </c>
      <c r="G3" s="19">
        <v>-11940669</v>
      </c>
      <c r="H3" s="19">
        <v>-9725368</v>
      </c>
      <c r="I3" s="19">
        <v>-8675644</v>
      </c>
      <c r="J3" s="19">
        <v>-13269852</v>
      </c>
      <c r="K3" s="19">
        <v>-25529288</v>
      </c>
      <c r="L3" s="19">
        <v>-38811000</v>
      </c>
      <c r="M3" s="19">
        <v>-41182000</v>
      </c>
    </row>
    <row r="4" spans="1:13" x14ac:dyDescent="0.25">
      <c r="A4" t="s">
        <v>39</v>
      </c>
      <c r="B4" t="s">
        <v>40</v>
      </c>
      <c r="C4" t="s">
        <v>43</v>
      </c>
      <c r="D4" s="19">
        <v>-1226853</v>
      </c>
      <c r="E4" s="19">
        <v>-1922519</v>
      </c>
      <c r="F4" s="19">
        <v>1115465</v>
      </c>
      <c r="G4" s="19">
        <v>-4421477</v>
      </c>
      <c r="H4" s="19">
        <v>-3872603</v>
      </c>
      <c r="I4" s="19">
        <v>-329182</v>
      </c>
      <c r="J4" s="19">
        <v>-1424394</v>
      </c>
      <c r="K4" s="19">
        <v>-6326056</v>
      </c>
      <c r="L4" s="19">
        <v>-7222000</v>
      </c>
      <c r="M4" s="19">
        <v>-2987000</v>
      </c>
    </row>
    <row r="5" spans="1:13" x14ac:dyDescent="0.25">
      <c r="A5" t="s">
        <v>39</v>
      </c>
      <c r="B5" t="s">
        <v>40</v>
      </c>
      <c r="C5" t="s">
        <v>44</v>
      </c>
      <c r="D5" s="19">
        <v>93561</v>
      </c>
      <c r="E5" s="19">
        <v>128602</v>
      </c>
      <c r="F5" s="19">
        <v>152414</v>
      </c>
      <c r="G5" s="19">
        <v>778268</v>
      </c>
      <c r="H5" s="19">
        <v>2214341</v>
      </c>
      <c r="I5" s="19">
        <v>1955564</v>
      </c>
      <c r="J5" s="19">
        <v>7098453</v>
      </c>
      <c r="K5" s="19">
        <v>7548615</v>
      </c>
      <c r="L5" s="19">
        <v>12481000</v>
      </c>
      <c r="M5" s="19">
        <v>12573000</v>
      </c>
    </row>
    <row r="6" spans="1:13" x14ac:dyDescent="0.25">
      <c r="A6" t="s">
        <v>39</v>
      </c>
      <c r="B6" t="s">
        <v>40</v>
      </c>
      <c r="C6" t="s">
        <v>45</v>
      </c>
      <c r="D6" s="19">
        <v>6322423</v>
      </c>
      <c r="E6" s="19">
        <v>7125359</v>
      </c>
      <c r="F6" s="19">
        <v>7864503</v>
      </c>
      <c r="G6" s="19">
        <v>12748521</v>
      </c>
      <c r="H6" s="19">
        <v>15697730</v>
      </c>
      <c r="I6" s="19">
        <v>20742975</v>
      </c>
      <c r="J6" s="19">
        <v>23637676</v>
      </c>
      <c r="K6" s="19">
        <v>40207666</v>
      </c>
      <c r="L6" s="19">
        <v>207742000</v>
      </c>
      <c r="M6" s="19">
        <v>201705000</v>
      </c>
    </row>
    <row r="7" spans="1:13" x14ac:dyDescent="0.25">
      <c r="A7" t="s">
        <v>39</v>
      </c>
      <c r="B7" t="s">
        <v>40</v>
      </c>
      <c r="C7" t="s">
        <v>46</v>
      </c>
      <c r="D7" s="19">
        <v>471442</v>
      </c>
      <c r="E7" s="19">
        <v>-5389733</v>
      </c>
      <c r="F7" s="19">
        <v>-5289031</v>
      </c>
      <c r="G7" s="19">
        <v>8336573</v>
      </c>
      <c r="H7" s="19">
        <v>10541514</v>
      </c>
      <c r="I7" s="19">
        <v>7762750</v>
      </c>
      <c r="J7" s="19">
        <v>1432306</v>
      </c>
      <c r="K7" s="19">
        <v>17146203</v>
      </c>
      <c r="L7" s="19">
        <v>11887000</v>
      </c>
      <c r="M7" s="19">
        <v>-3124000</v>
      </c>
    </row>
    <row r="8" spans="1:13" x14ac:dyDescent="0.25">
      <c r="A8" t="s">
        <v>39</v>
      </c>
      <c r="B8" t="s">
        <v>40</v>
      </c>
      <c r="C8" t="s">
        <v>47</v>
      </c>
      <c r="D8" s="19">
        <v>5660573</v>
      </c>
      <c r="E8" s="19">
        <v>-58291</v>
      </c>
      <c r="F8" s="19">
        <v>3843351</v>
      </c>
      <c r="G8" s="19">
        <v>17441885</v>
      </c>
      <c r="H8" s="19">
        <v>24580982</v>
      </c>
      <c r="I8" s="19">
        <v>30132107</v>
      </c>
      <c r="J8" s="19">
        <v>30744041</v>
      </c>
      <c r="K8" s="19">
        <v>58576428</v>
      </c>
      <c r="L8" s="19">
        <v>224888000</v>
      </c>
      <c r="M8" s="19">
        <v>208167000</v>
      </c>
    </row>
    <row r="9" spans="1:13" x14ac:dyDescent="0.25">
      <c r="A9" t="s">
        <v>39</v>
      </c>
      <c r="B9" t="s">
        <v>40</v>
      </c>
      <c r="C9" t="s">
        <v>48</v>
      </c>
      <c r="D9" s="19">
        <v>0</v>
      </c>
      <c r="E9" s="19">
        <v>5846822</v>
      </c>
      <c r="F9" s="19">
        <v>5852019</v>
      </c>
      <c r="G9" s="19">
        <v>15336909</v>
      </c>
      <c r="H9" s="19">
        <v>16325588</v>
      </c>
      <c r="I9" s="19">
        <v>16325588</v>
      </c>
      <c r="J9" s="19">
        <v>16325588</v>
      </c>
      <c r="K9" s="19">
        <v>63768277</v>
      </c>
      <c r="L9" s="19">
        <v>221630000</v>
      </c>
      <c r="M9" s="19">
        <v>257500000</v>
      </c>
    </row>
    <row r="10" spans="1:13" x14ac:dyDescent="0.25">
      <c r="A10" t="s">
        <v>39</v>
      </c>
      <c r="B10" t="s">
        <v>40</v>
      </c>
      <c r="C10" t="s">
        <v>49</v>
      </c>
      <c r="D10" s="19">
        <v>5660573</v>
      </c>
      <c r="E10" s="19">
        <v>5788531</v>
      </c>
      <c r="F10" s="19">
        <v>9695370</v>
      </c>
      <c r="G10" s="19">
        <v>32778794</v>
      </c>
      <c r="H10" s="19">
        <v>40906570</v>
      </c>
      <c r="I10" s="19">
        <v>46457695</v>
      </c>
      <c r="J10" s="19">
        <v>47069629</v>
      </c>
      <c r="K10" s="19">
        <v>122344705</v>
      </c>
      <c r="L10" s="19">
        <v>446518000</v>
      </c>
      <c r="M10" s="19">
        <v>465667000</v>
      </c>
    </row>
    <row r="11" spans="1:13" x14ac:dyDescent="0.25">
      <c r="A11" t="s">
        <v>39</v>
      </c>
      <c r="B11" t="s">
        <v>40</v>
      </c>
      <c r="C11" t="s">
        <v>50</v>
      </c>
      <c r="D11" s="19">
        <v>13779844</v>
      </c>
      <c r="E11" s="19">
        <v>12108825</v>
      </c>
      <c r="F11" s="19">
        <v>9267163</v>
      </c>
      <c r="G11" s="19">
        <v>10836646</v>
      </c>
      <c r="H11" s="19">
        <v>16958996</v>
      </c>
      <c r="I11" s="19">
        <v>18465847</v>
      </c>
      <c r="J11" s="19">
        <v>33809323</v>
      </c>
      <c r="K11" s="19">
        <v>63461183</v>
      </c>
      <c r="L11" s="19">
        <v>43454000</v>
      </c>
      <c r="M11" s="19">
        <v>72747000</v>
      </c>
    </row>
    <row r="12" spans="1:13" x14ac:dyDescent="0.25">
      <c r="A12" t="s">
        <v>39</v>
      </c>
      <c r="B12" t="s">
        <v>40</v>
      </c>
      <c r="C12" t="s">
        <v>51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14518627</v>
      </c>
      <c r="L12" s="19">
        <v>15167000</v>
      </c>
      <c r="M12" s="19">
        <v>12172000</v>
      </c>
    </row>
    <row r="13" spans="1:13" x14ac:dyDescent="0.25">
      <c r="A13" t="s">
        <v>39</v>
      </c>
      <c r="B13" t="s">
        <v>40</v>
      </c>
      <c r="C13" t="s">
        <v>52</v>
      </c>
      <c r="D13" s="19">
        <v>19440417</v>
      </c>
      <c r="E13" s="19">
        <v>17897356</v>
      </c>
      <c r="F13" s="19">
        <v>18962533</v>
      </c>
      <c r="G13" s="19">
        <v>43615440</v>
      </c>
      <c r="H13" s="19">
        <v>57865566</v>
      </c>
      <c r="I13" s="19">
        <v>64923542</v>
      </c>
      <c r="J13" s="19">
        <v>80878952</v>
      </c>
      <c r="K13" s="19">
        <v>200324515</v>
      </c>
      <c r="L13" s="19">
        <v>505139000</v>
      </c>
      <c r="M13" s="19">
        <v>550586000</v>
      </c>
    </row>
    <row r="14" spans="1:13" x14ac:dyDescent="0.25">
      <c r="A14" t="s">
        <v>39</v>
      </c>
      <c r="B14" t="s">
        <v>40</v>
      </c>
      <c r="C14" t="s">
        <v>53</v>
      </c>
      <c r="D14" s="19">
        <v>19440417</v>
      </c>
      <c r="E14" s="19">
        <v>17897356</v>
      </c>
      <c r="F14" s="19">
        <v>18962533</v>
      </c>
      <c r="G14" s="19">
        <v>43615440</v>
      </c>
      <c r="H14" s="19">
        <v>57865566</v>
      </c>
      <c r="I14" s="19">
        <v>64923542</v>
      </c>
      <c r="J14" s="19">
        <v>74823371</v>
      </c>
      <c r="K14" s="19">
        <v>181070357</v>
      </c>
      <c r="L14" s="19">
        <v>455660000</v>
      </c>
      <c r="M14" s="19">
        <v>510412000</v>
      </c>
    </row>
    <row r="15" spans="1:13" x14ac:dyDescent="0.25">
      <c r="A15" t="s">
        <v>39</v>
      </c>
      <c r="B15" t="s">
        <v>40</v>
      </c>
      <c r="C15" t="s">
        <v>54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6055581</v>
      </c>
      <c r="K15" s="19">
        <v>19254158</v>
      </c>
      <c r="L15" s="19">
        <v>49479000</v>
      </c>
      <c r="M15" s="19">
        <v>40174000</v>
      </c>
    </row>
    <row r="16" spans="1:13" x14ac:dyDescent="0.25">
      <c r="A16" t="s">
        <v>39</v>
      </c>
      <c r="B16" t="s">
        <v>40</v>
      </c>
      <c r="C16" t="s">
        <v>52</v>
      </c>
      <c r="D16" s="19">
        <v>19440417</v>
      </c>
      <c r="E16" s="19">
        <v>17897356</v>
      </c>
      <c r="F16" s="19">
        <v>18962533</v>
      </c>
      <c r="G16" s="19">
        <v>43615440</v>
      </c>
      <c r="H16" s="19">
        <v>57865566</v>
      </c>
      <c r="I16" s="19">
        <v>64923542</v>
      </c>
      <c r="J16" s="19">
        <v>80878952</v>
      </c>
      <c r="K16" s="19">
        <v>200324515</v>
      </c>
      <c r="L16" s="19">
        <v>505139000</v>
      </c>
      <c r="M16" s="19">
        <v>550586000</v>
      </c>
    </row>
    <row r="17" spans="1:13" x14ac:dyDescent="0.25">
      <c r="A17" t="s">
        <v>39</v>
      </c>
      <c r="B17" t="s">
        <v>40</v>
      </c>
      <c r="C17" t="s">
        <v>10</v>
      </c>
      <c r="D17" s="19">
        <v>-8692715</v>
      </c>
      <c r="E17" s="19">
        <v>-5985292</v>
      </c>
      <c r="F17" s="19">
        <v>-3082687</v>
      </c>
      <c r="G17" s="19">
        <v>2779677</v>
      </c>
      <c r="H17" s="19">
        <v>9597570</v>
      </c>
      <c r="I17" s="19">
        <v>9205012</v>
      </c>
      <c r="J17" s="19">
        <v>14734301</v>
      </c>
      <c r="K17" s="19">
        <v>22658267</v>
      </c>
      <c r="L17" s="19">
        <v>50637000</v>
      </c>
      <c r="M17" s="19">
        <v>71228000</v>
      </c>
    </row>
    <row r="18" spans="1:13" x14ac:dyDescent="0.25">
      <c r="A18" t="s">
        <v>39</v>
      </c>
      <c r="B18" t="s">
        <v>40</v>
      </c>
      <c r="C18" t="s">
        <v>55</v>
      </c>
      <c r="D18" s="19">
        <v>30</v>
      </c>
      <c r="E18" s="19">
        <v>30</v>
      </c>
      <c r="F18" s="19">
        <v>30</v>
      </c>
      <c r="G18" s="19">
        <v>30</v>
      </c>
      <c r="H18" s="19">
        <v>30</v>
      </c>
      <c r="I18" s="19">
        <v>30</v>
      </c>
      <c r="J18" s="19">
        <v>30</v>
      </c>
      <c r="K18" s="19">
        <v>30</v>
      </c>
      <c r="L18" s="19">
        <v>30</v>
      </c>
      <c r="M18" s="19">
        <v>30</v>
      </c>
    </row>
    <row r="19" spans="1:13" x14ac:dyDescent="0.25">
      <c r="A19" t="s">
        <v>39</v>
      </c>
      <c r="B19" t="s">
        <v>40</v>
      </c>
      <c r="C19" t="s">
        <v>56</v>
      </c>
      <c r="D19" s="19">
        <v>574754</v>
      </c>
      <c r="E19" s="19">
        <v>190478</v>
      </c>
      <c r="F19" s="19">
        <v>1240337</v>
      </c>
      <c r="G19" s="19">
        <v>15269013</v>
      </c>
      <c r="H19" s="19">
        <v>-2262942</v>
      </c>
      <c r="I19" s="19">
        <v>-3332547</v>
      </c>
      <c r="J19" s="19">
        <v>-4377070</v>
      </c>
      <c r="K19" s="19">
        <v>-6208215</v>
      </c>
      <c r="L19" s="19">
        <v>-15260800</v>
      </c>
      <c r="M19" s="19">
        <v>-10524100</v>
      </c>
    </row>
    <row r="20" spans="1:13" x14ac:dyDescent="0.25">
      <c r="A20" t="s">
        <v>39</v>
      </c>
      <c r="B20" t="s">
        <v>40</v>
      </c>
      <c r="C20" t="s">
        <v>57</v>
      </c>
      <c r="D20" s="19">
        <v>975197</v>
      </c>
      <c r="E20" s="19">
        <v>560272</v>
      </c>
      <c r="F20" s="19">
        <v>705342</v>
      </c>
      <c r="G20" s="19">
        <v>1097846</v>
      </c>
      <c r="H20" s="19">
        <v>1439812</v>
      </c>
      <c r="I20" s="19">
        <v>1859457</v>
      </c>
      <c r="J20" s="19">
        <v>2832257</v>
      </c>
      <c r="K20" s="19">
        <v>4106161</v>
      </c>
      <c r="L20" s="19">
        <v>15732000</v>
      </c>
      <c r="M20" s="19">
        <v>22225000</v>
      </c>
    </row>
    <row r="21" spans="1:13" x14ac:dyDescent="0.25">
      <c r="A21" t="s">
        <v>39</v>
      </c>
      <c r="B21" t="s">
        <v>40</v>
      </c>
      <c r="C21" t="s">
        <v>58</v>
      </c>
      <c r="D21" s="19">
        <v>-7142763</v>
      </c>
      <c r="E21" s="19">
        <v>-5234541</v>
      </c>
      <c r="F21" s="19">
        <v>-1137007</v>
      </c>
      <c r="G21" s="19">
        <v>19146536</v>
      </c>
      <c r="H21" s="19">
        <v>8774439</v>
      </c>
      <c r="I21" s="19">
        <v>7731921</v>
      </c>
      <c r="J21" s="19">
        <v>13189487</v>
      </c>
      <c r="K21" s="19">
        <v>20556212</v>
      </c>
      <c r="L21" s="19">
        <v>51108200</v>
      </c>
      <c r="M21" s="19">
        <v>82928900</v>
      </c>
    </row>
    <row r="22" spans="1:13" x14ac:dyDescent="0.25">
      <c r="A22" t="s">
        <v>39</v>
      </c>
      <c r="B22" t="s">
        <v>40</v>
      </c>
      <c r="C22" t="s">
        <v>59</v>
      </c>
      <c r="D22" s="19">
        <v>414137</v>
      </c>
      <c r="E22" s="19">
        <v>0</v>
      </c>
      <c r="F22" s="19">
        <v>1125149</v>
      </c>
      <c r="G22" s="19">
        <v>15122793</v>
      </c>
      <c r="H22" s="19">
        <v>-2431085</v>
      </c>
      <c r="I22" s="19">
        <v>-3681787</v>
      </c>
      <c r="J22" s="19">
        <v>-4599101</v>
      </c>
      <c r="K22" s="19">
        <v>-6401633</v>
      </c>
      <c r="L22" s="19">
        <v>-15469000</v>
      </c>
      <c r="M22" s="19">
        <v>-10576000</v>
      </c>
    </row>
    <row r="23" spans="1:13" x14ac:dyDescent="0.25">
      <c r="A23" t="s">
        <v>39</v>
      </c>
      <c r="B23" t="s">
        <v>40</v>
      </c>
      <c r="C23" t="s">
        <v>60</v>
      </c>
      <c r="D23" s="19">
        <v>-160617</v>
      </c>
      <c r="E23" s="19">
        <v>-190478</v>
      </c>
      <c r="F23" s="19">
        <v>-115188</v>
      </c>
      <c r="G23" s="19">
        <v>-146220</v>
      </c>
      <c r="H23" s="19">
        <v>-168142</v>
      </c>
      <c r="I23" s="19">
        <v>-349239</v>
      </c>
      <c r="J23" s="19">
        <v>-222030</v>
      </c>
      <c r="K23" s="19">
        <v>-193417</v>
      </c>
      <c r="L23" s="19">
        <v>-208200</v>
      </c>
      <c r="M23" s="19">
        <v>-51900</v>
      </c>
    </row>
    <row r="24" spans="1:13" x14ac:dyDescent="0.25">
      <c r="A24" t="s">
        <v>39</v>
      </c>
      <c r="B24" t="s">
        <v>40</v>
      </c>
      <c r="C24" t="s">
        <v>56</v>
      </c>
      <c r="D24" s="19">
        <v>574754</v>
      </c>
      <c r="E24" s="19">
        <v>190478</v>
      </c>
      <c r="F24" s="19">
        <v>1240337</v>
      </c>
      <c r="G24" s="19">
        <v>15269013</v>
      </c>
      <c r="H24" s="19">
        <v>-2262942</v>
      </c>
      <c r="I24" s="19">
        <v>-3332547</v>
      </c>
      <c r="J24" s="19">
        <v>-4377070</v>
      </c>
      <c r="K24" s="19">
        <v>-6208215</v>
      </c>
      <c r="L24" s="19">
        <v>-15260800</v>
      </c>
      <c r="M24" s="19">
        <v>-10524100</v>
      </c>
    </row>
    <row r="25" spans="1:13" x14ac:dyDescent="0.25">
      <c r="A25" t="s">
        <v>39</v>
      </c>
      <c r="B25" t="s">
        <v>40</v>
      </c>
      <c r="C25" t="s">
        <v>58</v>
      </c>
      <c r="D25" s="19">
        <v>-7142763</v>
      </c>
      <c r="E25" s="19">
        <v>-5234541</v>
      </c>
      <c r="F25" s="19">
        <v>-1137007</v>
      </c>
      <c r="G25" s="19">
        <v>19146536</v>
      </c>
      <c r="H25" s="19">
        <v>8774439</v>
      </c>
      <c r="I25" s="19">
        <v>7731921</v>
      </c>
      <c r="J25" s="19">
        <v>13189487</v>
      </c>
      <c r="K25" s="19">
        <v>20556212</v>
      </c>
      <c r="L25" s="19">
        <v>51108200</v>
      </c>
      <c r="M25" s="19">
        <v>82928900</v>
      </c>
    </row>
    <row r="26" spans="1:13" x14ac:dyDescent="0.25">
      <c r="A26" t="s">
        <v>39</v>
      </c>
      <c r="B26" t="s">
        <v>40</v>
      </c>
      <c r="C26" t="s">
        <v>61</v>
      </c>
      <c r="D26" s="19">
        <v>53718</v>
      </c>
      <c r="E26" s="19">
        <v>57016</v>
      </c>
      <c r="F26" s="19">
        <v>78982</v>
      </c>
      <c r="G26" s="19">
        <v>325683</v>
      </c>
      <c r="H26" s="19">
        <v>576097</v>
      </c>
      <c r="I26" s="19">
        <v>714864</v>
      </c>
      <c r="J26" s="19">
        <v>2490282</v>
      </c>
      <c r="K26" s="19">
        <v>2850955</v>
      </c>
      <c r="L26" s="19">
        <v>4099000</v>
      </c>
      <c r="M26" s="19">
        <v>5481000</v>
      </c>
    </row>
    <row r="27" spans="1:13" x14ac:dyDescent="0.25">
      <c r="A27" t="s">
        <v>39</v>
      </c>
      <c r="B27" t="s">
        <v>40</v>
      </c>
      <c r="C27" t="s">
        <v>62</v>
      </c>
      <c r="D27" s="19">
        <v>-5055985</v>
      </c>
      <c r="E27" s="19">
        <v>-3572416</v>
      </c>
      <c r="F27" s="19">
        <v>-1373556</v>
      </c>
      <c r="G27" s="19">
        <v>3369302</v>
      </c>
      <c r="H27" s="19">
        <v>8734208</v>
      </c>
      <c r="I27" s="19">
        <v>9017829</v>
      </c>
      <c r="J27" s="19">
        <v>15636549</v>
      </c>
      <c r="K27" s="19">
        <v>22817902</v>
      </c>
      <c r="L27" s="19">
        <v>55276900</v>
      </c>
      <c r="M27" s="19">
        <v>77565600</v>
      </c>
    </row>
    <row r="28" spans="1:13" x14ac:dyDescent="0.25">
      <c r="A28" t="s">
        <v>39</v>
      </c>
      <c r="B28" t="s">
        <v>40</v>
      </c>
      <c r="C28" t="s">
        <v>63</v>
      </c>
      <c r="D28" s="19">
        <v>1174192</v>
      </c>
      <c r="E28" s="19">
        <v>-155358</v>
      </c>
      <c r="F28" s="19">
        <v>-4605007</v>
      </c>
      <c r="G28" s="19">
        <v>3063755</v>
      </c>
      <c r="H28" s="19">
        <v>-6950065</v>
      </c>
      <c r="I28" s="19">
        <v>-10906473</v>
      </c>
      <c r="J28" s="19">
        <v>-6130110</v>
      </c>
      <c r="K28" s="19">
        <v>-1143940</v>
      </c>
      <c r="L28" s="19">
        <v>-11695056</v>
      </c>
      <c r="M28" s="19">
        <v>-22061000</v>
      </c>
    </row>
    <row r="29" spans="1:13" x14ac:dyDescent="0.25">
      <c r="A29" t="s">
        <v>39</v>
      </c>
      <c r="B29" t="s">
        <v>40</v>
      </c>
      <c r="C29" t="s">
        <v>64</v>
      </c>
      <c r="D29" s="19">
        <v>-3881793</v>
      </c>
      <c r="E29" s="19">
        <v>-3727774</v>
      </c>
      <c r="F29" s="19">
        <v>-5978563</v>
      </c>
      <c r="G29" s="19">
        <v>6433057</v>
      </c>
      <c r="H29" s="19">
        <v>1784143</v>
      </c>
      <c r="I29" s="19">
        <v>-1888643</v>
      </c>
      <c r="J29" s="19">
        <v>9506439</v>
      </c>
      <c r="K29" s="19">
        <v>21673962</v>
      </c>
      <c r="L29" s="19">
        <v>43581844</v>
      </c>
      <c r="M29" s="19">
        <v>55504600</v>
      </c>
    </row>
    <row r="30" spans="1:13" x14ac:dyDescent="0.25">
      <c r="A30" t="s">
        <v>39</v>
      </c>
      <c r="B30" t="s">
        <v>40</v>
      </c>
      <c r="C30" t="s">
        <v>65</v>
      </c>
      <c r="D30" s="19">
        <v>405986</v>
      </c>
      <c r="E30" s="19">
        <v>2192379</v>
      </c>
      <c r="F30" s="19">
        <v>4018262</v>
      </c>
      <c r="G30" s="19">
        <v>6874626</v>
      </c>
      <c r="H30" s="19">
        <v>5088028</v>
      </c>
      <c r="I30" s="19">
        <v>7565465</v>
      </c>
      <c r="J30" s="19">
        <v>10046081</v>
      </c>
      <c r="K30" s="19">
        <v>16632900</v>
      </c>
      <c r="L30" s="19">
        <v>26306000</v>
      </c>
      <c r="M30" s="19">
        <v>29531000</v>
      </c>
    </row>
    <row r="31" spans="1:13" x14ac:dyDescent="0.25">
      <c r="A31" t="s">
        <v>39</v>
      </c>
      <c r="B31" t="s">
        <v>40</v>
      </c>
      <c r="C31" t="s">
        <v>66</v>
      </c>
      <c r="D31" s="19">
        <v>67184</v>
      </c>
      <c r="E31" s="19">
        <v>310432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</row>
    <row r="32" spans="1:13" x14ac:dyDescent="0.25">
      <c r="A32" t="s">
        <v>39</v>
      </c>
      <c r="B32" t="s">
        <v>40</v>
      </c>
      <c r="C32" t="s">
        <v>67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</row>
    <row r="33" spans="1:13" x14ac:dyDescent="0.25">
      <c r="A33" t="s">
        <v>39</v>
      </c>
      <c r="B33" t="s">
        <v>40</v>
      </c>
      <c r="C33" t="s">
        <v>68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</row>
    <row r="34" spans="1:13" x14ac:dyDescent="0.25">
      <c r="A34" t="s">
        <v>39</v>
      </c>
      <c r="B34" t="s">
        <v>40</v>
      </c>
      <c r="C34" t="s">
        <v>69</v>
      </c>
      <c r="D34" s="19">
        <v>351860</v>
      </c>
      <c r="E34" s="19">
        <v>103366</v>
      </c>
      <c r="F34" s="19">
        <v>1435271</v>
      </c>
      <c r="G34" s="19">
        <v>644566</v>
      </c>
      <c r="H34" s="19">
        <v>764737</v>
      </c>
      <c r="I34" s="19">
        <v>780997</v>
      </c>
      <c r="J34" s="19">
        <v>1799377</v>
      </c>
      <c r="K34" s="19">
        <v>2570332</v>
      </c>
      <c r="L34" s="19">
        <v>5283000</v>
      </c>
      <c r="M34" s="19">
        <v>8664000</v>
      </c>
    </row>
    <row r="35" spans="1:13" x14ac:dyDescent="0.25">
      <c r="A35" t="s">
        <v>39</v>
      </c>
      <c r="B35" t="s">
        <v>40</v>
      </c>
      <c r="C35" t="s">
        <v>70</v>
      </c>
      <c r="D35" s="19">
        <v>662230</v>
      </c>
      <c r="E35" s="19">
        <v>2247321</v>
      </c>
      <c r="F35" s="19">
        <v>1792076</v>
      </c>
      <c r="G35" s="19">
        <v>8104155</v>
      </c>
      <c r="H35" s="19">
        <v>5227744</v>
      </c>
      <c r="I35" s="19">
        <v>3363071</v>
      </c>
      <c r="J35" s="19">
        <v>5369919</v>
      </c>
      <c r="K35" s="19">
        <v>9095559</v>
      </c>
      <c r="L35" s="19">
        <v>13945000</v>
      </c>
      <c r="M35" s="19">
        <v>16630000</v>
      </c>
    </row>
    <row r="36" spans="1:13" x14ac:dyDescent="0.25">
      <c r="A36" t="s">
        <v>39</v>
      </c>
      <c r="B36" t="s">
        <v>40</v>
      </c>
      <c r="C36" t="s">
        <v>71</v>
      </c>
      <c r="D36" s="19">
        <v>1389653</v>
      </c>
      <c r="E36" s="19">
        <v>2192478</v>
      </c>
      <c r="F36" s="19">
        <v>2457095</v>
      </c>
      <c r="G36" s="19">
        <v>3747617</v>
      </c>
      <c r="H36" s="19">
        <v>4080145</v>
      </c>
      <c r="I36" s="19">
        <v>5053154</v>
      </c>
      <c r="J36" s="19">
        <v>7811054</v>
      </c>
      <c r="K36" s="19">
        <v>16117929</v>
      </c>
      <c r="L36" s="19">
        <v>23858000</v>
      </c>
      <c r="M36" s="19">
        <v>24425000</v>
      </c>
    </row>
    <row r="37" spans="1:13" x14ac:dyDescent="0.25">
      <c r="A37" t="s">
        <v>39</v>
      </c>
      <c r="B37" t="s">
        <v>40</v>
      </c>
      <c r="C37" t="s">
        <v>72</v>
      </c>
      <c r="D37" s="19">
        <v>0</v>
      </c>
      <c r="E37" s="19">
        <v>88897</v>
      </c>
      <c r="F37" s="19">
        <v>88897</v>
      </c>
      <c r="G37" s="19">
        <v>88897</v>
      </c>
      <c r="H37" s="19">
        <v>417479</v>
      </c>
      <c r="I37" s="19">
        <v>259419</v>
      </c>
      <c r="J37" s="19">
        <v>88879</v>
      </c>
      <c r="K37" s="19">
        <v>315800</v>
      </c>
      <c r="L37" s="19">
        <v>1008000</v>
      </c>
      <c r="M37" s="19">
        <v>127000</v>
      </c>
    </row>
    <row r="38" spans="1:13" x14ac:dyDescent="0.25">
      <c r="A38" t="s">
        <v>39</v>
      </c>
      <c r="B38" t="s">
        <v>40</v>
      </c>
      <c r="C38" t="s">
        <v>73</v>
      </c>
      <c r="D38" s="19">
        <v>-1226853</v>
      </c>
      <c r="E38" s="19">
        <v>-1922519</v>
      </c>
      <c r="F38" s="19">
        <v>1115465</v>
      </c>
      <c r="G38" s="19">
        <v>-4421477</v>
      </c>
      <c r="H38" s="19">
        <v>-3872603</v>
      </c>
      <c r="I38" s="19">
        <v>-329182</v>
      </c>
      <c r="J38" s="19">
        <v>-1424394</v>
      </c>
      <c r="K38" s="19">
        <v>-6326056</v>
      </c>
      <c r="L38" s="19">
        <v>-7222000</v>
      </c>
      <c r="M38" s="19">
        <v>-2987000</v>
      </c>
    </row>
    <row r="39" spans="1:13" x14ac:dyDescent="0.25">
      <c r="A39" t="s">
        <v>39</v>
      </c>
      <c r="B39" t="s">
        <v>40</v>
      </c>
      <c r="C39" t="s">
        <v>74</v>
      </c>
      <c r="D39" s="19">
        <v>-977144</v>
      </c>
      <c r="E39" s="19">
        <v>1786393</v>
      </c>
      <c r="F39" s="19">
        <v>1825883</v>
      </c>
      <c r="G39" s="19">
        <v>2856364</v>
      </c>
      <c r="H39" s="19">
        <v>-1786598</v>
      </c>
      <c r="I39" s="19">
        <v>2477437</v>
      </c>
      <c r="J39" s="19">
        <v>2480616</v>
      </c>
      <c r="K39" s="19">
        <v>6586819</v>
      </c>
      <c r="L39" s="19">
        <v>9673100</v>
      </c>
      <c r="M39" s="19">
        <v>3225000</v>
      </c>
    </row>
    <row r="40" spans="1:13" x14ac:dyDescent="0.25">
      <c r="A40" t="s">
        <v>39</v>
      </c>
      <c r="B40" t="s">
        <v>40</v>
      </c>
      <c r="C40" t="s">
        <v>75</v>
      </c>
      <c r="D40" s="19">
        <v>47084</v>
      </c>
      <c r="E40" s="19">
        <v>243248</v>
      </c>
      <c r="F40" s="19">
        <v>-310432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</row>
    <row r="41" spans="1:13" x14ac:dyDescent="0.25">
      <c r="A41" t="s">
        <v>39</v>
      </c>
      <c r="B41" t="s">
        <v>40</v>
      </c>
      <c r="C41" t="s">
        <v>76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</row>
    <row r="42" spans="1:13" x14ac:dyDescent="0.25">
      <c r="A42" t="s">
        <v>39</v>
      </c>
      <c r="B42" t="s">
        <v>40</v>
      </c>
      <c r="C42" t="s">
        <v>77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</row>
    <row r="43" spans="1:13" x14ac:dyDescent="0.25">
      <c r="A43" t="s">
        <v>39</v>
      </c>
      <c r="B43" t="s">
        <v>40</v>
      </c>
      <c r="C43" t="s">
        <v>78</v>
      </c>
      <c r="D43" s="19">
        <v>28092</v>
      </c>
      <c r="E43" s="19">
        <v>-248494</v>
      </c>
      <c r="F43" s="19">
        <v>1331905</v>
      </c>
      <c r="G43" s="19">
        <v>-790705</v>
      </c>
      <c r="H43" s="19">
        <v>120171</v>
      </c>
      <c r="I43" s="19">
        <v>16260</v>
      </c>
      <c r="J43" s="19">
        <v>1018380</v>
      </c>
      <c r="K43" s="19">
        <v>770955</v>
      </c>
      <c r="L43" s="19">
        <v>2712668</v>
      </c>
      <c r="M43" s="19">
        <v>3381000</v>
      </c>
    </row>
    <row r="44" spans="1:13" x14ac:dyDescent="0.25">
      <c r="A44" t="s">
        <v>39</v>
      </c>
      <c r="B44" t="s">
        <v>40</v>
      </c>
      <c r="C44" t="s">
        <v>79</v>
      </c>
      <c r="D44" s="19">
        <v>-79169</v>
      </c>
      <c r="E44" s="19">
        <v>1585091</v>
      </c>
      <c r="F44" s="19">
        <v>-455245</v>
      </c>
      <c r="G44" s="19">
        <v>6312079</v>
      </c>
      <c r="H44" s="19">
        <v>-2876411</v>
      </c>
      <c r="I44" s="19">
        <v>-1864673</v>
      </c>
      <c r="J44" s="19">
        <v>2006848</v>
      </c>
      <c r="K44" s="19">
        <v>3725640</v>
      </c>
      <c r="L44" s="19">
        <v>4849441</v>
      </c>
      <c r="M44" s="19">
        <v>2685000</v>
      </c>
    </row>
    <row r="45" spans="1:13" x14ac:dyDescent="0.25">
      <c r="A45" t="s">
        <v>39</v>
      </c>
      <c r="B45" t="s">
        <v>40</v>
      </c>
      <c r="C45" t="s">
        <v>80</v>
      </c>
      <c r="D45" s="19">
        <v>321242</v>
      </c>
      <c r="E45" s="19">
        <v>802825</v>
      </c>
      <c r="F45" s="19">
        <v>264617</v>
      </c>
      <c r="G45" s="19">
        <v>1290522</v>
      </c>
      <c r="H45" s="19">
        <v>332528</v>
      </c>
      <c r="I45" s="19">
        <v>973009</v>
      </c>
      <c r="J45" s="19">
        <v>2757900</v>
      </c>
      <c r="K45" s="19">
        <v>8306875</v>
      </c>
      <c r="L45" s="19">
        <v>7740071</v>
      </c>
      <c r="M45" s="19">
        <v>567000</v>
      </c>
    </row>
    <row r="46" spans="1:13" x14ac:dyDescent="0.25">
      <c r="A46" t="s">
        <v>39</v>
      </c>
      <c r="B46" t="s">
        <v>40</v>
      </c>
      <c r="C46" t="s">
        <v>81</v>
      </c>
      <c r="D46" s="19">
        <v>0</v>
      </c>
      <c r="E46" s="19">
        <v>88897</v>
      </c>
      <c r="F46" s="19">
        <v>0</v>
      </c>
      <c r="G46" s="19">
        <v>0</v>
      </c>
      <c r="H46" s="19">
        <v>328582</v>
      </c>
      <c r="I46" s="19">
        <v>-158060</v>
      </c>
      <c r="J46" s="19">
        <v>-170540</v>
      </c>
      <c r="K46" s="19">
        <v>226921</v>
      </c>
      <c r="L46" s="19">
        <v>692200</v>
      </c>
      <c r="M46" s="19">
        <v>-881000</v>
      </c>
    </row>
    <row r="47" spans="1:13" x14ac:dyDescent="0.25">
      <c r="A47" t="s">
        <v>39</v>
      </c>
      <c r="B47" t="s">
        <v>40</v>
      </c>
      <c r="C47" t="s">
        <v>82</v>
      </c>
      <c r="D47" s="19">
        <v>-1144041</v>
      </c>
      <c r="E47" s="19">
        <v>-695666</v>
      </c>
      <c r="F47" s="19">
        <v>3037984</v>
      </c>
      <c r="G47" s="19">
        <v>-5536942</v>
      </c>
      <c r="H47" s="19">
        <v>548874</v>
      </c>
      <c r="I47" s="19">
        <v>3543421</v>
      </c>
      <c r="J47" s="19">
        <v>-1095212</v>
      </c>
      <c r="K47" s="19">
        <v>-4901662</v>
      </c>
      <c r="L47" s="19">
        <v>-895944</v>
      </c>
      <c r="M47" s="19">
        <v>4235000</v>
      </c>
    </row>
    <row r="48" spans="1:13" x14ac:dyDescent="0.25">
      <c r="A48" t="s">
        <v>39</v>
      </c>
      <c r="B48" t="s">
        <v>40</v>
      </c>
      <c r="C48" t="s">
        <v>83</v>
      </c>
      <c r="D48" s="19">
        <v>30151</v>
      </c>
      <c r="E48" s="19">
        <v>-851024</v>
      </c>
      <c r="F48" s="19">
        <v>-1567023</v>
      </c>
      <c r="G48" s="19">
        <v>-2473187</v>
      </c>
      <c r="H48" s="19">
        <v>-6401191</v>
      </c>
      <c r="I48" s="19">
        <v>-7363052</v>
      </c>
      <c r="J48" s="19">
        <v>-7225322</v>
      </c>
      <c r="K48" s="19">
        <v>-6045602</v>
      </c>
      <c r="L48" s="19">
        <v>-12591000</v>
      </c>
      <c r="M48" s="19">
        <v>-17826000</v>
      </c>
    </row>
    <row r="49" spans="1:13" x14ac:dyDescent="0.25">
      <c r="A49" t="s">
        <v>39</v>
      </c>
      <c r="B49" t="s">
        <v>40</v>
      </c>
      <c r="C49" t="s">
        <v>84</v>
      </c>
      <c r="D49" s="19">
        <v>957976</v>
      </c>
      <c r="E49" s="19">
        <v>-881175</v>
      </c>
      <c r="F49" s="19">
        <v>-715999</v>
      </c>
      <c r="G49" s="19">
        <v>-906164</v>
      </c>
      <c r="H49" s="19">
        <v>-3928004</v>
      </c>
      <c r="I49" s="19">
        <v>-961861</v>
      </c>
      <c r="J49" s="19">
        <v>137730</v>
      </c>
      <c r="K49" s="19">
        <v>1179720</v>
      </c>
      <c r="L49" s="19">
        <v>-6545398</v>
      </c>
      <c r="M49" s="19">
        <v>-5235000</v>
      </c>
    </row>
    <row r="50" spans="1:13" x14ac:dyDescent="0.25">
      <c r="A50" t="s">
        <v>39</v>
      </c>
      <c r="B50" t="s">
        <v>40</v>
      </c>
      <c r="C50" t="s">
        <v>82</v>
      </c>
      <c r="D50" s="19">
        <v>-1144041</v>
      </c>
      <c r="E50" s="19">
        <v>-695666</v>
      </c>
      <c r="F50" s="19">
        <v>3037984</v>
      </c>
      <c r="G50" s="19">
        <v>-5536942</v>
      </c>
      <c r="H50" s="19">
        <v>548874</v>
      </c>
      <c r="I50" s="19">
        <v>3543421</v>
      </c>
      <c r="J50" s="19">
        <v>-1095212</v>
      </c>
      <c r="K50" s="19">
        <v>-4901662</v>
      </c>
      <c r="L50" s="19">
        <v>-895944</v>
      </c>
      <c r="M50" s="19">
        <v>4235000</v>
      </c>
    </row>
    <row r="51" spans="1:13" x14ac:dyDescent="0.25">
      <c r="A51" t="s">
        <v>39</v>
      </c>
      <c r="B51" t="s">
        <v>40</v>
      </c>
      <c r="C51" t="s">
        <v>83</v>
      </c>
      <c r="D51" s="19">
        <v>30151</v>
      </c>
      <c r="E51" s="19">
        <v>-851024</v>
      </c>
      <c r="F51" s="19">
        <v>-1567023</v>
      </c>
      <c r="G51" s="19">
        <v>-2473187</v>
      </c>
      <c r="H51" s="19">
        <v>-6401191</v>
      </c>
      <c r="I51" s="19">
        <v>-7363052</v>
      </c>
      <c r="J51" s="19">
        <v>-7225322</v>
      </c>
      <c r="K51" s="19">
        <v>-6045602</v>
      </c>
      <c r="L51" s="19">
        <v>-12591000</v>
      </c>
      <c r="M51" s="19">
        <v>-17826000</v>
      </c>
    </row>
    <row r="52" spans="1:13" x14ac:dyDescent="0.25">
      <c r="A52" t="s">
        <v>39</v>
      </c>
      <c r="B52" t="s">
        <v>40</v>
      </c>
      <c r="C52" t="s">
        <v>63</v>
      </c>
      <c r="D52" s="19">
        <v>1174192</v>
      </c>
      <c r="E52" s="19">
        <v>-155358</v>
      </c>
      <c r="F52" s="19">
        <v>-4605007</v>
      </c>
      <c r="G52" s="19">
        <v>3063755</v>
      </c>
      <c r="H52" s="19">
        <v>-6950065</v>
      </c>
      <c r="I52" s="19">
        <v>-10906473</v>
      </c>
      <c r="J52" s="19">
        <v>-6130110</v>
      </c>
      <c r="K52" s="19">
        <v>-1143940</v>
      </c>
      <c r="L52" s="19">
        <v>-11695056</v>
      </c>
      <c r="M52" s="19">
        <v>-22061000</v>
      </c>
    </row>
    <row r="53" spans="1:13" x14ac:dyDescent="0.25">
      <c r="A53" t="s">
        <v>39</v>
      </c>
      <c r="B53" t="s">
        <v>40</v>
      </c>
      <c r="C53" t="s">
        <v>85</v>
      </c>
      <c r="D53" s="19">
        <v>-7725426</v>
      </c>
      <c r="E53" s="19">
        <v>-5617839</v>
      </c>
      <c r="F53" s="19">
        <v>-1085672</v>
      </c>
      <c r="G53" s="19">
        <v>3312381</v>
      </c>
      <c r="H53" s="19">
        <v>11740625</v>
      </c>
      <c r="I53" s="19">
        <v>10985639</v>
      </c>
      <c r="J53" s="19">
        <v>25042386</v>
      </c>
      <c r="K53" s="19">
        <v>28141740</v>
      </c>
      <c r="L53" s="19">
        <v>60234000</v>
      </c>
      <c r="M53" s="19">
        <v>97351000</v>
      </c>
    </row>
    <row r="54" spans="1:13" x14ac:dyDescent="0.25">
      <c r="A54" t="s">
        <v>39</v>
      </c>
      <c r="B54" t="s">
        <v>40</v>
      </c>
      <c r="C54" t="s">
        <v>86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</row>
    <row r="55" spans="1:13" x14ac:dyDescent="0.25">
      <c r="A55" t="s">
        <v>39</v>
      </c>
      <c r="B55" t="s">
        <v>40</v>
      </c>
      <c r="C55" t="s">
        <v>87</v>
      </c>
      <c r="D55" s="19">
        <v>478200</v>
      </c>
      <c r="E55" s="19">
        <v>386320</v>
      </c>
      <c r="F55" s="19">
        <v>407590</v>
      </c>
      <c r="G55" s="19">
        <v>622999</v>
      </c>
      <c r="H55" s="19">
        <v>509966</v>
      </c>
      <c r="I55" s="19">
        <v>645014</v>
      </c>
      <c r="J55" s="19">
        <v>633021</v>
      </c>
      <c r="K55" s="19">
        <v>849977</v>
      </c>
      <c r="L55" s="19">
        <v>1618000</v>
      </c>
      <c r="M55" s="19">
        <v>2102000</v>
      </c>
    </row>
    <row r="56" spans="1:13" x14ac:dyDescent="0.25">
      <c r="A56" t="s">
        <v>39</v>
      </c>
      <c r="B56" t="s">
        <v>40</v>
      </c>
      <c r="C56" t="s">
        <v>88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-204408</v>
      </c>
      <c r="K56" s="19">
        <v>-210952</v>
      </c>
      <c r="L56" s="19">
        <v>-254000</v>
      </c>
      <c r="M56" s="19">
        <v>-315000</v>
      </c>
    </row>
    <row r="57" spans="1:13" x14ac:dyDescent="0.25">
      <c r="A57" t="s">
        <v>39</v>
      </c>
      <c r="B57" t="s">
        <v>40</v>
      </c>
      <c r="C57" t="s">
        <v>89</v>
      </c>
      <c r="D57" s="19">
        <v>1588298</v>
      </c>
      <c r="E57" s="19">
        <v>28327</v>
      </c>
      <c r="F57" s="19">
        <v>828614</v>
      </c>
      <c r="G57" s="19">
        <v>127428</v>
      </c>
      <c r="H57" s="19">
        <v>0</v>
      </c>
      <c r="I57" s="19">
        <v>0</v>
      </c>
      <c r="J57" s="19">
        <v>-212620</v>
      </c>
      <c r="K57" s="19">
        <v>-7353973</v>
      </c>
      <c r="L57" s="19">
        <v>-17132000</v>
      </c>
      <c r="M57" s="19">
        <v>-9913000</v>
      </c>
    </row>
    <row r="58" spans="1:13" x14ac:dyDescent="0.25">
      <c r="A58" t="s">
        <v>39</v>
      </c>
      <c r="B58" t="s">
        <v>40</v>
      </c>
      <c r="C58" t="s">
        <v>90</v>
      </c>
      <c r="D58" s="19">
        <v>30151</v>
      </c>
      <c r="E58" s="19">
        <v>-851024</v>
      </c>
      <c r="F58" s="19">
        <v>-1567023</v>
      </c>
      <c r="G58" s="19">
        <v>-2473187</v>
      </c>
      <c r="H58" s="19">
        <v>-6401191</v>
      </c>
      <c r="I58" s="19">
        <v>-7363052</v>
      </c>
      <c r="J58" s="19">
        <v>-7225322</v>
      </c>
      <c r="K58" s="19">
        <v>-6045602</v>
      </c>
      <c r="L58" s="19">
        <v>-12591000</v>
      </c>
      <c r="M58" s="19">
        <v>-17826000</v>
      </c>
    </row>
    <row r="59" spans="1:13" x14ac:dyDescent="0.25">
      <c r="A59" t="s">
        <v>39</v>
      </c>
      <c r="B59" t="s">
        <v>40</v>
      </c>
      <c r="C59" t="s">
        <v>91</v>
      </c>
      <c r="D59" s="19">
        <v>-5628777</v>
      </c>
      <c r="E59" s="19">
        <v>-6054216</v>
      </c>
      <c r="F59" s="19">
        <v>-262790</v>
      </c>
      <c r="G59" s="19">
        <v>1589621</v>
      </c>
      <c r="H59" s="19">
        <v>5849400</v>
      </c>
      <c r="I59" s="19">
        <v>4267601</v>
      </c>
      <c r="J59" s="19">
        <v>18033057</v>
      </c>
      <c r="K59" s="19">
        <v>13119436</v>
      </c>
      <c r="L59" s="19">
        <v>24340000</v>
      </c>
      <c r="M59" s="19">
        <v>57664000</v>
      </c>
    </row>
    <row r="60" spans="1:13" x14ac:dyDescent="0.25">
      <c r="A60" t="s">
        <v>39</v>
      </c>
      <c r="B60" t="s">
        <v>40</v>
      </c>
      <c r="C60" t="s">
        <v>92</v>
      </c>
      <c r="D60" s="19">
        <v>-360726</v>
      </c>
      <c r="E60" s="19">
        <v>125000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</row>
    <row r="61" spans="1:13" x14ac:dyDescent="0.25">
      <c r="A61" t="s">
        <v>39</v>
      </c>
      <c r="B61" t="s">
        <v>40</v>
      </c>
      <c r="C61" t="s">
        <v>93</v>
      </c>
      <c r="D61" s="19">
        <v>-5989503</v>
      </c>
      <c r="E61" s="19">
        <v>-5929216</v>
      </c>
      <c r="F61" s="19">
        <v>-262790</v>
      </c>
      <c r="G61" s="19">
        <v>1589621</v>
      </c>
      <c r="H61" s="19">
        <v>5849400</v>
      </c>
      <c r="I61" s="19">
        <v>4267601</v>
      </c>
      <c r="J61" s="19">
        <v>18033057</v>
      </c>
      <c r="K61" s="19">
        <v>13119436</v>
      </c>
      <c r="L61" s="19">
        <v>24340000</v>
      </c>
      <c r="M61" s="19">
        <v>57664000</v>
      </c>
    </row>
    <row r="62" spans="1:13" x14ac:dyDescent="0.25">
      <c r="A62" t="s">
        <v>39</v>
      </c>
      <c r="B62" t="s">
        <v>40</v>
      </c>
      <c r="C62" t="s">
        <v>94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-3423166</v>
      </c>
      <c r="J62" s="19">
        <v>-3826943</v>
      </c>
      <c r="K62" s="19">
        <v>-5274623</v>
      </c>
      <c r="L62" s="19">
        <v>-9773000</v>
      </c>
      <c r="M62" s="19">
        <v>-21219000</v>
      </c>
    </row>
    <row r="63" spans="1:13" x14ac:dyDescent="0.25">
      <c r="A63" t="s">
        <v>39</v>
      </c>
      <c r="B63" t="s">
        <v>40</v>
      </c>
      <c r="C63" t="s">
        <v>95</v>
      </c>
      <c r="D63" s="19">
        <v>-5989503</v>
      </c>
      <c r="E63" s="19">
        <v>-5929216</v>
      </c>
      <c r="F63" s="19">
        <v>-262790</v>
      </c>
      <c r="G63" s="19">
        <v>1589621</v>
      </c>
      <c r="H63" s="19">
        <v>5849400</v>
      </c>
      <c r="I63" s="19">
        <v>844435</v>
      </c>
      <c r="J63" s="19">
        <v>14206114</v>
      </c>
      <c r="K63" s="19">
        <v>7844813</v>
      </c>
      <c r="L63" s="19">
        <v>14567000</v>
      </c>
      <c r="M63" s="19">
        <v>36445000</v>
      </c>
    </row>
    <row r="64" spans="1:13" x14ac:dyDescent="0.25">
      <c r="A64" t="s">
        <v>39</v>
      </c>
      <c r="B64" t="s">
        <v>40</v>
      </c>
      <c r="C64" t="s">
        <v>96</v>
      </c>
      <c r="D64" s="19">
        <v>330403</v>
      </c>
      <c r="E64" s="19">
        <v>293443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</row>
    <row r="65" spans="1:13" x14ac:dyDescent="0.25">
      <c r="A65" t="s">
        <v>39</v>
      </c>
      <c r="B65" t="s">
        <v>40</v>
      </c>
      <c r="C65" t="s">
        <v>97</v>
      </c>
      <c r="D65" s="19">
        <v>-5659100</v>
      </c>
      <c r="E65" s="19">
        <v>-5635773</v>
      </c>
      <c r="F65" s="19">
        <v>-262790</v>
      </c>
      <c r="G65" s="19">
        <v>1589621</v>
      </c>
      <c r="H65" s="19">
        <v>5849400</v>
      </c>
      <c r="I65" s="19">
        <v>844435</v>
      </c>
      <c r="J65" s="19">
        <v>14206114</v>
      </c>
      <c r="K65" s="19">
        <v>7844813</v>
      </c>
      <c r="L65" s="19">
        <v>14567000</v>
      </c>
      <c r="M65" s="19">
        <v>36445000</v>
      </c>
    </row>
    <row r="66" spans="1:13" x14ac:dyDescent="0.25">
      <c r="A66" t="s">
        <v>39</v>
      </c>
      <c r="B66" t="s">
        <v>40</v>
      </c>
      <c r="C66" t="s">
        <v>98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1670311</v>
      </c>
      <c r="K66" s="19">
        <v>5329461</v>
      </c>
      <c r="L66" s="19">
        <v>13312000</v>
      </c>
      <c r="M66" s="19">
        <v>3765000</v>
      </c>
    </row>
    <row r="67" spans="1:13" x14ac:dyDescent="0.25">
      <c r="A67" t="s">
        <v>39</v>
      </c>
      <c r="B67" t="s">
        <v>40</v>
      </c>
      <c r="C67" t="s">
        <v>99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4385270</v>
      </c>
      <c r="K67" s="19">
        <v>13924697</v>
      </c>
      <c r="L67" s="19">
        <v>36167000</v>
      </c>
      <c r="M67" s="19">
        <v>36409000</v>
      </c>
    </row>
    <row r="68" spans="1:13" x14ac:dyDescent="0.25">
      <c r="A68" t="s">
        <v>39</v>
      </c>
      <c r="B68" t="s">
        <v>40</v>
      </c>
      <c r="C68" t="s">
        <v>100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6055581</v>
      </c>
      <c r="K68" s="19">
        <v>19254158</v>
      </c>
      <c r="L68" s="19">
        <v>49479000</v>
      </c>
      <c r="M68" s="19">
        <v>40174000</v>
      </c>
    </row>
    <row r="69" spans="1:13" x14ac:dyDescent="0.25">
      <c r="A69" t="s">
        <v>39</v>
      </c>
      <c r="B69" t="s">
        <v>40</v>
      </c>
      <c r="C69" t="s">
        <v>101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1670311</v>
      </c>
      <c r="K69" s="19">
        <v>3659150</v>
      </c>
      <c r="L69" s="19">
        <v>7982539</v>
      </c>
      <c r="M69" s="19">
        <v>-9547000</v>
      </c>
    </row>
    <row r="70" spans="1:13" x14ac:dyDescent="0.25">
      <c r="A70" t="s">
        <v>39</v>
      </c>
      <c r="B70" t="s">
        <v>40</v>
      </c>
      <c r="C70" t="s">
        <v>102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4385270</v>
      </c>
      <c r="K70" s="19">
        <v>9539427</v>
      </c>
      <c r="L70" s="19">
        <v>22242303</v>
      </c>
      <c r="M70" s="19">
        <v>242000</v>
      </c>
    </row>
    <row r="71" spans="1:13" x14ac:dyDescent="0.25">
      <c r="A71" t="s">
        <v>39</v>
      </c>
      <c r="B71" t="s">
        <v>40</v>
      </c>
      <c r="C71" t="s">
        <v>103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6055581</v>
      </c>
      <c r="K71" s="19">
        <v>13198577</v>
      </c>
      <c r="L71" s="19">
        <v>30224842</v>
      </c>
      <c r="M71" s="19">
        <v>-9305000</v>
      </c>
    </row>
    <row r="72" spans="1:13" x14ac:dyDescent="0.25">
      <c r="A72" t="s">
        <v>39</v>
      </c>
      <c r="B72" t="s">
        <v>40</v>
      </c>
      <c r="C72" t="s">
        <v>50</v>
      </c>
      <c r="D72" s="19">
        <v>13779844</v>
      </c>
      <c r="E72" s="19">
        <v>12108825</v>
      </c>
      <c r="F72" s="19">
        <v>9267163</v>
      </c>
      <c r="G72" s="19">
        <v>10836646</v>
      </c>
      <c r="H72" s="19">
        <v>16958996</v>
      </c>
      <c r="I72" s="19">
        <v>18465847</v>
      </c>
      <c r="J72" s="19">
        <v>33809323</v>
      </c>
      <c r="K72" s="19">
        <v>63461183</v>
      </c>
      <c r="L72" s="19">
        <v>43454000</v>
      </c>
      <c r="M72" s="19">
        <v>72747000</v>
      </c>
    </row>
    <row r="73" spans="1:13" x14ac:dyDescent="0.25">
      <c r="A73" t="s">
        <v>39</v>
      </c>
      <c r="B73" t="s">
        <v>40</v>
      </c>
      <c r="C73" t="s">
        <v>104</v>
      </c>
      <c r="D73" s="19">
        <v>4236998</v>
      </c>
      <c r="E73" s="19">
        <v>-1671019</v>
      </c>
      <c r="F73" s="19">
        <v>-2841662</v>
      </c>
      <c r="G73" s="19">
        <v>1569483</v>
      </c>
      <c r="H73" s="19">
        <v>6122350</v>
      </c>
      <c r="I73" s="19">
        <v>1506851</v>
      </c>
      <c r="J73" s="19">
        <v>15343476</v>
      </c>
      <c r="K73" s="19">
        <v>29651860</v>
      </c>
      <c r="L73" s="19">
        <v>-20007183</v>
      </c>
      <c r="M73" s="19">
        <v>29293000</v>
      </c>
    </row>
    <row r="74" spans="1:13" x14ac:dyDescent="0.25">
      <c r="A74" t="s">
        <v>39</v>
      </c>
      <c r="B74" t="s">
        <v>40</v>
      </c>
      <c r="C74" t="s">
        <v>105</v>
      </c>
      <c r="D74" s="19">
        <v>-13779844</v>
      </c>
      <c r="E74" s="19">
        <v>-12108825</v>
      </c>
      <c r="F74" s="19">
        <v>-9267163</v>
      </c>
      <c r="G74" s="19">
        <v>-10836646</v>
      </c>
      <c r="H74" s="19">
        <v>-16958996</v>
      </c>
      <c r="I74" s="19">
        <v>-18465847</v>
      </c>
      <c r="J74" s="19">
        <v>-27753742</v>
      </c>
      <c r="K74" s="19">
        <v>-44207025</v>
      </c>
      <c r="L74" s="19">
        <v>6025000</v>
      </c>
      <c r="M74" s="19">
        <v>-32573000</v>
      </c>
    </row>
    <row r="75" spans="1:13" x14ac:dyDescent="0.25">
      <c r="A75" t="s">
        <v>39</v>
      </c>
      <c r="B75" t="s">
        <v>40</v>
      </c>
      <c r="C75" t="s">
        <v>106</v>
      </c>
      <c r="D75" s="19">
        <v>-4236998</v>
      </c>
      <c r="E75" s="19">
        <v>1671019</v>
      </c>
      <c r="F75" s="19">
        <v>2841662</v>
      </c>
      <c r="G75" s="19">
        <v>-1569483</v>
      </c>
      <c r="H75" s="19">
        <v>-6122350</v>
      </c>
      <c r="I75" s="19">
        <v>-1506851</v>
      </c>
      <c r="J75" s="19">
        <v>-9287895</v>
      </c>
      <c r="K75" s="19">
        <v>-16453283</v>
      </c>
      <c r="L75" s="19">
        <v>50232025</v>
      </c>
      <c r="M75" s="19">
        <v>-38598000</v>
      </c>
    </row>
    <row r="76" spans="1:13" x14ac:dyDescent="0.25">
      <c r="A76" t="s">
        <v>39</v>
      </c>
      <c r="B76" t="s">
        <v>40</v>
      </c>
      <c r="C76" t="s">
        <v>107</v>
      </c>
      <c r="D76" s="19">
        <v>76988017</v>
      </c>
      <c r="E76" s="19">
        <v>82090454</v>
      </c>
      <c r="F76" s="19">
        <v>83080332</v>
      </c>
      <c r="G76" s="19">
        <v>89148977</v>
      </c>
      <c r="H76" s="19">
        <v>96183908</v>
      </c>
      <c r="I76" s="19">
        <v>98187400</v>
      </c>
      <c r="J76" s="19">
        <v>100146048</v>
      </c>
      <c r="K76" s="19">
        <v>199214378</v>
      </c>
      <c r="L76" s="19">
        <v>460447000</v>
      </c>
      <c r="M76" s="19">
        <v>491477000</v>
      </c>
    </row>
    <row r="77" spans="1:13" x14ac:dyDescent="0.25">
      <c r="A77" t="s">
        <v>39</v>
      </c>
      <c r="B77" t="s">
        <v>40</v>
      </c>
      <c r="C77" t="s">
        <v>108</v>
      </c>
      <c r="D77" s="19">
        <v>2275332</v>
      </c>
      <c r="E77" s="19">
        <v>3133845</v>
      </c>
      <c r="F77" s="19">
        <v>4396272</v>
      </c>
      <c r="G77" s="19">
        <v>4106404</v>
      </c>
      <c r="H77" s="19">
        <v>9030863</v>
      </c>
      <c r="I77" s="19">
        <v>18270990</v>
      </c>
      <c r="J77" s="19">
        <v>49670371</v>
      </c>
      <c r="K77" s="19">
        <v>56849027</v>
      </c>
      <c r="L77" s="19">
        <v>70206000</v>
      </c>
      <c r="M77" s="19">
        <v>93928000</v>
      </c>
    </row>
    <row r="78" spans="1:13" x14ac:dyDescent="0.25">
      <c r="A78" t="s">
        <v>39</v>
      </c>
      <c r="B78" t="s">
        <v>40</v>
      </c>
      <c r="C78" t="s">
        <v>109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</row>
    <row r="79" spans="1:13" x14ac:dyDescent="0.25">
      <c r="A79" t="s">
        <v>39</v>
      </c>
      <c r="B79" t="s">
        <v>40</v>
      </c>
      <c r="C79" t="s">
        <v>110</v>
      </c>
      <c r="D79" s="19">
        <v>-59822932</v>
      </c>
      <c r="E79" s="19">
        <v>-67326943</v>
      </c>
      <c r="F79" s="19">
        <v>-68514071</v>
      </c>
      <c r="G79" s="19">
        <v>-49639941</v>
      </c>
      <c r="H79" s="19">
        <v>-47349205</v>
      </c>
      <c r="I79" s="19">
        <v>-51534848</v>
      </c>
      <c r="J79" s="19">
        <v>-74993048</v>
      </c>
      <c r="K79" s="19">
        <v>-74993048</v>
      </c>
      <c r="L79" s="19">
        <v>-74993000</v>
      </c>
      <c r="M79" s="19">
        <v>-74993000</v>
      </c>
    </row>
    <row r="80" spans="1:13" x14ac:dyDescent="0.25">
      <c r="A80" t="s">
        <v>39</v>
      </c>
      <c r="B80" t="s">
        <v>40</v>
      </c>
      <c r="C80" t="s">
        <v>111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</row>
    <row r="81" spans="1:13" x14ac:dyDescent="0.25">
      <c r="A81" t="s">
        <v>39</v>
      </c>
      <c r="B81" t="s">
        <v>40</v>
      </c>
      <c r="C81" t="s">
        <v>112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</row>
    <row r="82" spans="1:13" x14ac:dyDescent="0.25">
      <c r="A82" t="s">
        <v>39</v>
      </c>
      <c r="B82" t="s">
        <v>40</v>
      </c>
      <c r="C82" t="s">
        <v>113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</row>
    <row r="83" spans="1:13" x14ac:dyDescent="0.25">
      <c r="A83" t="s">
        <v>39</v>
      </c>
      <c r="B83" t="s">
        <v>40</v>
      </c>
      <c r="C83" t="s">
        <v>53</v>
      </c>
      <c r="D83" s="19">
        <v>19440417</v>
      </c>
      <c r="E83" s="19">
        <v>17897356</v>
      </c>
      <c r="F83" s="19">
        <v>18962533</v>
      </c>
      <c r="G83" s="19">
        <v>43615440</v>
      </c>
      <c r="H83" s="19">
        <v>57865566</v>
      </c>
      <c r="I83" s="19">
        <v>64923542</v>
      </c>
      <c r="J83" s="19">
        <v>74823371</v>
      </c>
      <c r="K83" s="19">
        <v>181070357</v>
      </c>
      <c r="L83" s="19">
        <v>455660000</v>
      </c>
      <c r="M83" s="19">
        <v>510412000</v>
      </c>
    </row>
    <row r="84" spans="1:13" x14ac:dyDescent="0.25">
      <c r="A84" t="s">
        <v>39</v>
      </c>
      <c r="B84" t="s">
        <v>40</v>
      </c>
      <c r="C84" t="s">
        <v>114</v>
      </c>
      <c r="D84" s="19">
        <v>10144405</v>
      </c>
      <c r="E84" s="19">
        <v>5102437</v>
      </c>
      <c r="F84" s="19">
        <v>989878</v>
      </c>
      <c r="G84" s="19">
        <v>6068645</v>
      </c>
      <c r="H84" s="19">
        <v>7034931</v>
      </c>
      <c r="I84" s="19">
        <v>2003492</v>
      </c>
      <c r="J84" s="19">
        <v>1958648</v>
      </c>
      <c r="K84" s="19">
        <v>99068330</v>
      </c>
      <c r="L84" s="19">
        <v>261232622</v>
      </c>
      <c r="M84" s="19">
        <v>31030000</v>
      </c>
    </row>
    <row r="85" spans="1:13" x14ac:dyDescent="0.25">
      <c r="A85" t="s">
        <v>39</v>
      </c>
      <c r="B85" t="s">
        <v>40</v>
      </c>
      <c r="C85" t="s">
        <v>115</v>
      </c>
      <c r="D85" s="19">
        <v>396896</v>
      </c>
      <c r="E85" s="19">
        <v>858513</v>
      </c>
      <c r="F85" s="19">
        <v>1262427</v>
      </c>
      <c r="G85" s="19">
        <v>-289868</v>
      </c>
      <c r="H85" s="19">
        <v>4924459</v>
      </c>
      <c r="I85" s="19">
        <v>9240127</v>
      </c>
      <c r="J85" s="19">
        <v>31399381</v>
      </c>
      <c r="K85" s="19">
        <v>7178656</v>
      </c>
      <c r="L85" s="19">
        <v>13356973</v>
      </c>
      <c r="M85" s="19">
        <v>23722000</v>
      </c>
    </row>
    <row r="86" spans="1:13" x14ac:dyDescent="0.25">
      <c r="A86" t="s">
        <v>39</v>
      </c>
      <c r="B86" t="s">
        <v>40</v>
      </c>
      <c r="C86" t="s">
        <v>116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</row>
    <row r="87" spans="1:13" x14ac:dyDescent="0.25">
      <c r="A87" t="s">
        <v>39</v>
      </c>
      <c r="B87" t="s">
        <v>40</v>
      </c>
      <c r="C87" t="s">
        <v>117</v>
      </c>
      <c r="D87" s="19">
        <v>-8423012</v>
      </c>
      <c r="E87" s="19">
        <v>-7504011</v>
      </c>
      <c r="F87" s="19">
        <v>-1187128</v>
      </c>
      <c r="G87" s="19">
        <v>18874130</v>
      </c>
      <c r="H87" s="19">
        <v>2290736</v>
      </c>
      <c r="I87" s="19">
        <v>-4185643</v>
      </c>
      <c r="J87" s="19">
        <v>-23458200</v>
      </c>
      <c r="K87" s="19">
        <v>0</v>
      </c>
      <c r="L87" s="19">
        <v>48</v>
      </c>
      <c r="M87" s="19">
        <v>0</v>
      </c>
    </row>
    <row r="88" spans="1:13" x14ac:dyDescent="0.25">
      <c r="A88" t="s">
        <v>39</v>
      </c>
      <c r="B88" t="s">
        <v>40</v>
      </c>
      <c r="C88" t="s">
        <v>118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</row>
    <row r="89" spans="1:13" x14ac:dyDescent="0.25">
      <c r="A89" t="s">
        <v>39</v>
      </c>
      <c r="B89" t="s">
        <v>40</v>
      </c>
      <c r="C89" t="s">
        <v>119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</row>
    <row r="90" spans="1:13" x14ac:dyDescent="0.25">
      <c r="A90" t="s">
        <v>39</v>
      </c>
      <c r="B90" t="s">
        <v>40</v>
      </c>
      <c r="C90" t="s">
        <v>120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</row>
    <row r="91" spans="1:13" x14ac:dyDescent="0.25">
      <c r="A91" t="s">
        <v>39</v>
      </c>
      <c r="B91" t="s">
        <v>40</v>
      </c>
      <c r="C91" t="s">
        <v>121</v>
      </c>
      <c r="D91" s="19">
        <v>2118289</v>
      </c>
      <c r="E91" s="19">
        <v>-1543061</v>
      </c>
      <c r="F91" s="19">
        <v>1065177</v>
      </c>
      <c r="G91" s="19">
        <v>24652907</v>
      </c>
      <c r="H91" s="19">
        <v>14250126</v>
      </c>
      <c r="I91" s="19">
        <v>7057976</v>
      </c>
      <c r="J91" s="19">
        <v>9899829</v>
      </c>
      <c r="K91" s="19">
        <v>106246986</v>
      </c>
      <c r="L91" s="19">
        <v>274589643</v>
      </c>
      <c r="M91" s="19">
        <v>54752000</v>
      </c>
    </row>
    <row r="92" spans="1:13" x14ac:dyDescent="0.25">
      <c r="A92" t="s">
        <v>39</v>
      </c>
      <c r="B92" t="s">
        <v>40</v>
      </c>
      <c r="C92" t="s">
        <v>100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6055581</v>
      </c>
      <c r="K92" s="19">
        <v>19254158</v>
      </c>
      <c r="L92" s="19">
        <v>49479000</v>
      </c>
      <c r="M92" s="19">
        <v>40174000</v>
      </c>
    </row>
    <row r="93" spans="1:13" x14ac:dyDescent="0.25">
      <c r="A93" t="s">
        <v>39</v>
      </c>
      <c r="B93" t="s">
        <v>40</v>
      </c>
      <c r="C93" t="s">
        <v>53</v>
      </c>
      <c r="D93" s="19">
        <v>19440417</v>
      </c>
      <c r="E93" s="19">
        <v>17897356</v>
      </c>
      <c r="F93" s="19">
        <v>18962533</v>
      </c>
      <c r="G93" s="19">
        <v>43615440</v>
      </c>
      <c r="H93" s="19">
        <v>57865566</v>
      </c>
      <c r="I93" s="19">
        <v>64923542</v>
      </c>
      <c r="J93" s="19">
        <v>74823371</v>
      </c>
      <c r="K93" s="19">
        <v>181070357</v>
      </c>
      <c r="L93" s="19">
        <v>455660000</v>
      </c>
      <c r="M93" s="19">
        <v>510412000</v>
      </c>
    </row>
    <row r="94" spans="1:13" x14ac:dyDescent="0.25">
      <c r="A94" t="s">
        <v>39</v>
      </c>
      <c r="B94" t="s">
        <v>40</v>
      </c>
      <c r="C94" t="s">
        <v>122</v>
      </c>
      <c r="D94" s="19">
        <v>19440417</v>
      </c>
      <c r="E94" s="19">
        <v>17897356</v>
      </c>
      <c r="F94" s="19">
        <v>18962533</v>
      </c>
      <c r="G94" s="19">
        <v>43615440</v>
      </c>
      <c r="H94" s="19">
        <v>57865566</v>
      </c>
      <c r="I94" s="19">
        <v>64923542</v>
      </c>
      <c r="J94" s="19">
        <v>80878952</v>
      </c>
      <c r="K94" s="19">
        <v>200324515</v>
      </c>
      <c r="L94" s="19">
        <v>505139000</v>
      </c>
      <c r="M94" s="19">
        <v>550586000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88E3-412B-4D72-89EF-104A590A6659}">
  <dimension ref="A1:J6"/>
  <sheetViews>
    <sheetView workbookViewId="0">
      <selection activeCell="G10" sqref="G10"/>
    </sheetView>
  </sheetViews>
  <sheetFormatPr defaultRowHeight="15" x14ac:dyDescent="0.25"/>
  <cols>
    <col min="1" max="1" width="5" bestFit="1" customWidth="1"/>
    <col min="2" max="2" width="22.28515625" bestFit="1" customWidth="1"/>
    <col min="3" max="3" width="24.42578125" bestFit="1" customWidth="1"/>
    <col min="4" max="4" width="7.140625" bestFit="1" customWidth="1"/>
    <col min="5" max="5" width="24.42578125" bestFit="1" customWidth="1"/>
    <col min="6" max="10" width="7.140625" bestFit="1" customWidth="1"/>
  </cols>
  <sheetData>
    <row r="1" spans="1:10" x14ac:dyDescent="0.25">
      <c r="A1" t="s">
        <v>168</v>
      </c>
      <c r="B1" t="s">
        <v>169</v>
      </c>
      <c r="C1" t="s">
        <v>170</v>
      </c>
      <c r="E1" t="s">
        <v>170</v>
      </c>
      <c r="F1" s="24">
        <v>0.191</v>
      </c>
      <c r="G1" s="24">
        <v>0.183</v>
      </c>
      <c r="H1" s="24">
        <v>0.19700000000000001</v>
      </c>
      <c r="I1" s="24">
        <v>0.19800000000000001</v>
      </c>
      <c r="J1" s="24">
        <v>0.192</v>
      </c>
    </row>
    <row r="2" spans="1:10" x14ac:dyDescent="0.25">
      <c r="A2">
        <v>2024</v>
      </c>
      <c r="B2" t="s">
        <v>171</v>
      </c>
      <c r="C2" s="24">
        <v>0.191</v>
      </c>
    </row>
    <row r="3" spans="1:10" x14ac:dyDescent="0.25">
      <c r="A3">
        <v>2025</v>
      </c>
      <c r="B3" t="s">
        <v>172</v>
      </c>
      <c r="C3" s="24">
        <v>0.183</v>
      </c>
    </row>
    <row r="4" spans="1:10" x14ac:dyDescent="0.25">
      <c r="A4">
        <v>2026</v>
      </c>
      <c r="B4" t="s">
        <v>173</v>
      </c>
      <c r="C4" s="24">
        <v>0.19700000000000001</v>
      </c>
    </row>
    <row r="5" spans="1:10" x14ac:dyDescent="0.25">
      <c r="A5">
        <v>2027</v>
      </c>
      <c r="B5" t="s">
        <v>174</v>
      </c>
      <c r="C5" s="24">
        <v>0.19800000000000001</v>
      </c>
    </row>
    <row r="6" spans="1:10" x14ac:dyDescent="0.25">
      <c r="A6">
        <v>2028</v>
      </c>
      <c r="B6" t="s">
        <v>175</v>
      </c>
      <c r="C6" s="24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DCF</vt:lpstr>
      <vt:lpstr>WACC</vt:lpstr>
      <vt:lpstr>IS</vt:lpstr>
      <vt:lpstr>CFS</vt:lpstr>
      <vt:lpstr>Sundry</vt:lpstr>
      <vt:lpstr>Estimates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Robertson</dc:creator>
  <cp:lastModifiedBy>Jordan Robertson</cp:lastModifiedBy>
  <dcterms:created xsi:type="dcterms:W3CDTF">2024-06-30T09:37:48Z</dcterms:created>
  <dcterms:modified xsi:type="dcterms:W3CDTF">2024-07-05T05:37:05Z</dcterms:modified>
</cp:coreProperties>
</file>