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comments6.xml" ContentType="application/vnd.openxmlformats-officedocument.spreadsheetml.comments+xml"/>
  <Override PartName="/xl/tables/table13.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codeName="ThisWorkbook" hidePivotFieldList="1" showPivotChartFilter="1" defaultThemeVersion="124226"/>
  <mc:AlternateContent xmlns:mc="http://schemas.openxmlformats.org/markup-compatibility/2006">
    <mc:Choice Requires="x15">
      <x15ac:absPath xmlns:x15ac="http://schemas.microsoft.com/office/spreadsheetml/2010/11/ac" url="D:\PhotonUser\Desktop\"/>
    </mc:Choice>
  </mc:AlternateContent>
  <xr:revisionPtr revIDLastSave="0" documentId="8_{080669B4-A619-41B0-B3CD-03CAC2C43A4E}" xr6:coauthVersionLast="36" xr6:coauthVersionMax="36" xr10:uidLastSave="{00000000-0000-0000-0000-000000000000}"/>
  <bookViews>
    <workbookView xWindow="0" yWindow="0" windowWidth="7440" windowHeight="5010"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Group Edges" sheetId="8" r:id="rId8"/>
    <sheet name="Time Series Edges" sheetId="10" state="hidden" r:id="rId9"/>
    <sheet name="Export Options" sheetId="9" r:id="rId10"/>
    <sheet name="Time Series" sheetId="11" r:id="rId11"/>
    <sheet name="Twitter Search Ntwrk Top Items" sheetId="12" r:id="rId12"/>
  </sheets>
  <definedNames>
    <definedName name="BinDivisor">'Overall Metrics'!$X$2</definedName>
    <definedName name="DynamicFilterColumnName" localSheetId="8">'Overall Metrics'!#REF!</definedName>
    <definedName name="DynamicFilterColumnName">'Overall Metrics'!#REF!</definedName>
    <definedName name="DynamicFilterForceCalculationRange" localSheetId="8">HistogramBins[[Dynamic Filter Bin]:[Dynamic Filter Frequency]]</definedName>
    <definedName name="DynamicFilterForceCalculationRange">HistogramBins[[Dynamic Filter Bin]:[Dynamic Filter Frequency]]</definedName>
    <definedName name="DynamicFilterSourceColumnRange">'Overall Metrics'!$X$4</definedName>
    <definedName name="DynamicFilterTableName" localSheetId="8">'Overall Metrics'!#REF!</definedName>
    <definedName name="DynamicFilterTableName">'Overall Metrics'!#REF!</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pivotCaches>
    <pivotCache cacheId="0" r:id="rId13"/>
  </pivotCaches>
</workbook>
</file>

<file path=xl/calcChain.xml><?xml version="1.0" encoding="utf-8"?>
<calcChain xmlns="http://schemas.openxmlformats.org/spreadsheetml/2006/main">
  <c r="AB3" i="3" l="1"/>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BE178" i="10" l="1"/>
  <c r="BD178" i="10"/>
  <c r="Z178" i="10"/>
  <c r="V178" i="10"/>
  <c r="BE177" i="10"/>
  <c r="BD177" i="10"/>
  <c r="Z177" i="10"/>
  <c r="V177" i="10"/>
  <c r="BE176" i="10"/>
  <c r="BD176" i="10"/>
  <c r="Z176" i="10"/>
  <c r="V176" i="10"/>
  <c r="U176" i="10"/>
  <c r="BE175" i="10"/>
  <c r="BD175" i="10"/>
  <c r="Z175" i="10"/>
  <c r="V175" i="10"/>
  <c r="R175" i="10"/>
  <c r="BE174" i="10"/>
  <c r="BD174" i="10"/>
  <c r="Z174" i="10"/>
  <c r="V174" i="10"/>
  <c r="U174" i="10"/>
  <c r="BE173" i="10"/>
  <c r="BD173" i="10"/>
  <c r="Z173" i="10"/>
  <c r="V173" i="10"/>
  <c r="BE172" i="10"/>
  <c r="BD172" i="10"/>
  <c r="Z172" i="10"/>
  <c r="V172" i="10"/>
  <c r="U172" i="10"/>
  <c r="BE171" i="10"/>
  <c r="BD171" i="10"/>
  <c r="Z171" i="10"/>
  <c r="V171" i="10"/>
  <c r="U171" i="10"/>
  <c r="R171" i="10"/>
  <c r="BE170" i="10"/>
  <c r="BD170" i="10"/>
  <c r="Z170" i="10"/>
  <c r="V170" i="10"/>
  <c r="U170" i="10"/>
  <c r="R170" i="10"/>
  <c r="BE169" i="10"/>
  <c r="BD169" i="10"/>
  <c r="Z169" i="10"/>
  <c r="V169" i="10"/>
  <c r="U169" i="10"/>
  <c r="BE168" i="10"/>
  <c r="BD168" i="10"/>
  <c r="Z168" i="10"/>
  <c r="V168" i="10"/>
  <c r="U168" i="10"/>
  <c r="BE167" i="10"/>
  <c r="BD167" i="10"/>
  <c r="Z167" i="10"/>
  <c r="V167" i="10"/>
  <c r="U167" i="10"/>
  <c r="R167" i="10"/>
  <c r="BE166" i="10"/>
  <c r="BD166" i="10"/>
  <c r="Z166" i="10"/>
  <c r="V166" i="10"/>
  <c r="U166" i="10"/>
  <c r="BE165" i="10"/>
  <c r="BD165" i="10"/>
  <c r="Z165" i="10"/>
  <c r="V165" i="10"/>
  <c r="BE164" i="10"/>
  <c r="BD164" i="10"/>
  <c r="Z164" i="10"/>
  <c r="V164" i="10"/>
  <c r="U164" i="10"/>
  <c r="BE163" i="10"/>
  <c r="BD163" i="10"/>
  <c r="Z163" i="10"/>
  <c r="V163" i="10"/>
  <c r="U163" i="10"/>
  <c r="R163" i="10"/>
  <c r="BE162" i="10"/>
  <c r="BD162" i="10"/>
  <c r="Z162" i="10"/>
  <c r="V162" i="10"/>
  <c r="U162" i="10"/>
  <c r="R162" i="10"/>
  <c r="BE161" i="10"/>
  <c r="BD161" i="10"/>
  <c r="Z161" i="10"/>
  <c r="V161" i="10"/>
  <c r="U161" i="10"/>
  <c r="R161" i="10"/>
  <c r="BE160" i="10"/>
  <c r="BD160" i="10"/>
  <c r="Z160" i="10"/>
  <c r="V160" i="10"/>
  <c r="U160" i="10"/>
  <c r="BE159" i="10"/>
  <c r="BD159" i="10"/>
  <c r="Z159" i="10"/>
  <c r="V159" i="10"/>
  <c r="BE158" i="10"/>
  <c r="BD158" i="10"/>
  <c r="Z158" i="10"/>
  <c r="V158" i="10"/>
  <c r="U158" i="10"/>
  <c r="BE157" i="10"/>
  <c r="BD157" i="10"/>
  <c r="Z157" i="10"/>
  <c r="V157" i="10"/>
  <c r="R157" i="10"/>
  <c r="BE156" i="10"/>
  <c r="BD156" i="10"/>
  <c r="Z156" i="10"/>
  <c r="V156" i="10"/>
  <c r="U156" i="10"/>
  <c r="BE155" i="10"/>
  <c r="BD155" i="10"/>
  <c r="Z155" i="10"/>
  <c r="V155" i="10"/>
  <c r="U155" i="10"/>
  <c r="BE154" i="10"/>
  <c r="BD154" i="10"/>
  <c r="Z154" i="10"/>
  <c r="V154" i="10"/>
  <c r="U154" i="10"/>
  <c r="BE153" i="10"/>
  <c r="BD153" i="10"/>
  <c r="Z153" i="10"/>
  <c r="V153" i="10"/>
  <c r="U153" i="10"/>
  <c r="BE152" i="10"/>
  <c r="BD152" i="10"/>
  <c r="Z152" i="10"/>
  <c r="V152" i="10"/>
  <c r="U152" i="10"/>
  <c r="BE151" i="10"/>
  <c r="BD151" i="10"/>
  <c r="Z151" i="10"/>
  <c r="V151" i="10"/>
  <c r="U151" i="10"/>
  <c r="BE150" i="10"/>
  <c r="BD150" i="10"/>
  <c r="Z150" i="10"/>
  <c r="V150" i="10"/>
  <c r="U150" i="10"/>
  <c r="BE149" i="10"/>
  <c r="BD149" i="10"/>
  <c r="Z149" i="10"/>
  <c r="V149" i="10"/>
  <c r="R149" i="10"/>
  <c r="BE148" i="10"/>
  <c r="BD148" i="10"/>
  <c r="Z148" i="10"/>
  <c r="V148" i="10"/>
  <c r="U148" i="10"/>
  <c r="BE147" i="10"/>
  <c r="BD147" i="10"/>
  <c r="Z147" i="10"/>
  <c r="V147" i="10"/>
  <c r="R147" i="10"/>
  <c r="BE146" i="10"/>
  <c r="BD146" i="10"/>
  <c r="Z146" i="10"/>
  <c r="V146" i="10"/>
  <c r="U146" i="10"/>
  <c r="BE145" i="10"/>
  <c r="BD145" i="10"/>
  <c r="Z145" i="10"/>
  <c r="V145" i="10"/>
  <c r="U145" i="10"/>
  <c r="BE144" i="10"/>
  <c r="BD144" i="10"/>
  <c r="Z144" i="10"/>
  <c r="V144" i="10"/>
  <c r="U144" i="10"/>
  <c r="BE143" i="10"/>
  <c r="BD143" i="10"/>
  <c r="Z143" i="10"/>
  <c r="V143" i="10"/>
  <c r="U143" i="10"/>
  <c r="BE142" i="10"/>
  <c r="BD142" i="10"/>
  <c r="Z142" i="10"/>
  <c r="V142" i="10"/>
  <c r="U142" i="10"/>
  <c r="BE141" i="10"/>
  <c r="BD141" i="10"/>
  <c r="Z141" i="10"/>
  <c r="V141" i="10"/>
  <c r="U141" i="10"/>
  <c r="BE140" i="10"/>
  <c r="BD140" i="10"/>
  <c r="Z140" i="10"/>
  <c r="V140" i="10"/>
  <c r="BE139" i="10"/>
  <c r="BD139" i="10"/>
  <c r="Z139" i="10"/>
  <c r="V139" i="10"/>
  <c r="R139" i="10"/>
  <c r="BE138" i="10"/>
  <c r="BD138" i="10"/>
  <c r="Z138" i="10"/>
  <c r="V138" i="10"/>
  <c r="R138" i="10"/>
  <c r="BE137" i="10"/>
  <c r="BD137" i="10"/>
  <c r="Z137" i="10"/>
  <c r="V137" i="10"/>
  <c r="U137" i="10"/>
  <c r="BE136" i="10"/>
  <c r="BD136" i="10"/>
  <c r="Z136" i="10"/>
  <c r="V136" i="10"/>
  <c r="U136" i="10"/>
  <c r="BE135" i="10"/>
  <c r="BD135" i="10"/>
  <c r="Z135" i="10"/>
  <c r="V135" i="10"/>
  <c r="U135" i="10"/>
  <c r="BE134" i="10"/>
  <c r="BD134" i="10"/>
  <c r="Z134" i="10"/>
  <c r="V134" i="10"/>
  <c r="U134" i="10"/>
  <c r="BE133" i="10"/>
  <c r="BD133" i="10"/>
  <c r="Z133" i="10"/>
  <c r="V133" i="10"/>
  <c r="U133" i="10"/>
  <c r="BE132" i="10"/>
  <c r="BD132" i="10"/>
  <c r="Z132" i="10"/>
  <c r="V132" i="10"/>
  <c r="U132" i="10"/>
  <c r="BE131" i="10"/>
  <c r="BD131" i="10"/>
  <c r="Z131" i="10"/>
  <c r="V131" i="10"/>
  <c r="U131" i="10"/>
  <c r="BE130" i="10"/>
  <c r="BD130" i="10"/>
  <c r="Z130" i="10"/>
  <c r="V130" i="10"/>
  <c r="U130" i="10"/>
  <c r="BE129" i="10"/>
  <c r="BD129" i="10"/>
  <c r="Z129" i="10"/>
  <c r="V129" i="10"/>
  <c r="U129" i="10"/>
  <c r="BE128" i="10"/>
  <c r="BD128" i="10"/>
  <c r="Z128" i="10"/>
  <c r="V128" i="10"/>
  <c r="BE127" i="10"/>
  <c r="BD127" i="10"/>
  <c r="Z127" i="10"/>
  <c r="V127" i="10"/>
  <c r="U127" i="10"/>
  <c r="BE126" i="10"/>
  <c r="BD126" i="10"/>
  <c r="Z126" i="10"/>
  <c r="V126" i="10"/>
  <c r="U126" i="10"/>
  <c r="BE125" i="10"/>
  <c r="BD125" i="10"/>
  <c r="Z125" i="10"/>
  <c r="V125" i="10"/>
  <c r="U125" i="10"/>
  <c r="BE124" i="10"/>
  <c r="BD124" i="10"/>
  <c r="Z124" i="10"/>
  <c r="V124" i="10"/>
  <c r="U124" i="10"/>
  <c r="BE123" i="10"/>
  <c r="BD123" i="10"/>
  <c r="Z123" i="10"/>
  <c r="V123" i="10"/>
  <c r="U123" i="10"/>
  <c r="BE122" i="10"/>
  <c r="BD122" i="10"/>
  <c r="Z122" i="10"/>
  <c r="V122" i="10"/>
  <c r="U122" i="10"/>
  <c r="BE121" i="10"/>
  <c r="BD121" i="10"/>
  <c r="Z121" i="10"/>
  <c r="V121" i="10"/>
  <c r="U121" i="10"/>
  <c r="BE120" i="10"/>
  <c r="BD120" i="10"/>
  <c r="Z120" i="10"/>
  <c r="V120" i="10"/>
  <c r="U120" i="10"/>
  <c r="BE119" i="10"/>
  <c r="BD119" i="10"/>
  <c r="Z119" i="10"/>
  <c r="V119" i="10"/>
  <c r="U119" i="10"/>
  <c r="BE118" i="10"/>
  <c r="BD118" i="10"/>
  <c r="Z118" i="10"/>
  <c r="V118" i="10"/>
  <c r="U118" i="10"/>
  <c r="BE117" i="10"/>
  <c r="BD117" i="10"/>
  <c r="Z117" i="10"/>
  <c r="V117" i="10"/>
  <c r="U117" i="10"/>
  <c r="BE116" i="10"/>
  <c r="BD116" i="10"/>
  <c r="Z116" i="10"/>
  <c r="V116" i="10"/>
  <c r="R116" i="10"/>
  <c r="BE115" i="10"/>
  <c r="BD115" i="10"/>
  <c r="Z115" i="10"/>
  <c r="V115" i="10"/>
  <c r="U115" i="10"/>
  <c r="BE114" i="10"/>
  <c r="BD114" i="10"/>
  <c r="Z114" i="10"/>
  <c r="V114" i="10"/>
  <c r="BE113" i="10"/>
  <c r="BD113" i="10"/>
  <c r="Z113" i="10"/>
  <c r="V113" i="10"/>
  <c r="BE112" i="10"/>
  <c r="BD112" i="10"/>
  <c r="Z112" i="10"/>
  <c r="V112" i="10"/>
  <c r="U112" i="10"/>
  <c r="BE111" i="10"/>
  <c r="BD111" i="10"/>
  <c r="Z111" i="10"/>
  <c r="V111" i="10"/>
  <c r="U111" i="10"/>
  <c r="R111" i="10"/>
  <c r="BE110" i="10"/>
  <c r="BD110" i="10"/>
  <c r="Z110" i="10"/>
  <c r="V110" i="10"/>
  <c r="U110" i="10"/>
  <c r="BE109" i="10"/>
  <c r="BD109" i="10"/>
  <c r="Z109" i="10"/>
  <c r="V109" i="10"/>
  <c r="U109" i="10"/>
  <c r="BE108" i="10"/>
  <c r="BD108" i="10"/>
  <c r="Z108" i="10"/>
  <c r="V108" i="10"/>
  <c r="U108" i="10"/>
  <c r="BE107" i="10"/>
  <c r="BD107" i="10"/>
  <c r="Z107" i="10"/>
  <c r="V107" i="10"/>
  <c r="R107" i="10"/>
  <c r="BE106" i="10"/>
  <c r="BD106" i="10"/>
  <c r="Z106" i="10"/>
  <c r="V106" i="10"/>
  <c r="R106" i="10"/>
  <c r="BE105" i="10"/>
  <c r="BD105" i="10"/>
  <c r="Z105" i="10"/>
  <c r="V105" i="10"/>
  <c r="U105" i="10"/>
  <c r="BE104" i="10"/>
  <c r="BD104" i="10"/>
  <c r="Z104" i="10"/>
  <c r="V104" i="10"/>
  <c r="U104" i="10"/>
  <c r="BE103" i="10"/>
  <c r="BD103" i="10"/>
  <c r="Z103" i="10"/>
  <c r="V103" i="10"/>
  <c r="U103" i="10"/>
  <c r="BE102" i="10"/>
  <c r="BD102" i="10"/>
  <c r="Z102" i="10"/>
  <c r="V102" i="10"/>
  <c r="U102" i="10"/>
  <c r="BE101" i="10"/>
  <c r="BD101" i="10"/>
  <c r="Z101" i="10"/>
  <c r="V101" i="10"/>
  <c r="U101" i="10"/>
  <c r="BE100" i="10"/>
  <c r="BD100" i="10"/>
  <c r="Z100" i="10"/>
  <c r="V100" i="10"/>
  <c r="R100" i="10"/>
  <c r="BE99" i="10"/>
  <c r="BD99" i="10"/>
  <c r="Z99" i="10"/>
  <c r="V99" i="10"/>
  <c r="R99" i="10"/>
  <c r="BE98" i="10"/>
  <c r="BD98" i="10"/>
  <c r="Z98" i="10"/>
  <c r="V98" i="10"/>
  <c r="R98" i="10"/>
  <c r="BE97" i="10"/>
  <c r="BD97" i="10"/>
  <c r="Z97" i="10"/>
  <c r="V97" i="10"/>
  <c r="U97" i="10"/>
  <c r="BE96" i="10"/>
  <c r="BD96" i="10"/>
  <c r="Z96" i="10"/>
  <c r="V96" i="10"/>
  <c r="R96" i="10"/>
  <c r="BE95" i="10"/>
  <c r="BD95" i="10"/>
  <c r="Z95" i="10"/>
  <c r="V95" i="10"/>
  <c r="R95" i="10"/>
  <c r="BE94" i="10"/>
  <c r="BD94" i="10"/>
  <c r="Z94" i="10"/>
  <c r="V94" i="10"/>
  <c r="R94" i="10"/>
  <c r="BE93" i="10"/>
  <c r="BD93" i="10"/>
  <c r="Z93" i="10"/>
  <c r="V93" i="10"/>
  <c r="U93" i="10"/>
  <c r="BE92" i="10"/>
  <c r="BD92" i="10"/>
  <c r="Z92" i="10"/>
  <c r="V92" i="10"/>
  <c r="R92" i="10"/>
  <c r="BE91" i="10"/>
  <c r="BD91" i="10"/>
  <c r="Z91" i="10"/>
  <c r="V91" i="10"/>
  <c r="U91" i="10"/>
  <c r="BE90" i="10"/>
  <c r="BD90" i="10"/>
  <c r="Z90" i="10"/>
  <c r="V90" i="10"/>
  <c r="U90" i="10"/>
  <c r="BE89" i="10"/>
  <c r="BD89" i="10"/>
  <c r="Z89" i="10"/>
  <c r="V89" i="10"/>
  <c r="U89" i="10"/>
  <c r="BE88" i="10"/>
  <c r="BD88" i="10"/>
  <c r="Z88" i="10"/>
  <c r="V88" i="10"/>
  <c r="U88" i="10"/>
  <c r="BE87" i="10"/>
  <c r="BD87" i="10"/>
  <c r="Z87" i="10"/>
  <c r="V87" i="10"/>
  <c r="U87" i="10"/>
  <c r="BE86" i="10"/>
  <c r="BD86" i="10"/>
  <c r="Z86" i="10"/>
  <c r="V86" i="10"/>
  <c r="U86" i="10"/>
  <c r="BE85" i="10"/>
  <c r="BD85" i="10"/>
  <c r="Z85" i="10"/>
  <c r="V85" i="10"/>
  <c r="U85" i="10"/>
  <c r="BE84" i="10"/>
  <c r="BD84" i="10"/>
  <c r="Z84" i="10"/>
  <c r="V84" i="10"/>
  <c r="U84" i="10"/>
  <c r="BE83" i="10"/>
  <c r="BD83" i="10"/>
  <c r="Z83" i="10"/>
  <c r="V83" i="10"/>
  <c r="R83" i="10"/>
  <c r="BE82" i="10"/>
  <c r="BD82" i="10"/>
  <c r="Z82" i="10"/>
  <c r="V82" i="10"/>
  <c r="U82" i="10"/>
  <c r="BE81" i="10"/>
  <c r="BD81" i="10"/>
  <c r="Z81" i="10"/>
  <c r="V81" i="10"/>
  <c r="U81" i="10"/>
  <c r="BE80" i="10"/>
  <c r="BD80" i="10"/>
  <c r="Z80" i="10"/>
  <c r="V80" i="10"/>
  <c r="R80" i="10"/>
  <c r="BE79" i="10"/>
  <c r="BD79" i="10"/>
  <c r="Z79" i="10"/>
  <c r="V79" i="10"/>
  <c r="R79" i="10"/>
  <c r="BE78" i="10"/>
  <c r="BD78" i="10"/>
  <c r="Z78" i="10"/>
  <c r="V78" i="10"/>
  <c r="R78" i="10"/>
  <c r="BE77" i="10"/>
  <c r="BD77" i="10"/>
  <c r="Z77" i="10"/>
  <c r="V77" i="10"/>
  <c r="R77" i="10"/>
  <c r="BE76" i="10"/>
  <c r="BD76" i="10"/>
  <c r="Z76" i="10"/>
  <c r="V76" i="10"/>
  <c r="U76" i="10"/>
  <c r="BE75" i="10"/>
  <c r="BD75" i="10"/>
  <c r="Z75" i="10"/>
  <c r="V75" i="10"/>
  <c r="U75" i="10"/>
  <c r="BE74" i="10"/>
  <c r="BD74" i="10"/>
  <c r="Z74" i="10"/>
  <c r="V74" i="10"/>
  <c r="U74" i="10"/>
  <c r="BE73" i="10"/>
  <c r="BD73" i="10"/>
  <c r="Z73" i="10"/>
  <c r="V73" i="10"/>
  <c r="U73" i="10"/>
  <c r="BE72" i="10"/>
  <c r="BD72" i="10"/>
  <c r="Z72" i="10"/>
  <c r="V72" i="10"/>
  <c r="BE71" i="10"/>
  <c r="BD71" i="10"/>
  <c r="Z71" i="10"/>
  <c r="V71" i="10"/>
  <c r="U71" i="10"/>
  <c r="BE70" i="10"/>
  <c r="BD70" i="10"/>
  <c r="Z70" i="10"/>
  <c r="V70" i="10"/>
  <c r="U70" i="10"/>
  <c r="BE69" i="10"/>
  <c r="BD69" i="10"/>
  <c r="Z69" i="10"/>
  <c r="V69" i="10"/>
  <c r="U69" i="10"/>
  <c r="BE68" i="10"/>
  <c r="BD68" i="10"/>
  <c r="Z68" i="10"/>
  <c r="V68" i="10"/>
  <c r="U68" i="10"/>
  <c r="BE67" i="10"/>
  <c r="BD67" i="10"/>
  <c r="Z67" i="10"/>
  <c r="V67" i="10"/>
  <c r="U67" i="10"/>
  <c r="BE66" i="10"/>
  <c r="BD66" i="10"/>
  <c r="Z66" i="10"/>
  <c r="V66" i="10"/>
  <c r="U66" i="10"/>
  <c r="BE65" i="10"/>
  <c r="BD65" i="10"/>
  <c r="Z65" i="10"/>
  <c r="V65" i="10"/>
  <c r="U65" i="10"/>
  <c r="BE64" i="10"/>
  <c r="BD64" i="10"/>
  <c r="BB64" i="10"/>
  <c r="Z64" i="10"/>
  <c r="V64" i="10"/>
  <c r="U64" i="10"/>
  <c r="BE63" i="10"/>
  <c r="BD63" i="10"/>
  <c r="Z63" i="10"/>
  <c r="V63" i="10"/>
  <c r="R63" i="10"/>
  <c r="BE62" i="10"/>
  <c r="BD62" i="10"/>
  <c r="Z62" i="10"/>
  <c r="V62" i="10"/>
  <c r="BE61" i="10"/>
  <c r="BD61" i="10"/>
  <c r="Z61" i="10"/>
  <c r="V61" i="10"/>
  <c r="U61" i="10"/>
  <c r="BE60" i="10"/>
  <c r="BD60" i="10"/>
  <c r="Z60" i="10"/>
  <c r="V60" i="10"/>
  <c r="U60" i="10"/>
  <c r="BE59" i="10"/>
  <c r="BD59" i="10"/>
  <c r="Z59" i="10"/>
  <c r="V59" i="10"/>
  <c r="U59" i="10"/>
  <c r="BE58" i="10"/>
  <c r="BD58" i="10"/>
  <c r="Z58" i="10"/>
  <c r="V58" i="10"/>
  <c r="U58" i="10"/>
  <c r="BE57" i="10"/>
  <c r="BD57" i="10"/>
  <c r="Z57" i="10"/>
  <c r="V57" i="10"/>
  <c r="U57" i="10"/>
  <c r="BE56" i="10"/>
  <c r="BD56" i="10"/>
  <c r="Z56" i="10"/>
  <c r="V56" i="10"/>
  <c r="U56" i="10"/>
  <c r="BE55" i="10"/>
  <c r="BD55" i="10"/>
  <c r="Z55" i="10"/>
  <c r="V55" i="10"/>
  <c r="U55" i="10"/>
  <c r="BE54" i="10"/>
  <c r="BD54" i="10"/>
  <c r="Z54" i="10"/>
  <c r="V54" i="10"/>
  <c r="U54" i="10"/>
  <c r="BE53" i="10"/>
  <c r="BD53" i="10"/>
  <c r="Z53" i="10"/>
  <c r="V53" i="10"/>
  <c r="U53" i="10"/>
  <c r="R53" i="10"/>
  <c r="BE52" i="10"/>
  <c r="BD52" i="10"/>
  <c r="Z52" i="10"/>
  <c r="V52" i="10"/>
  <c r="U52" i="10"/>
  <c r="BE51" i="10"/>
  <c r="BD51" i="10"/>
  <c r="Z51" i="10"/>
  <c r="V51" i="10"/>
  <c r="U51" i="10"/>
  <c r="BE50" i="10"/>
  <c r="BD50" i="10"/>
  <c r="Z50" i="10"/>
  <c r="V50" i="10"/>
  <c r="U50" i="10"/>
  <c r="BE49" i="10"/>
  <c r="BD49" i="10"/>
  <c r="Z49" i="10"/>
  <c r="V49" i="10"/>
  <c r="U49" i="10"/>
  <c r="BE48" i="10"/>
  <c r="BD48" i="10"/>
  <c r="Z48" i="10"/>
  <c r="V48" i="10"/>
  <c r="U48" i="10"/>
  <c r="R48" i="10"/>
  <c r="BE47" i="10"/>
  <c r="BD47" i="10"/>
  <c r="Z47" i="10"/>
  <c r="V47" i="10"/>
  <c r="U47" i="10"/>
  <c r="BE46" i="10"/>
  <c r="BD46" i="10"/>
  <c r="Z46" i="10"/>
  <c r="V46" i="10"/>
  <c r="U46" i="10"/>
  <c r="BE45" i="10"/>
  <c r="BD45" i="10"/>
  <c r="Z45" i="10"/>
  <c r="V45" i="10"/>
  <c r="U45" i="10"/>
  <c r="BE44" i="10"/>
  <c r="BD44" i="10"/>
  <c r="Z44" i="10"/>
  <c r="V44" i="10"/>
  <c r="U44" i="10"/>
  <c r="BE43" i="10"/>
  <c r="BD43" i="10"/>
  <c r="Z43" i="10"/>
  <c r="V43" i="10"/>
  <c r="U43" i="10"/>
  <c r="BE42" i="10"/>
  <c r="BD42" i="10"/>
  <c r="Z42" i="10"/>
  <c r="V42" i="10"/>
  <c r="U42" i="10"/>
  <c r="R42" i="10"/>
  <c r="BE41" i="10"/>
  <c r="BD41" i="10"/>
  <c r="Z41" i="10"/>
  <c r="V41" i="10"/>
  <c r="R41" i="10"/>
  <c r="BE40" i="10"/>
  <c r="BD40" i="10"/>
  <c r="Z40" i="10"/>
  <c r="V40" i="10"/>
  <c r="R40" i="10"/>
  <c r="BE39" i="10"/>
  <c r="BD39" i="10"/>
  <c r="BB39" i="10"/>
  <c r="Z39" i="10"/>
  <c r="V39" i="10"/>
  <c r="U39" i="10"/>
  <c r="BE38" i="10"/>
  <c r="BD38" i="10"/>
  <c r="BB38" i="10"/>
  <c r="Z38" i="10"/>
  <c r="V38" i="10"/>
  <c r="U38" i="10"/>
  <c r="BE37" i="10"/>
  <c r="BD37" i="10"/>
  <c r="Z37" i="10"/>
  <c r="V37" i="10"/>
  <c r="U37" i="10"/>
  <c r="BE36" i="10"/>
  <c r="BD36" i="10"/>
  <c r="Z36" i="10"/>
  <c r="V36" i="10"/>
  <c r="U36" i="10"/>
  <c r="BE35" i="10"/>
  <c r="BD35" i="10"/>
  <c r="Z35" i="10"/>
  <c r="V35" i="10"/>
  <c r="U35" i="10"/>
  <c r="BE34" i="10"/>
  <c r="BD34" i="10"/>
  <c r="BB34" i="10"/>
  <c r="Z34" i="10"/>
  <c r="V34" i="10"/>
  <c r="U34" i="10"/>
  <c r="BE33" i="10"/>
  <c r="BD33" i="10"/>
  <c r="BB33" i="10"/>
  <c r="Z33" i="10"/>
  <c r="V33" i="10"/>
  <c r="U33" i="10"/>
  <c r="BE32" i="10"/>
  <c r="BD32" i="10"/>
  <c r="BB32" i="10"/>
  <c r="Z32" i="10"/>
  <c r="V32" i="10"/>
  <c r="U32" i="10"/>
  <c r="BE31" i="10"/>
  <c r="BD31" i="10"/>
  <c r="BB31" i="10"/>
  <c r="Z31" i="10"/>
  <c r="V31" i="10"/>
  <c r="U31" i="10"/>
  <c r="BE30" i="10"/>
  <c r="BD30" i="10"/>
  <c r="BB30" i="10"/>
  <c r="Z30" i="10"/>
  <c r="V30" i="10"/>
  <c r="R30" i="10"/>
  <c r="BE29" i="10"/>
  <c r="BD29" i="10"/>
  <c r="BB29" i="10"/>
  <c r="Z29" i="10"/>
  <c r="V29" i="10"/>
  <c r="U29" i="10"/>
  <c r="R29" i="10"/>
  <c r="BE28" i="10"/>
  <c r="BD28" i="10"/>
  <c r="BB28" i="10"/>
  <c r="Z28" i="10"/>
  <c r="V28" i="10"/>
  <c r="U28" i="10"/>
  <c r="BE27" i="10"/>
  <c r="BD27" i="10"/>
  <c r="BB27" i="10"/>
  <c r="Z27" i="10"/>
  <c r="V27" i="10"/>
  <c r="U27" i="10"/>
  <c r="BE26" i="10"/>
  <c r="BD26" i="10"/>
  <c r="BB26" i="10"/>
  <c r="Z26" i="10"/>
  <c r="V26" i="10"/>
  <c r="U26" i="10"/>
  <c r="BE25" i="10"/>
  <c r="BD25" i="10"/>
  <c r="BB25" i="10"/>
  <c r="Z25" i="10"/>
  <c r="V25" i="10"/>
  <c r="U25" i="10"/>
  <c r="BE24" i="10"/>
  <c r="BD24" i="10"/>
  <c r="Z24" i="10"/>
  <c r="V24" i="10"/>
  <c r="U24" i="10"/>
  <c r="BE23" i="10"/>
  <c r="BD23" i="10"/>
  <c r="Z23" i="10"/>
  <c r="V23" i="10"/>
  <c r="U23" i="10"/>
  <c r="BE22" i="10"/>
  <c r="BD22" i="10"/>
  <c r="Z22" i="10"/>
  <c r="V22" i="10"/>
  <c r="U22" i="10"/>
  <c r="BE21" i="10"/>
  <c r="BD21" i="10"/>
  <c r="Z21" i="10"/>
  <c r="V21" i="10"/>
  <c r="U21" i="10"/>
  <c r="BE20" i="10"/>
  <c r="BD20" i="10"/>
  <c r="Z20" i="10"/>
  <c r="V20" i="10"/>
  <c r="U20" i="10"/>
  <c r="BE19" i="10"/>
  <c r="BD19" i="10"/>
  <c r="Z19" i="10"/>
  <c r="V19" i="10"/>
  <c r="U19" i="10"/>
  <c r="BE18" i="10"/>
  <c r="BD18" i="10"/>
  <c r="Z18" i="10"/>
  <c r="V18" i="10"/>
  <c r="U18" i="10"/>
  <c r="BE17" i="10"/>
  <c r="BD17" i="10"/>
  <c r="Z17" i="10"/>
  <c r="V17" i="10"/>
  <c r="U17" i="10"/>
  <c r="BE16" i="10"/>
  <c r="BD16" i="10"/>
  <c r="BB16" i="10"/>
  <c r="Z16" i="10"/>
  <c r="V16" i="10"/>
  <c r="U16" i="10"/>
  <c r="BE15" i="10"/>
  <c r="BD15" i="10"/>
  <c r="BB15" i="10"/>
  <c r="Z15" i="10"/>
  <c r="V15" i="10"/>
  <c r="U15" i="10"/>
  <c r="BE14" i="10"/>
  <c r="BD14" i="10"/>
  <c r="BB14" i="10"/>
  <c r="Z14" i="10"/>
  <c r="V14" i="10"/>
  <c r="U14" i="10"/>
  <c r="BE13" i="10"/>
  <c r="BD13" i="10"/>
  <c r="BB13" i="10"/>
  <c r="Z13" i="10"/>
  <c r="V13" i="10"/>
  <c r="U13" i="10"/>
  <c r="BE12" i="10"/>
  <c r="BD12" i="10"/>
  <c r="BB12" i="10"/>
  <c r="Z12" i="10"/>
  <c r="V12" i="10"/>
  <c r="U12" i="10"/>
  <c r="BE11" i="10"/>
  <c r="BD11" i="10"/>
  <c r="BB11" i="10"/>
  <c r="Z11" i="10"/>
  <c r="V11" i="10"/>
  <c r="U11" i="10"/>
  <c r="BE10" i="10"/>
  <c r="BD10" i="10"/>
  <c r="BB10" i="10"/>
  <c r="Z10" i="10"/>
  <c r="V10" i="10"/>
  <c r="U10" i="10"/>
  <c r="BE9" i="10"/>
  <c r="BD9" i="10"/>
  <c r="BB9" i="10"/>
  <c r="Z9" i="10"/>
  <c r="V9" i="10"/>
  <c r="U9" i="10"/>
  <c r="BE8" i="10"/>
  <c r="BD8" i="10"/>
  <c r="BB8" i="10"/>
  <c r="Z8" i="10"/>
  <c r="V8" i="10"/>
  <c r="U8" i="10"/>
  <c r="BE7" i="10"/>
  <c r="BD7" i="10"/>
  <c r="BB7" i="10"/>
  <c r="Z7" i="10"/>
  <c r="V7" i="10"/>
  <c r="U7" i="10"/>
  <c r="BE6" i="10"/>
  <c r="BD6" i="10"/>
  <c r="Z6" i="10"/>
  <c r="V6" i="10"/>
  <c r="U6" i="10"/>
  <c r="BE5" i="10"/>
  <c r="BD5" i="10"/>
  <c r="Z5" i="10"/>
  <c r="V5" i="10"/>
  <c r="U5" i="10"/>
  <c r="BE4" i="10"/>
  <c r="BD4" i="10"/>
  <c r="Z4" i="10"/>
  <c r="V4" i="10"/>
  <c r="U4" i="10"/>
  <c r="BE3" i="10"/>
  <c r="BD3" i="10"/>
  <c r="Z3" i="10"/>
  <c r="V3" i="10"/>
  <c r="U3" i="10"/>
  <c r="BE155" i="1"/>
  <c r="BD155" i="1"/>
  <c r="BA14" i="3"/>
  <c r="C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BE25" i="1"/>
  <c r="BD25" i="1"/>
  <c r="BA31" i="3"/>
  <c r="BE26" i="1" l="1"/>
  <c r="BE27" i="1"/>
  <c r="BE276" i="1"/>
  <c r="BE279" i="1"/>
  <c r="BE275" i="1"/>
  <c r="BE112" i="1"/>
  <c r="BE277" i="1"/>
  <c r="BE280" i="1"/>
  <c r="BE296" i="1"/>
  <c r="BE278" i="1"/>
  <c r="BE281" i="1"/>
  <c r="BE297" i="1"/>
  <c r="BE106" i="1"/>
  <c r="BE335" i="1"/>
  <c r="BE3" i="1"/>
  <c r="BE283" i="1"/>
  <c r="BE285" i="1"/>
  <c r="BE293" i="1"/>
  <c r="BE107" i="1"/>
  <c r="BE113" i="1"/>
  <c r="BE291" i="1"/>
  <c r="BE124" i="1"/>
  <c r="BE208" i="1"/>
  <c r="BE210" i="1"/>
  <c r="BE28" i="1"/>
  <c r="BE295" i="1"/>
  <c r="BE214" i="1"/>
  <c r="BE215" i="1"/>
  <c r="BE218" i="1"/>
  <c r="BE212" i="1"/>
  <c r="BE216" i="1"/>
  <c r="BE219" i="1"/>
  <c r="BE250" i="1"/>
  <c r="BE211" i="1"/>
  <c r="BE191" i="1"/>
  <c r="BE53" i="1"/>
  <c r="BE29" i="1"/>
  <c r="BE175" i="1"/>
  <c r="BE156" i="1"/>
  <c r="BE192" i="1"/>
  <c r="BE54" i="1"/>
  <c r="BE30" i="1"/>
  <c r="BE176" i="1"/>
  <c r="BE240" i="1"/>
  <c r="BE220" i="1"/>
  <c r="BE239" i="1"/>
  <c r="BE284" i="1"/>
  <c r="BE282" i="1"/>
  <c r="BE114" i="1"/>
  <c r="BE213" i="1"/>
  <c r="BE177" i="1"/>
  <c r="BE223" i="1"/>
  <c r="BE221" i="1"/>
  <c r="BE286" i="1"/>
  <c r="BE125" i="1"/>
  <c r="BE299" i="1"/>
  <c r="BE288" i="1"/>
  <c r="BE302" i="1"/>
  <c r="BE225" i="1"/>
  <c r="BE171" i="1"/>
  <c r="BE206" i="1"/>
  <c r="BE255" i="1"/>
  <c r="BE342" i="1"/>
  <c r="BE343" i="1"/>
  <c r="BE256" i="1"/>
  <c r="BE344" i="1"/>
  <c r="BE329" i="1"/>
  <c r="BE345" i="1"/>
  <c r="BE257" i="1"/>
  <c r="BE346" i="1"/>
  <c r="BE330" i="1"/>
  <c r="BE172" i="1"/>
  <c r="BE258" i="1"/>
  <c r="BE347" i="1"/>
  <c r="BE259" i="1"/>
  <c r="BE348" i="1"/>
  <c r="BE260" i="1"/>
  <c r="BE349" i="1"/>
  <c r="BE331" i="1"/>
  <c r="BE350" i="1"/>
  <c r="BE261" i="1"/>
  <c r="BE303" i="1"/>
  <c r="BE209" i="1"/>
  <c r="BE339" i="1"/>
  <c r="BE167" i="1"/>
  <c r="BE185" i="1"/>
  <c r="BE169" i="1"/>
  <c r="BE183" i="1"/>
  <c r="BE195" i="1"/>
  <c r="BE262" i="1"/>
  <c r="BE351" i="1"/>
  <c r="BE168" i="1"/>
  <c r="BE186" i="1"/>
  <c r="BE274" i="1"/>
  <c r="BE170" i="1"/>
  <c r="BE184" i="1"/>
  <c r="BE251" i="1"/>
  <c r="BE304" i="1"/>
  <c r="BE196" i="1"/>
  <c r="BE332" i="1"/>
  <c r="BE352" i="1"/>
  <c r="BE263" i="1"/>
  <c r="BE264" i="1"/>
  <c r="BE353" i="1"/>
  <c r="BE265" i="1"/>
  <c r="BE354" i="1"/>
  <c r="BE266" i="1"/>
  <c r="BE355" i="1"/>
  <c r="BE267" i="1"/>
  <c r="BE356" i="1"/>
  <c r="BE268" i="1"/>
  <c r="BE357" i="1"/>
  <c r="BE269" i="1"/>
  <c r="BE358" i="1"/>
  <c r="BE270" i="1"/>
  <c r="BE359" i="1"/>
  <c r="BE333" i="1"/>
  <c r="BE360" i="1"/>
  <c r="BE271" i="1"/>
  <c r="BE272" i="1"/>
  <c r="BE361" i="1"/>
  <c r="BE173" i="1"/>
  <c r="BE197" i="1"/>
  <c r="BE334" i="1"/>
  <c r="BE198" i="1"/>
  <c r="BE174" i="1"/>
  <c r="BE207" i="1"/>
  <c r="BE178" i="1"/>
  <c r="BE273" i="1"/>
  <c r="BE362" i="1"/>
  <c r="BE298" i="1"/>
  <c r="BE126" i="1"/>
  <c r="BE108" i="1"/>
  <c r="BE109" i="1"/>
  <c r="BE340" i="1"/>
  <c r="BE93" i="1"/>
  <c r="BE55" i="1"/>
  <c r="BE84" i="1"/>
  <c r="BE31" i="1"/>
  <c r="BE94" i="1"/>
  <c r="BE56" i="1"/>
  <c r="BE85" i="1"/>
  <c r="BE32" i="1"/>
  <c r="BE95" i="1"/>
  <c r="BE57" i="1"/>
  <c r="BE86" i="1"/>
  <c r="BE33" i="1"/>
  <c r="BE96" i="1"/>
  <c r="BE58" i="1"/>
  <c r="BE87" i="1"/>
  <c r="BE34" i="1"/>
  <c r="BE97" i="1"/>
  <c r="BE59" i="1"/>
  <c r="BE88" i="1"/>
  <c r="BE35" i="1"/>
  <c r="BE98" i="1"/>
  <c r="BE60" i="1"/>
  <c r="BE89" i="1"/>
  <c r="BE36" i="1"/>
  <c r="BE99" i="1"/>
  <c r="BE61" i="1"/>
  <c r="BE90" i="1"/>
  <c r="BE37" i="1"/>
  <c r="BE62" i="1"/>
  <c r="BE91" i="1"/>
  <c r="BE38" i="1"/>
  <c r="BE163" i="1"/>
  <c r="BE164" i="1"/>
  <c r="BE149" i="1"/>
  <c r="BE143" i="1"/>
  <c r="BE100" i="1"/>
  <c r="BE101" i="1"/>
  <c r="BE146" i="1"/>
  <c r="BE150" i="1"/>
  <c r="BE287" i="1"/>
  <c r="BE144" i="1"/>
  <c r="BE102" i="1"/>
  <c r="BE103" i="1"/>
  <c r="BE147" i="1"/>
  <c r="BE241" i="1"/>
  <c r="BE305" i="1"/>
  <c r="BE242" i="1"/>
  <c r="BE306" i="1"/>
  <c r="BE243" i="1"/>
  <c r="BE307" i="1"/>
  <c r="BE63" i="1"/>
  <c r="BE92" i="1"/>
  <c r="BE39" i="1"/>
  <c r="BE179" i="1"/>
  <c r="BE151" i="1"/>
  <c r="BE157" i="1"/>
  <c r="BE193" i="1"/>
  <c r="BE41" i="1"/>
  <c r="BE118" i="1"/>
  <c r="BE42" i="1"/>
  <c r="BE180" i="1"/>
  <c r="BE152" i="1"/>
  <c r="BE158" i="1"/>
  <c r="BE194" i="1"/>
  <c r="BE43" i="1"/>
  <c r="BE119" i="1"/>
  <c r="BE44" i="1"/>
  <c r="BE45" i="1"/>
  <c r="BE120" i="1"/>
  <c r="BE46" i="1"/>
  <c r="BE47" i="1"/>
  <c r="BE121" i="1"/>
  <c r="BE48" i="1"/>
  <c r="BE49" i="1"/>
  <c r="BE122" i="1"/>
  <c r="BE50" i="1"/>
  <c r="BE187" i="1"/>
  <c r="BE201" i="1"/>
  <c r="BE64" i="1"/>
  <c r="BE129" i="1"/>
  <c r="BE65" i="1"/>
  <c r="BE308" i="1"/>
  <c r="BE188" i="1"/>
  <c r="BE199" i="1"/>
  <c r="BE337" i="1"/>
  <c r="BE66" i="1"/>
  <c r="BE130" i="1"/>
  <c r="BE67" i="1"/>
  <c r="BE68" i="1"/>
  <c r="BE131" i="1"/>
  <c r="BE69" i="1"/>
  <c r="BE70" i="1"/>
  <c r="BE132" i="1"/>
  <c r="BE71" i="1"/>
  <c r="BE72" i="1"/>
  <c r="BE133" i="1"/>
  <c r="BE73" i="1"/>
  <c r="BE189" i="1"/>
  <c r="BE202" i="1"/>
  <c r="BE74" i="1"/>
  <c r="BE134" i="1"/>
  <c r="BE75" i="1"/>
  <c r="BE309" i="1"/>
  <c r="BE190" i="1"/>
  <c r="BE200" i="1"/>
  <c r="BE338" i="1"/>
  <c r="BE76" i="1"/>
  <c r="BE135" i="1"/>
  <c r="BE77" i="1"/>
  <c r="BE78" i="1"/>
  <c r="BE136" i="1"/>
  <c r="BE79" i="1"/>
  <c r="BE80" i="1"/>
  <c r="BE137" i="1"/>
  <c r="BE81" i="1"/>
  <c r="BE82" i="1"/>
  <c r="BE138" i="1"/>
  <c r="BE83" i="1"/>
  <c r="BE153" i="1"/>
  <c r="BE203" i="1"/>
  <c r="BE51" i="1"/>
  <c r="BE123" i="1"/>
  <c r="BE52" i="1"/>
  <c r="BE289" i="1"/>
  <c r="BE115" i="1"/>
  <c r="BE159" i="1"/>
  <c r="BE226" i="1"/>
  <c r="BE310" i="1"/>
  <c r="BE254" i="1"/>
  <c r="BE292" i="1"/>
  <c r="BE290" i="1"/>
  <c r="BE161" i="1"/>
  <c r="BE311" i="1"/>
  <c r="BE312" i="1"/>
  <c r="BE227" i="1"/>
  <c r="BE162" i="1"/>
  <c r="BE313" i="1"/>
  <c r="BE228" i="1"/>
  <c r="BE314" i="1"/>
  <c r="BE229" i="1"/>
  <c r="BE315" i="1"/>
  <c r="BE230" i="1"/>
  <c r="BE316" i="1"/>
  <c r="BE231" i="1"/>
  <c r="BE244" i="1"/>
  <c r="BE317" i="1"/>
  <c r="BE318" i="1"/>
  <c r="BE232" i="1"/>
  <c r="BE127" i="1"/>
  <c r="BE245" i="1"/>
  <c r="BE319" i="1"/>
  <c r="BE320" i="1"/>
  <c r="BE233" i="1"/>
  <c r="BE246" i="1"/>
  <c r="BE321" i="1"/>
  <c r="BE224" i="1"/>
  <c r="BE222" i="1"/>
  <c r="BE341" i="1"/>
  <c r="BE322" i="1"/>
  <c r="BE234" i="1"/>
  <c r="BE247" i="1"/>
  <c r="BE323" i="1"/>
  <c r="BE248" i="1"/>
  <c r="BE324" i="1"/>
  <c r="BE235" i="1"/>
  <c r="BE181" i="1"/>
  <c r="BE4" i="1"/>
  <c r="BE5" i="1"/>
  <c r="BE325" i="1"/>
  <c r="BE236" i="1"/>
  <c r="BE6" i="1"/>
  <c r="BE217" i="1"/>
  <c r="BE7" i="1"/>
  <c r="BE116" i="1"/>
  <c r="BE8" i="1"/>
  <c r="BE9" i="1"/>
  <c r="BE10" i="1"/>
  <c r="BE11" i="1"/>
  <c r="BE154" i="1"/>
  <c r="BE145" i="1"/>
  <c r="BE104" i="1"/>
  <c r="BE148" i="1"/>
  <c r="BE105" i="1"/>
  <c r="BE300" i="1"/>
  <c r="BE165" i="1"/>
  <c r="BE166" i="1"/>
  <c r="BE204" i="1"/>
  <c r="BE205" i="1"/>
  <c r="BE253" i="1"/>
  <c r="BE12" i="1"/>
  <c r="BE336" i="1"/>
  <c r="BE40" i="1"/>
  <c r="BE13" i="1"/>
  <c r="BE326" i="1"/>
  <c r="BE237" i="1"/>
  <c r="BE160" i="1"/>
  <c r="BE14" i="1"/>
  <c r="BE15" i="1"/>
  <c r="BE16" i="1"/>
  <c r="BE17" i="1"/>
  <c r="BE182" i="1"/>
  <c r="BE294" i="1"/>
  <c r="BE128" i="1"/>
  <c r="BE18" i="1"/>
  <c r="BE19" i="1"/>
  <c r="BE20" i="1"/>
  <c r="BE21" i="1"/>
  <c r="BE327" i="1"/>
  <c r="BE238" i="1"/>
  <c r="BE22" i="1"/>
  <c r="BE23" i="1"/>
  <c r="BE24" i="1"/>
  <c r="BE301" i="1"/>
  <c r="BE249" i="1"/>
  <c r="BE328" i="1"/>
  <c r="BE117" i="1"/>
  <c r="BE139" i="1"/>
  <c r="BE252" i="1"/>
  <c r="BE140" i="1"/>
  <c r="BE141" i="1"/>
  <c r="BE142" i="1"/>
  <c r="BE110" i="1"/>
  <c r="BE111" i="1"/>
  <c r="BD26" i="1"/>
  <c r="BD27" i="1"/>
  <c r="BD276" i="1"/>
  <c r="BD279" i="1"/>
  <c r="BD275" i="1"/>
  <c r="BD112" i="1"/>
  <c r="BD277" i="1"/>
  <c r="BD280" i="1"/>
  <c r="BD296" i="1"/>
  <c r="BD278" i="1"/>
  <c r="BD281" i="1"/>
  <c r="BD297" i="1"/>
  <c r="BD106" i="1"/>
  <c r="BD335" i="1"/>
  <c r="BD3" i="1"/>
  <c r="BD283" i="1"/>
  <c r="BD285" i="1"/>
  <c r="BD293" i="1"/>
  <c r="BD107" i="1"/>
  <c r="BD113" i="1"/>
  <c r="BD291" i="1"/>
  <c r="BD124" i="1"/>
  <c r="BD208" i="1"/>
  <c r="BD210" i="1"/>
  <c r="BD28" i="1"/>
  <c r="BD295" i="1"/>
  <c r="BD214" i="1"/>
  <c r="BD215" i="1"/>
  <c r="BD218" i="1"/>
  <c r="BD212" i="1"/>
  <c r="BD216" i="1"/>
  <c r="BD219" i="1"/>
  <c r="BD250" i="1"/>
  <c r="BD211" i="1"/>
  <c r="BD191" i="1"/>
  <c r="BD53" i="1"/>
  <c r="BD29" i="1"/>
  <c r="BD175" i="1"/>
  <c r="BD156" i="1"/>
  <c r="BD192" i="1"/>
  <c r="BD54" i="1"/>
  <c r="BD30" i="1"/>
  <c r="BD176" i="1"/>
  <c r="BD240" i="1"/>
  <c r="BD220" i="1"/>
  <c r="BD239" i="1"/>
  <c r="BD284" i="1"/>
  <c r="BD282" i="1"/>
  <c r="BD114" i="1"/>
  <c r="BD213" i="1"/>
  <c r="BD177" i="1"/>
  <c r="BD223" i="1"/>
  <c r="BD221" i="1"/>
  <c r="BD286" i="1"/>
  <c r="BD125" i="1"/>
  <c r="BD299" i="1"/>
  <c r="BD288" i="1"/>
  <c r="BD302" i="1"/>
  <c r="BD225" i="1"/>
  <c r="BD171" i="1"/>
  <c r="BD206" i="1"/>
  <c r="BD255" i="1"/>
  <c r="BD342" i="1"/>
  <c r="BD343" i="1"/>
  <c r="BD256" i="1"/>
  <c r="BD344" i="1"/>
  <c r="BD329" i="1"/>
  <c r="BD345" i="1"/>
  <c r="BD257" i="1"/>
  <c r="BD346" i="1"/>
  <c r="BD330" i="1"/>
  <c r="BD172" i="1"/>
  <c r="BD258" i="1"/>
  <c r="BD347" i="1"/>
  <c r="BD259" i="1"/>
  <c r="BD348" i="1"/>
  <c r="BD260" i="1"/>
  <c r="BD349" i="1"/>
  <c r="BD331" i="1"/>
  <c r="BD350" i="1"/>
  <c r="BD261" i="1"/>
  <c r="BD303" i="1"/>
  <c r="BD209" i="1"/>
  <c r="BD339" i="1"/>
  <c r="BD167" i="1"/>
  <c r="BD185" i="1"/>
  <c r="BD169" i="1"/>
  <c r="BD183" i="1"/>
  <c r="BD195" i="1"/>
  <c r="BD262" i="1"/>
  <c r="BD351" i="1"/>
  <c r="BD168" i="1"/>
  <c r="BD186" i="1"/>
  <c r="BD274" i="1"/>
  <c r="BD170" i="1"/>
  <c r="BD184" i="1"/>
  <c r="BD251" i="1"/>
  <c r="BD304" i="1"/>
  <c r="BD196" i="1"/>
  <c r="BD332" i="1"/>
  <c r="BD352" i="1"/>
  <c r="BD263" i="1"/>
  <c r="BD264" i="1"/>
  <c r="BD353" i="1"/>
  <c r="BD265" i="1"/>
  <c r="BD354" i="1"/>
  <c r="BD266" i="1"/>
  <c r="BD355" i="1"/>
  <c r="BD267" i="1"/>
  <c r="BD356" i="1"/>
  <c r="BD268" i="1"/>
  <c r="BD357" i="1"/>
  <c r="BD269" i="1"/>
  <c r="BD358" i="1"/>
  <c r="BD270" i="1"/>
  <c r="BD359" i="1"/>
  <c r="BD333" i="1"/>
  <c r="BD360" i="1"/>
  <c r="BD271" i="1"/>
  <c r="BD272" i="1"/>
  <c r="BD361" i="1"/>
  <c r="BD173" i="1"/>
  <c r="BD197" i="1"/>
  <c r="BD334" i="1"/>
  <c r="BD198" i="1"/>
  <c r="BD174" i="1"/>
  <c r="BD207" i="1"/>
  <c r="BD178" i="1"/>
  <c r="BD273" i="1"/>
  <c r="BD362" i="1"/>
  <c r="BD298" i="1"/>
  <c r="BD126" i="1"/>
  <c r="BD108" i="1"/>
  <c r="BD109" i="1"/>
  <c r="BD340" i="1"/>
  <c r="BD93" i="1"/>
  <c r="BD55" i="1"/>
  <c r="BD84" i="1"/>
  <c r="BD31" i="1"/>
  <c r="BD94" i="1"/>
  <c r="BD56" i="1"/>
  <c r="BD85" i="1"/>
  <c r="BD32" i="1"/>
  <c r="BD95" i="1"/>
  <c r="BD57" i="1"/>
  <c r="BD86" i="1"/>
  <c r="BD33" i="1"/>
  <c r="BD96" i="1"/>
  <c r="BD58" i="1"/>
  <c r="BD87" i="1"/>
  <c r="BD34" i="1"/>
  <c r="BD97" i="1"/>
  <c r="BD59" i="1"/>
  <c r="BD88" i="1"/>
  <c r="BD35" i="1"/>
  <c r="BD98" i="1"/>
  <c r="BD60" i="1"/>
  <c r="BD89" i="1"/>
  <c r="BD36" i="1"/>
  <c r="BD99" i="1"/>
  <c r="BD61" i="1"/>
  <c r="BD90" i="1"/>
  <c r="BD37" i="1"/>
  <c r="BD62" i="1"/>
  <c r="BD91" i="1"/>
  <c r="BD38" i="1"/>
  <c r="BD163" i="1"/>
  <c r="BD164" i="1"/>
  <c r="BD149" i="1"/>
  <c r="BD143" i="1"/>
  <c r="BD100" i="1"/>
  <c r="BD101" i="1"/>
  <c r="BD146" i="1"/>
  <c r="BD150" i="1"/>
  <c r="BD287" i="1"/>
  <c r="BD144" i="1"/>
  <c r="BD102" i="1"/>
  <c r="BD103" i="1"/>
  <c r="BD147" i="1"/>
  <c r="BD241" i="1"/>
  <c r="BD305" i="1"/>
  <c r="BD242" i="1"/>
  <c r="BD306" i="1"/>
  <c r="BD243" i="1"/>
  <c r="BD307" i="1"/>
  <c r="BD63" i="1"/>
  <c r="BD92" i="1"/>
  <c r="BD39" i="1"/>
  <c r="BD179" i="1"/>
  <c r="BD151" i="1"/>
  <c r="BD157" i="1"/>
  <c r="BD193" i="1"/>
  <c r="BD41" i="1"/>
  <c r="BD118" i="1"/>
  <c r="BD42" i="1"/>
  <c r="BD180" i="1"/>
  <c r="BD152" i="1"/>
  <c r="BD158" i="1"/>
  <c r="BD194" i="1"/>
  <c r="BD43" i="1"/>
  <c r="BD119" i="1"/>
  <c r="BD44" i="1"/>
  <c r="BD45" i="1"/>
  <c r="BD120" i="1"/>
  <c r="BD46" i="1"/>
  <c r="BD47" i="1"/>
  <c r="BD121" i="1"/>
  <c r="BD48" i="1"/>
  <c r="BD49" i="1"/>
  <c r="BD122" i="1"/>
  <c r="BD50" i="1"/>
  <c r="BD187" i="1"/>
  <c r="BD201" i="1"/>
  <c r="BD64" i="1"/>
  <c r="BD129" i="1"/>
  <c r="BD65" i="1"/>
  <c r="BD308" i="1"/>
  <c r="BD188" i="1"/>
  <c r="BD199" i="1"/>
  <c r="BD337" i="1"/>
  <c r="BD66" i="1"/>
  <c r="BD130" i="1"/>
  <c r="BD67" i="1"/>
  <c r="BD68" i="1"/>
  <c r="BD131" i="1"/>
  <c r="BD69" i="1"/>
  <c r="BD70" i="1"/>
  <c r="BD132" i="1"/>
  <c r="BD71" i="1"/>
  <c r="BD72" i="1"/>
  <c r="BD133" i="1"/>
  <c r="BD73" i="1"/>
  <c r="BD189" i="1"/>
  <c r="BD202" i="1"/>
  <c r="BD74" i="1"/>
  <c r="BD134" i="1"/>
  <c r="BD75" i="1"/>
  <c r="BD309" i="1"/>
  <c r="BD190" i="1"/>
  <c r="BD200" i="1"/>
  <c r="BD338" i="1"/>
  <c r="BD76" i="1"/>
  <c r="BD135" i="1"/>
  <c r="BD77" i="1"/>
  <c r="BD78" i="1"/>
  <c r="BD136" i="1"/>
  <c r="BD79" i="1"/>
  <c r="BD80" i="1"/>
  <c r="BD137" i="1"/>
  <c r="BD81" i="1"/>
  <c r="BD82" i="1"/>
  <c r="BD138" i="1"/>
  <c r="BD83" i="1"/>
  <c r="BD153" i="1"/>
  <c r="BD203" i="1"/>
  <c r="BD51" i="1"/>
  <c r="BD123" i="1"/>
  <c r="BD52" i="1"/>
  <c r="BD289" i="1"/>
  <c r="BD115" i="1"/>
  <c r="BD159" i="1"/>
  <c r="BD226" i="1"/>
  <c r="BD310" i="1"/>
  <c r="BD254" i="1"/>
  <c r="BD292" i="1"/>
  <c r="BD290" i="1"/>
  <c r="BD161" i="1"/>
  <c r="BD311" i="1"/>
  <c r="BD312" i="1"/>
  <c r="BD227" i="1"/>
  <c r="BD162" i="1"/>
  <c r="BD313" i="1"/>
  <c r="BD228" i="1"/>
  <c r="BD314" i="1"/>
  <c r="BD229" i="1"/>
  <c r="BD315" i="1"/>
  <c r="BD230" i="1"/>
  <c r="BD316" i="1"/>
  <c r="BD231" i="1"/>
  <c r="BD244" i="1"/>
  <c r="BD317" i="1"/>
  <c r="BD318" i="1"/>
  <c r="BD232" i="1"/>
  <c r="BD127" i="1"/>
  <c r="BD245" i="1"/>
  <c r="BD319" i="1"/>
  <c r="BD320" i="1"/>
  <c r="BD233" i="1"/>
  <c r="BD246" i="1"/>
  <c r="BD321" i="1"/>
  <c r="BD224" i="1"/>
  <c r="BD222" i="1"/>
  <c r="BD341" i="1"/>
  <c r="BD322" i="1"/>
  <c r="BD234" i="1"/>
  <c r="BD247" i="1"/>
  <c r="BD323" i="1"/>
  <c r="BD248" i="1"/>
  <c r="BD324" i="1"/>
  <c r="BD235" i="1"/>
  <c r="BD181" i="1"/>
  <c r="BD4" i="1"/>
  <c r="BD5" i="1"/>
  <c r="BD325" i="1"/>
  <c r="BD236" i="1"/>
  <c r="BD6" i="1"/>
  <c r="BD217" i="1"/>
  <c r="BD7" i="1"/>
  <c r="BD116" i="1"/>
  <c r="BD8" i="1"/>
  <c r="BD9" i="1"/>
  <c r="BD10" i="1"/>
  <c r="BD11" i="1"/>
  <c r="BD154" i="1"/>
  <c r="BD145" i="1"/>
  <c r="BD104" i="1"/>
  <c r="BD148" i="1"/>
  <c r="BD105" i="1"/>
  <c r="BD300" i="1"/>
  <c r="BD165" i="1"/>
  <c r="BD166" i="1"/>
  <c r="BD204" i="1"/>
  <c r="BD205" i="1"/>
  <c r="BD253" i="1"/>
  <c r="BD12" i="1"/>
  <c r="BD336" i="1"/>
  <c r="BD40" i="1"/>
  <c r="BD13" i="1"/>
  <c r="BD326" i="1"/>
  <c r="BD237" i="1"/>
  <c r="BD160" i="1"/>
  <c r="BD14" i="1"/>
  <c r="BD15" i="1"/>
  <c r="BD16" i="1"/>
  <c r="BD17" i="1"/>
  <c r="BD182" i="1"/>
  <c r="BD294" i="1"/>
  <c r="BD128" i="1"/>
  <c r="BD18" i="1"/>
  <c r="BD19" i="1"/>
  <c r="BD20" i="1"/>
  <c r="BD21" i="1"/>
  <c r="BD327" i="1"/>
  <c r="BD238" i="1"/>
  <c r="BD22" i="1"/>
  <c r="BD23" i="1"/>
  <c r="BD24" i="1"/>
  <c r="BD301" i="1"/>
  <c r="BD249" i="1"/>
  <c r="BD328" i="1"/>
  <c r="BD117" i="1"/>
  <c r="BD139" i="1"/>
  <c r="BD252" i="1"/>
  <c r="BD140" i="1"/>
  <c r="BD141" i="1"/>
  <c r="BD142" i="1"/>
  <c r="BD110" i="1"/>
  <c r="BD111" i="1"/>
  <c r="BA34" i="3"/>
  <c r="BA33" i="3"/>
  <c r="BA24" i="3"/>
  <c r="BA32" i="3"/>
  <c r="BA76" i="3"/>
  <c r="BA79" i="3"/>
  <c r="BA84" i="3"/>
  <c r="BA51" i="3"/>
  <c r="BA121" i="3"/>
  <c r="BA80" i="3"/>
  <c r="BA112" i="3"/>
  <c r="BA99" i="3"/>
  <c r="BA64" i="3"/>
  <c r="BA25" i="3"/>
  <c r="BA26" i="3"/>
  <c r="BA108" i="3"/>
  <c r="BA82" i="3"/>
  <c r="BA111" i="3"/>
  <c r="BA97" i="3"/>
  <c r="BA114" i="3"/>
  <c r="BA10" i="3"/>
  <c r="BA117" i="3"/>
  <c r="BA36" i="3"/>
  <c r="BA7" i="3"/>
  <c r="BA37" i="3"/>
  <c r="BA6" i="3"/>
  <c r="BA16" i="3"/>
  <c r="BA71" i="3"/>
  <c r="BA87" i="3"/>
  <c r="BA3" i="3"/>
  <c r="BA122" i="3"/>
  <c r="BA62" i="3"/>
  <c r="BA9" i="3"/>
  <c r="BA8" i="3"/>
  <c r="BA83" i="3"/>
  <c r="BA61" i="3"/>
  <c r="BA45" i="3"/>
  <c r="BA44" i="3"/>
  <c r="BA77" i="3"/>
  <c r="BA60" i="3"/>
  <c r="BA66" i="3"/>
  <c r="BA19" i="3"/>
  <c r="BA58" i="3"/>
  <c r="BA4" i="3"/>
  <c r="BA85" i="3"/>
  <c r="BA35" i="3"/>
  <c r="BA46" i="3"/>
  <c r="BA67" i="3"/>
  <c r="BA98" i="3"/>
  <c r="BA48" i="3"/>
  <c r="BA40" i="3"/>
  <c r="BA89" i="3"/>
  <c r="BA59" i="3"/>
  <c r="BA49" i="3"/>
  <c r="BA63" i="3"/>
  <c r="BA68" i="3"/>
  <c r="BA75" i="3"/>
  <c r="BA81" i="3"/>
  <c r="BA53" i="3"/>
  <c r="BA70" i="3"/>
  <c r="BA102" i="3"/>
  <c r="BA52" i="3"/>
  <c r="BA57" i="3"/>
  <c r="BA23" i="3"/>
  <c r="BA107" i="3"/>
  <c r="BA101" i="3"/>
  <c r="BA104" i="3"/>
  <c r="BA17" i="3"/>
  <c r="BA90" i="3"/>
  <c r="BA73" i="3"/>
  <c r="BA118" i="3"/>
  <c r="BA100" i="3"/>
  <c r="BA12" i="3"/>
  <c r="BA21" i="3"/>
  <c r="BA20" i="3"/>
  <c r="BA5" i="3"/>
  <c r="BA22" i="3"/>
  <c r="BA29" i="3"/>
  <c r="BA30" i="3"/>
  <c r="BA13" i="3"/>
  <c r="BA11" i="3"/>
  <c r="BA105" i="3"/>
  <c r="BA56" i="3"/>
  <c r="BA115" i="3"/>
  <c r="BA109" i="3"/>
  <c r="BA88" i="3"/>
  <c r="BA113" i="3"/>
  <c r="BA106" i="3"/>
  <c r="BA72" i="3"/>
  <c r="BA110" i="3"/>
  <c r="BA74" i="3"/>
  <c r="BA116" i="3"/>
  <c r="BA38" i="3"/>
  <c r="BA28" i="3"/>
  <c r="BA39" i="3"/>
  <c r="BA55" i="3"/>
  <c r="BA92" i="3"/>
  <c r="BA94" i="3"/>
  <c r="BA103" i="3"/>
  <c r="BA86" i="3"/>
  <c r="BA78" i="3"/>
  <c r="BA18" i="3"/>
  <c r="BA42" i="3"/>
  <c r="BA54" i="3"/>
  <c r="BA124" i="3"/>
  <c r="BA65" i="3"/>
  <c r="BA120" i="3"/>
  <c r="BA95" i="3"/>
  <c r="BA96" i="3"/>
  <c r="BA123" i="3"/>
  <c r="BA43" i="3"/>
  <c r="BA27" i="3"/>
  <c r="BA41" i="3"/>
  <c r="BA91" i="3"/>
  <c r="BA119" i="3"/>
  <c r="BA93" i="3"/>
  <c r="BA50" i="3"/>
  <c r="BA15" i="3"/>
  <c r="BA69" i="3"/>
  <c r="BA47" i="3"/>
  <c r="Z286" i="1" l="1"/>
  <c r="AY31" i="3" l="1"/>
  <c r="AY34" i="3"/>
  <c r="AY33" i="3"/>
  <c r="AY24" i="3"/>
  <c r="AY32" i="3"/>
  <c r="AY76" i="3"/>
  <c r="AY79" i="3"/>
  <c r="AY84" i="3"/>
  <c r="AY51" i="3"/>
  <c r="AY121" i="3"/>
  <c r="AY80" i="3"/>
  <c r="AY112" i="3"/>
  <c r="AY99" i="3"/>
  <c r="AY64" i="3"/>
  <c r="AY25" i="3"/>
  <c r="AY26" i="3"/>
  <c r="AY108" i="3"/>
  <c r="AY82" i="3"/>
  <c r="AY111" i="3"/>
  <c r="AY97" i="3"/>
  <c r="AY114" i="3"/>
  <c r="AY10" i="3"/>
  <c r="AY117" i="3"/>
  <c r="AY36" i="3"/>
  <c r="AY7" i="3"/>
  <c r="AY37" i="3"/>
  <c r="AY6" i="3"/>
  <c r="AY16" i="3"/>
  <c r="AY71" i="3"/>
  <c r="AY87" i="3"/>
  <c r="AY3" i="3"/>
  <c r="AY14" i="3"/>
  <c r="AY122" i="3"/>
  <c r="AY62" i="3"/>
  <c r="AY9" i="3"/>
  <c r="AY8" i="3"/>
  <c r="AY83" i="3"/>
  <c r="AY61" i="3"/>
  <c r="AY45" i="3"/>
  <c r="AY44" i="3"/>
  <c r="AY77" i="3"/>
  <c r="AY60" i="3"/>
  <c r="AY66" i="3"/>
  <c r="AY19" i="3"/>
  <c r="AY58" i="3"/>
  <c r="AY4" i="3"/>
  <c r="AY85" i="3"/>
  <c r="AY35" i="3"/>
  <c r="AY46" i="3"/>
  <c r="AY67" i="3"/>
  <c r="AY98" i="3"/>
  <c r="AY48" i="3"/>
  <c r="AY40" i="3"/>
  <c r="AY89" i="3"/>
  <c r="AY59" i="3"/>
  <c r="AY49" i="3"/>
  <c r="AY63" i="3"/>
  <c r="AY68" i="3"/>
  <c r="AY75" i="3"/>
  <c r="AY81" i="3"/>
  <c r="AY53" i="3"/>
  <c r="AY70" i="3"/>
  <c r="AY102" i="3"/>
  <c r="AY52" i="3"/>
  <c r="AY57" i="3"/>
  <c r="AY23" i="3"/>
  <c r="AY107" i="3"/>
  <c r="AY101" i="3"/>
  <c r="AY104" i="3"/>
  <c r="AY17" i="3"/>
  <c r="AY90" i="3"/>
  <c r="AY73" i="3"/>
  <c r="AY118" i="3"/>
  <c r="AY100" i="3"/>
  <c r="AY12" i="3"/>
  <c r="AY21" i="3"/>
  <c r="AY20" i="3"/>
  <c r="AY5" i="3"/>
  <c r="AY22" i="3"/>
  <c r="AY29" i="3"/>
  <c r="AY30" i="3"/>
  <c r="AY13" i="3"/>
  <c r="AY11" i="3"/>
  <c r="AY105" i="3"/>
  <c r="AY56" i="3"/>
  <c r="AY115" i="3"/>
  <c r="AY109" i="3"/>
  <c r="AY88" i="3"/>
  <c r="AY113" i="3"/>
  <c r="AY106" i="3"/>
  <c r="AY72" i="3"/>
  <c r="AY110" i="3"/>
  <c r="AY74" i="3"/>
  <c r="AY116" i="3"/>
  <c r="AY38" i="3"/>
  <c r="AY28" i="3"/>
  <c r="AY39" i="3"/>
  <c r="AY55" i="3"/>
  <c r="AY92" i="3"/>
  <c r="AY94" i="3"/>
  <c r="AY103" i="3"/>
  <c r="AY86" i="3"/>
  <c r="AY78" i="3"/>
  <c r="AY18" i="3"/>
  <c r="AY42" i="3"/>
  <c r="AY54" i="3"/>
  <c r="AY124" i="3"/>
  <c r="AY65" i="3"/>
  <c r="AY120" i="3"/>
  <c r="AY95" i="3"/>
  <c r="AY96" i="3"/>
  <c r="AY123" i="3"/>
  <c r="AY43" i="3"/>
  <c r="AY27" i="3"/>
  <c r="AY41" i="3"/>
  <c r="AY91" i="3"/>
  <c r="AY119" i="3"/>
  <c r="AY93" i="3"/>
  <c r="AY50" i="3"/>
  <c r="AY15" i="3"/>
  <c r="AY69" i="3"/>
  <c r="AY47" i="3"/>
  <c r="F31" i="3"/>
  <c r="F34" i="3"/>
  <c r="F33" i="3"/>
  <c r="F24" i="3"/>
  <c r="F32" i="3"/>
  <c r="F76" i="3"/>
  <c r="F79" i="3"/>
  <c r="F84" i="3"/>
  <c r="F51" i="3"/>
  <c r="F121" i="3"/>
  <c r="F80" i="3"/>
  <c r="F112" i="3"/>
  <c r="F99" i="3"/>
  <c r="F64" i="3"/>
  <c r="F25" i="3"/>
  <c r="F26" i="3"/>
  <c r="F108" i="3"/>
  <c r="F82" i="3"/>
  <c r="F111" i="3"/>
  <c r="F97" i="3"/>
  <c r="F114" i="3"/>
  <c r="F10" i="3"/>
  <c r="F117" i="3"/>
  <c r="F36" i="3"/>
  <c r="F7" i="3"/>
  <c r="F37" i="3"/>
  <c r="F6" i="3"/>
  <c r="F16" i="3"/>
  <c r="F71" i="3"/>
  <c r="F87" i="3"/>
  <c r="F3" i="3"/>
  <c r="F14" i="3"/>
  <c r="F122" i="3"/>
  <c r="F62" i="3"/>
  <c r="F9" i="3"/>
  <c r="F8" i="3"/>
  <c r="F83" i="3"/>
  <c r="F61" i="3"/>
  <c r="F45" i="3"/>
  <c r="F44" i="3"/>
  <c r="F77" i="3"/>
  <c r="F60" i="3"/>
  <c r="F66" i="3"/>
  <c r="F19" i="3"/>
  <c r="F58" i="3"/>
  <c r="F4" i="3"/>
  <c r="F85" i="3"/>
  <c r="F35" i="3"/>
  <c r="F46" i="3"/>
  <c r="F67" i="3"/>
  <c r="F98" i="3"/>
  <c r="F48" i="3"/>
  <c r="F40" i="3"/>
  <c r="F89" i="3"/>
  <c r="F59" i="3"/>
  <c r="F49" i="3"/>
  <c r="F63" i="3"/>
  <c r="F68" i="3"/>
  <c r="F75" i="3"/>
  <c r="F81" i="3"/>
  <c r="F53" i="3"/>
  <c r="F70" i="3"/>
  <c r="F102" i="3"/>
  <c r="F52" i="3"/>
  <c r="F57" i="3"/>
  <c r="F23" i="3"/>
  <c r="F107" i="3"/>
  <c r="F101" i="3"/>
  <c r="F104" i="3"/>
  <c r="F17" i="3"/>
  <c r="F90" i="3"/>
  <c r="F73" i="3"/>
  <c r="F118" i="3"/>
  <c r="F100" i="3"/>
  <c r="F12" i="3"/>
  <c r="F21" i="3"/>
  <c r="F20" i="3"/>
  <c r="F5" i="3"/>
  <c r="F22" i="3"/>
  <c r="F29" i="3"/>
  <c r="F30" i="3"/>
  <c r="F13" i="3"/>
  <c r="F11" i="3"/>
  <c r="F105" i="3"/>
  <c r="F56" i="3"/>
  <c r="F115" i="3"/>
  <c r="F109" i="3"/>
  <c r="F88" i="3"/>
  <c r="F113" i="3"/>
  <c r="F106" i="3"/>
  <c r="F72" i="3"/>
  <c r="F110" i="3"/>
  <c r="F74" i="3"/>
  <c r="F116" i="3"/>
  <c r="F38" i="3"/>
  <c r="F28" i="3"/>
  <c r="F39" i="3"/>
  <c r="F55" i="3"/>
  <c r="F92" i="3"/>
  <c r="F94" i="3"/>
  <c r="F103" i="3"/>
  <c r="F86" i="3"/>
  <c r="F78" i="3"/>
  <c r="F18" i="3"/>
  <c r="F42" i="3"/>
  <c r="F54" i="3"/>
  <c r="F124" i="3"/>
  <c r="F65" i="3"/>
  <c r="F120" i="3"/>
  <c r="F95" i="3"/>
  <c r="F96" i="3"/>
  <c r="F123" i="3"/>
  <c r="F43" i="3"/>
  <c r="F27" i="3"/>
  <c r="F41" i="3"/>
  <c r="F91" i="3"/>
  <c r="F119" i="3"/>
  <c r="F93" i="3"/>
  <c r="F50" i="3"/>
  <c r="F15" i="3"/>
  <c r="F69" i="3"/>
  <c r="F47" i="3"/>
  <c r="AV31" i="3"/>
  <c r="AV33" i="3"/>
  <c r="AV24" i="3"/>
  <c r="AV32" i="3"/>
  <c r="AV76" i="3"/>
  <c r="AV79" i="3"/>
  <c r="AV84" i="3"/>
  <c r="AV51" i="3"/>
  <c r="AV80" i="3"/>
  <c r="AV99" i="3"/>
  <c r="AV25" i="3"/>
  <c r="AV82" i="3"/>
  <c r="AV97" i="3"/>
  <c r="AV114" i="3"/>
  <c r="AV10" i="3"/>
  <c r="AV117" i="3"/>
  <c r="AV36" i="3"/>
  <c r="AV7" i="3"/>
  <c r="AV37" i="3"/>
  <c r="AV6" i="3"/>
  <c r="AV71" i="3"/>
  <c r="AV87" i="3"/>
  <c r="AV3" i="3"/>
  <c r="AV62" i="3"/>
  <c r="AV9" i="3"/>
  <c r="AV61" i="3"/>
  <c r="AV44" i="3"/>
  <c r="AV77" i="3"/>
  <c r="AV60" i="3"/>
  <c r="AV19" i="3"/>
  <c r="AV58" i="3"/>
  <c r="AV4" i="3"/>
  <c r="AV85" i="3"/>
  <c r="AV35" i="3"/>
  <c r="AV46" i="3"/>
  <c r="AV67" i="3"/>
  <c r="AV98" i="3"/>
  <c r="AV48" i="3"/>
  <c r="AV40" i="3"/>
  <c r="AV89" i="3"/>
  <c r="AV59" i="3"/>
  <c r="AV63" i="3"/>
  <c r="AV68" i="3"/>
  <c r="AV75" i="3"/>
  <c r="AV81" i="3"/>
  <c r="AV53" i="3"/>
  <c r="AV70" i="3"/>
  <c r="AV52" i="3"/>
  <c r="AV57" i="3"/>
  <c r="AV107" i="3"/>
  <c r="AV101" i="3"/>
  <c r="AV104" i="3"/>
  <c r="AV17" i="3"/>
  <c r="AV90" i="3"/>
  <c r="AV73" i="3"/>
  <c r="AV118" i="3"/>
  <c r="AV100" i="3"/>
  <c r="AV21" i="3"/>
  <c r="AV20" i="3"/>
  <c r="AV22" i="3"/>
  <c r="AV29" i="3"/>
  <c r="AV30" i="3"/>
  <c r="AV11" i="3"/>
  <c r="AV105" i="3"/>
  <c r="AV56" i="3"/>
  <c r="AV109" i="3"/>
  <c r="AV113" i="3"/>
  <c r="AV72" i="3"/>
  <c r="AV110" i="3"/>
  <c r="AV74" i="3"/>
  <c r="AV116" i="3"/>
  <c r="AV38" i="3"/>
  <c r="AV39" i="3"/>
  <c r="AV55" i="3"/>
  <c r="AV92" i="3"/>
  <c r="AV94" i="3"/>
  <c r="AV78" i="3"/>
  <c r="AV42" i="3"/>
  <c r="AV54" i="3"/>
  <c r="AV65" i="3"/>
  <c r="AV120" i="3"/>
  <c r="AV96" i="3"/>
  <c r="AV43" i="3"/>
  <c r="AV27" i="3"/>
  <c r="AV41" i="3"/>
  <c r="AV91" i="3"/>
  <c r="AV50" i="3"/>
  <c r="AV69" i="3"/>
  <c r="AV47" i="3"/>
  <c r="AP31" i="3"/>
  <c r="AP34" i="3"/>
  <c r="AP33" i="3"/>
  <c r="AP24" i="3"/>
  <c r="AP32" i="3"/>
  <c r="AP76" i="3"/>
  <c r="AP79" i="3"/>
  <c r="AP84" i="3"/>
  <c r="AP51" i="3"/>
  <c r="AP121" i="3"/>
  <c r="AP80" i="3"/>
  <c r="AP99" i="3"/>
  <c r="AP64" i="3"/>
  <c r="AP25" i="3"/>
  <c r="AP26" i="3"/>
  <c r="AP108" i="3"/>
  <c r="AP82" i="3"/>
  <c r="AP10" i="3"/>
  <c r="AP117" i="3"/>
  <c r="AP36" i="3"/>
  <c r="AP7" i="3"/>
  <c r="AP37" i="3"/>
  <c r="AP6" i="3"/>
  <c r="AP16" i="3"/>
  <c r="AP71" i="3"/>
  <c r="AP87" i="3"/>
  <c r="AP3" i="3"/>
  <c r="AP14" i="3"/>
  <c r="AP122" i="3"/>
  <c r="AP62" i="3"/>
  <c r="AP9" i="3"/>
  <c r="AP83" i="3"/>
  <c r="AP61" i="3"/>
  <c r="AP45" i="3"/>
  <c r="AP44" i="3"/>
  <c r="AP77" i="3"/>
  <c r="AP60" i="3"/>
  <c r="AP66" i="3"/>
  <c r="AP58" i="3"/>
  <c r="AP4" i="3"/>
  <c r="AP85" i="3"/>
  <c r="AP35" i="3"/>
  <c r="AP46" i="3"/>
  <c r="AP67" i="3"/>
  <c r="AP98" i="3"/>
  <c r="AP48" i="3"/>
  <c r="AP40" i="3"/>
  <c r="AP89" i="3"/>
  <c r="AP59" i="3"/>
  <c r="AP49" i="3"/>
  <c r="AP63" i="3"/>
  <c r="AP68" i="3"/>
  <c r="AP75" i="3"/>
  <c r="AP81" i="3"/>
  <c r="AP53" i="3"/>
  <c r="AP70" i="3"/>
  <c r="AP102" i="3"/>
  <c r="AP52" i="3"/>
  <c r="AP57" i="3"/>
  <c r="AP23" i="3"/>
  <c r="AP107" i="3"/>
  <c r="AP101" i="3"/>
  <c r="AP104" i="3"/>
  <c r="AP17" i="3"/>
  <c r="AP90" i="3"/>
  <c r="AP73" i="3"/>
  <c r="AP100" i="3"/>
  <c r="AP12" i="3"/>
  <c r="AP21" i="3"/>
  <c r="AP20" i="3"/>
  <c r="AP5" i="3"/>
  <c r="AP22" i="3"/>
  <c r="AP29" i="3"/>
  <c r="AP13" i="3"/>
  <c r="AP11" i="3"/>
  <c r="AP105" i="3"/>
  <c r="AP56" i="3"/>
  <c r="AP115" i="3"/>
  <c r="AP109" i="3"/>
  <c r="AP88" i="3"/>
  <c r="AP113" i="3"/>
  <c r="AP106" i="3"/>
  <c r="AP72" i="3"/>
  <c r="AP110" i="3"/>
  <c r="AP74" i="3"/>
  <c r="AP38" i="3"/>
  <c r="AP39" i="3"/>
  <c r="AP55" i="3"/>
  <c r="AP92" i="3"/>
  <c r="AP103" i="3"/>
  <c r="AP86" i="3"/>
  <c r="AP78" i="3"/>
  <c r="AP42" i="3"/>
  <c r="AP54" i="3"/>
  <c r="AP65" i="3"/>
  <c r="AP120" i="3"/>
  <c r="AP95" i="3"/>
  <c r="AP96" i="3"/>
  <c r="AP123" i="3"/>
  <c r="AP43" i="3"/>
  <c r="AP27" i="3"/>
  <c r="AP41" i="3"/>
  <c r="AP91" i="3"/>
  <c r="AP119" i="3"/>
  <c r="AP93" i="3"/>
  <c r="AP15" i="3"/>
  <c r="AP47" i="3"/>
  <c r="AM31" i="3"/>
  <c r="AM33" i="3"/>
  <c r="AM24" i="3"/>
  <c r="AM32" i="3"/>
  <c r="AM76" i="3"/>
  <c r="AM79" i="3"/>
  <c r="AM51" i="3"/>
  <c r="AM121" i="3"/>
  <c r="AM80" i="3"/>
  <c r="AM99" i="3"/>
  <c r="AM64" i="3"/>
  <c r="AM108" i="3"/>
  <c r="AM111" i="3"/>
  <c r="AM97" i="3"/>
  <c r="AM10" i="3"/>
  <c r="AM36" i="3"/>
  <c r="AM7" i="3"/>
  <c r="AM16" i="3"/>
  <c r="AM71" i="3"/>
  <c r="AM87" i="3"/>
  <c r="AM3" i="3"/>
  <c r="AM14" i="3"/>
  <c r="AM62" i="3"/>
  <c r="AM9" i="3"/>
  <c r="AM83" i="3"/>
  <c r="AM45" i="3"/>
  <c r="AM44" i="3"/>
  <c r="AM60" i="3"/>
  <c r="AM19" i="3"/>
  <c r="AM4" i="3"/>
  <c r="AM85" i="3"/>
  <c r="AM35" i="3"/>
  <c r="AM46" i="3"/>
  <c r="AM67" i="3"/>
  <c r="AM48" i="3"/>
  <c r="AM40" i="3"/>
  <c r="AM89" i="3"/>
  <c r="AM59" i="3"/>
  <c r="AM49" i="3"/>
  <c r="AM53" i="3"/>
  <c r="AM70" i="3"/>
  <c r="AM52" i="3"/>
  <c r="AM57" i="3"/>
  <c r="AM23" i="3"/>
  <c r="AM107" i="3"/>
  <c r="AM101" i="3"/>
  <c r="AM17" i="3"/>
  <c r="AM90" i="3"/>
  <c r="AM118" i="3"/>
  <c r="AM100" i="3"/>
  <c r="AM12" i="3"/>
  <c r="AM21" i="3"/>
  <c r="AM20" i="3"/>
  <c r="AM5" i="3"/>
  <c r="AM22" i="3"/>
  <c r="AM29" i="3"/>
  <c r="AM30" i="3"/>
  <c r="AM13" i="3"/>
  <c r="AM11" i="3"/>
  <c r="AM105" i="3"/>
  <c r="AM56" i="3"/>
  <c r="AM110" i="3"/>
  <c r="AM38" i="3"/>
  <c r="AM39" i="3"/>
  <c r="AM86" i="3"/>
  <c r="AM78" i="3"/>
  <c r="AM42" i="3"/>
  <c r="AM54" i="3"/>
  <c r="AM65" i="3"/>
  <c r="AM120" i="3"/>
  <c r="AM95" i="3"/>
  <c r="AM43" i="3"/>
  <c r="AM27" i="3"/>
  <c r="AM41" i="3"/>
  <c r="AM91" i="3"/>
  <c r="AM119" i="3"/>
  <c r="AM47" i="3"/>
  <c r="AL51" i="3"/>
  <c r="BB155" i="1"/>
  <c r="BB156" i="1"/>
  <c r="BB191" i="1"/>
  <c r="BB192" i="1"/>
  <c r="BB93" i="1"/>
  <c r="BB94" i="1"/>
  <c r="BB95" i="1"/>
  <c r="BB96" i="1"/>
  <c r="BB53" i="1"/>
  <c r="BB54" i="1"/>
  <c r="BB55" i="1"/>
  <c r="BB56" i="1"/>
  <c r="BB57" i="1"/>
  <c r="BB58" i="1"/>
  <c r="BB62" i="1"/>
  <c r="BB63" i="1"/>
  <c r="BB84" i="1"/>
  <c r="BB85" i="1"/>
  <c r="BB86" i="1"/>
  <c r="BB87" i="1"/>
  <c r="BB91" i="1"/>
  <c r="BB92" i="1"/>
  <c r="BB27" i="1"/>
  <c r="BB26" i="1"/>
  <c r="BB25" i="1"/>
  <c r="BB28" i="1"/>
  <c r="BB29" i="1"/>
  <c r="BB30" i="1"/>
  <c r="BB31" i="1"/>
  <c r="BB32" i="1"/>
  <c r="BB33" i="1"/>
  <c r="BB34" i="1"/>
  <c r="BB38" i="1"/>
  <c r="BB39" i="1"/>
  <c r="BB175" i="1"/>
  <c r="BB176" i="1"/>
  <c r="BB7" i="1"/>
  <c r="BB8" i="1"/>
  <c r="BB9" i="1"/>
  <c r="BB10" i="1"/>
  <c r="BB11" i="1"/>
  <c r="BB12" i="1"/>
  <c r="BB13" i="1"/>
  <c r="BB14" i="1"/>
  <c r="BB15" i="1"/>
  <c r="BB16" i="1"/>
  <c r="BB110" i="1"/>
  <c r="Z277" i="1"/>
  <c r="Z280" i="1"/>
  <c r="Z296" i="1"/>
  <c r="Z276" i="1"/>
  <c r="Z278" i="1"/>
  <c r="Z279" i="1"/>
  <c r="Z281" i="1"/>
  <c r="Z297" i="1"/>
  <c r="Z275" i="1"/>
  <c r="Z335" i="1"/>
  <c r="Z283" i="1"/>
  <c r="Z285" i="1"/>
  <c r="Z293" i="1"/>
  <c r="Z208" i="1"/>
  <c r="Z295" i="1"/>
  <c r="Z215" i="1"/>
  <c r="Z218" i="1"/>
  <c r="Z212" i="1"/>
  <c r="Z214" i="1"/>
  <c r="Z216" i="1"/>
  <c r="Z219" i="1"/>
  <c r="Z210" i="1"/>
  <c r="Z211" i="1"/>
  <c r="Z240" i="1"/>
  <c r="Z220" i="1"/>
  <c r="Z239" i="1"/>
  <c r="Z284" i="1"/>
  <c r="Z282" i="1"/>
  <c r="Z299" i="1"/>
  <c r="Z288" i="1"/>
  <c r="Z302" i="1"/>
  <c r="Z225" i="1"/>
  <c r="Z206" i="1"/>
  <c r="Z255" i="1"/>
  <c r="Z342" i="1"/>
  <c r="Z343" i="1"/>
  <c r="Z256" i="1"/>
  <c r="Z344" i="1"/>
  <c r="Z257" i="1"/>
  <c r="Z346" i="1"/>
  <c r="Z258" i="1"/>
  <c r="Z347" i="1"/>
  <c r="Z259" i="1"/>
  <c r="Z348" i="1"/>
  <c r="Z260" i="1"/>
  <c r="Z349" i="1"/>
  <c r="Z331" i="1"/>
  <c r="Z350" i="1"/>
  <c r="Z261" i="1"/>
  <c r="Z262" i="1"/>
  <c r="Z351" i="1"/>
  <c r="Z209" i="1"/>
  <c r="Z339" i="1"/>
  <c r="Z167" i="1"/>
  <c r="Z168" i="1"/>
  <c r="Z185" i="1"/>
  <c r="Z186" i="1"/>
  <c r="Z274" i="1"/>
  <c r="Z169" i="1"/>
  <c r="Z170" i="1"/>
  <c r="Z183" i="1"/>
  <c r="Z184" i="1"/>
  <c r="Z251" i="1"/>
  <c r="Z195" i="1"/>
  <c r="Z304" i="1"/>
  <c r="Z196" i="1"/>
  <c r="Z332" i="1"/>
  <c r="Z352" i="1"/>
  <c r="Z263" i="1"/>
  <c r="Z264" i="1"/>
  <c r="Z353" i="1"/>
  <c r="Z265" i="1"/>
  <c r="Z354" i="1"/>
  <c r="Z266" i="1"/>
  <c r="Z355" i="1"/>
  <c r="Z267" i="1"/>
  <c r="Z356" i="1"/>
  <c r="Z268" i="1"/>
  <c r="Z357" i="1"/>
  <c r="Z269" i="1"/>
  <c r="Z358" i="1"/>
  <c r="Z270" i="1"/>
  <c r="Z359" i="1"/>
  <c r="Z333" i="1"/>
  <c r="Z360" i="1"/>
  <c r="Z271" i="1"/>
  <c r="Z272" i="1"/>
  <c r="Z361" i="1"/>
  <c r="Z329" i="1"/>
  <c r="Z330" i="1"/>
  <c r="Z334" i="1"/>
  <c r="Z173" i="1"/>
  <c r="Z197" i="1"/>
  <c r="Z198" i="1"/>
  <c r="Z174" i="1"/>
  <c r="Z291" i="1"/>
  <c r="Z207" i="1"/>
  <c r="Z345" i="1"/>
  <c r="Z171" i="1"/>
  <c r="Z172" i="1"/>
  <c r="Z273" i="1"/>
  <c r="Z362" i="1"/>
  <c r="Z213" i="1"/>
  <c r="Z241" i="1"/>
  <c r="Z305" i="1"/>
  <c r="Z242" i="1"/>
  <c r="Z306" i="1"/>
  <c r="Z243" i="1"/>
  <c r="Z307" i="1"/>
  <c r="Z187" i="1"/>
  <c r="Z201" i="1"/>
  <c r="Z64" i="1"/>
  <c r="Z129" i="1"/>
  <c r="Z65" i="1"/>
  <c r="Z308" i="1"/>
  <c r="Z188" i="1"/>
  <c r="Z199" i="1"/>
  <c r="Z337" i="1"/>
  <c r="Z66" i="1"/>
  <c r="Z130" i="1"/>
  <c r="Z67" i="1"/>
  <c r="Z68" i="1"/>
  <c r="Z131" i="1"/>
  <c r="Z69" i="1"/>
  <c r="Z70" i="1"/>
  <c r="Z132" i="1"/>
  <c r="Z71" i="1"/>
  <c r="Z72" i="1"/>
  <c r="Z133" i="1"/>
  <c r="Z73" i="1"/>
  <c r="Z189" i="1"/>
  <c r="Z202" i="1"/>
  <c r="Z74" i="1"/>
  <c r="Z134" i="1"/>
  <c r="Z75" i="1"/>
  <c r="Z309" i="1"/>
  <c r="Z190" i="1"/>
  <c r="Z200" i="1"/>
  <c r="Z338" i="1"/>
  <c r="Z76" i="1"/>
  <c r="Z135" i="1"/>
  <c r="Z77" i="1"/>
  <c r="Z78" i="1"/>
  <c r="Z136" i="1"/>
  <c r="Z79" i="1"/>
  <c r="Z80" i="1"/>
  <c r="Z137" i="1"/>
  <c r="Z81" i="1"/>
  <c r="Z82" i="1"/>
  <c r="Z138" i="1"/>
  <c r="Z83" i="1"/>
  <c r="Z179" i="1"/>
  <c r="Z151" i="1"/>
  <c r="Z157" i="1"/>
  <c r="Z193" i="1"/>
  <c r="Z41" i="1"/>
  <c r="Z118" i="1"/>
  <c r="Z42" i="1"/>
  <c r="Z180" i="1"/>
  <c r="Z152" i="1"/>
  <c r="Z158" i="1"/>
  <c r="Z194" i="1"/>
  <c r="Z43" i="1"/>
  <c r="Z119" i="1"/>
  <c r="Z44" i="1"/>
  <c r="Z45" i="1"/>
  <c r="Z120" i="1"/>
  <c r="Z46" i="1"/>
  <c r="Z47" i="1"/>
  <c r="Z121" i="1"/>
  <c r="Z48" i="1"/>
  <c r="Z49" i="1"/>
  <c r="Z122" i="1"/>
  <c r="Z50" i="1"/>
  <c r="Z153" i="1"/>
  <c r="Z203" i="1"/>
  <c r="Z51" i="1"/>
  <c r="Z123" i="1"/>
  <c r="Z52" i="1"/>
  <c r="Z292" i="1"/>
  <c r="Z312" i="1"/>
  <c r="Z227" i="1"/>
  <c r="Z313" i="1"/>
  <c r="Z228" i="1"/>
  <c r="Z314" i="1"/>
  <c r="Z229" i="1"/>
  <c r="Z315" i="1"/>
  <c r="Z230" i="1"/>
  <c r="Z316" i="1"/>
  <c r="Z231" i="1"/>
  <c r="Z244" i="1"/>
  <c r="Z317" i="1"/>
  <c r="Z318" i="1"/>
  <c r="Z232" i="1"/>
  <c r="Z245" i="1"/>
  <c r="Z319" i="1"/>
  <c r="Z320" i="1"/>
  <c r="Z233" i="1"/>
  <c r="Z246" i="1"/>
  <c r="Z321" i="1"/>
  <c r="Z223" i="1"/>
  <c r="Z224" i="1"/>
  <c r="Z221" i="1"/>
  <c r="Z222" i="1"/>
  <c r="Z340" i="1"/>
  <c r="Z341" i="1"/>
  <c r="Z322" i="1"/>
  <c r="Z234" i="1"/>
  <c r="Z247" i="1"/>
  <c r="Z323" i="1"/>
  <c r="Z248" i="1"/>
  <c r="Z324" i="1"/>
  <c r="Z325" i="1"/>
  <c r="Z236" i="1"/>
  <c r="Z254" i="1"/>
  <c r="Z217" i="1"/>
  <c r="Z149" i="1"/>
  <c r="Z143" i="1"/>
  <c r="Z100" i="1"/>
  <c r="Z101" i="1"/>
  <c r="Z146" i="1"/>
  <c r="Z150" i="1"/>
  <c r="Z287" i="1"/>
  <c r="Z144" i="1"/>
  <c r="Z102" i="1"/>
  <c r="Z103" i="1"/>
  <c r="Z147" i="1"/>
  <c r="Z154" i="1"/>
  <c r="Z145" i="1"/>
  <c r="Z104" i="1"/>
  <c r="Z148" i="1"/>
  <c r="Z105" i="1"/>
  <c r="Z303" i="1"/>
  <c r="Z250" i="1"/>
  <c r="Z163" i="1"/>
  <c r="Z164" i="1"/>
  <c r="Z289" i="1"/>
  <c r="Z226" i="1"/>
  <c r="Z310" i="1"/>
  <c r="Z290" i="1"/>
  <c r="Z155" i="1"/>
  <c r="Z156" i="1"/>
  <c r="Z191" i="1"/>
  <c r="Z192" i="1"/>
  <c r="Z93" i="1"/>
  <c r="Z94" i="1"/>
  <c r="Z95" i="1"/>
  <c r="Z96" i="1"/>
  <c r="Z97" i="1"/>
  <c r="Z98" i="1"/>
  <c r="Z99" i="1"/>
  <c r="Z53" i="1"/>
  <c r="Z54" i="1"/>
  <c r="Z55" i="1"/>
  <c r="Z56" i="1"/>
  <c r="Z57" i="1"/>
  <c r="Z58" i="1"/>
  <c r="Z59" i="1"/>
  <c r="Z60" i="1"/>
  <c r="Z61" i="1"/>
  <c r="Z62" i="1"/>
  <c r="Z63" i="1"/>
  <c r="Z84" i="1"/>
  <c r="Z85" i="1"/>
  <c r="Z86" i="1"/>
  <c r="Z87" i="1"/>
  <c r="Z88" i="1"/>
  <c r="Z89" i="1"/>
  <c r="Z90" i="1"/>
  <c r="Z91" i="1"/>
  <c r="Z92" i="1"/>
  <c r="Z336" i="1"/>
  <c r="Z27" i="1"/>
  <c r="Z26" i="1"/>
  <c r="Z25" i="1"/>
  <c r="Z28" i="1"/>
  <c r="Z29" i="1"/>
  <c r="Z30" i="1"/>
  <c r="Z31" i="1"/>
  <c r="Z32" i="1"/>
  <c r="Z33" i="1"/>
  <c r="Z34" i="1"/>
  <c r="Z35" i="1"/>
  <c r="Z36" i="1"/>
  <c r="Z37" i="1"/>
  <c r="Z38" i="1"/>
  <c r="Z39" i="1"/>
  <c r="Z40" i="1"/>
  <c r="Z175" i="1"/>
  <c r="Z176" i="1"/>
  <c r="Z326" i="1"/>
  <c r="Z237" i="1"/>
  <c r="Z159" i="1"/>
  <c r="Z160" i="1"/>
  <c r="Z124" i="1"/>
  <c r="Z125" i="1"/>
  <c r="Z126" i="1"/>
  <c r="Z127" i="1"/>
  <c r="Z128" i="1"/>
  <c r="Z327" i="1"/>
  <c r="Z238" i="1"/>
  <c r="Z3" i="1"/>
  <c r="Z4" i="1"/>
  <c r="Z5" i="1"/>
  <c r="Z6" i="1"/>
  <c r="Z7" i="1"/>
  <c r="Z8" i="1"/>
  <c r="Z9" i="1"/>
  <c r="Z10" i="1"/>
  <c r="Z11" i="1"/>
  <c r="Z12" i="1"/>
  <c r="Z13" i="1"/>
  <c r="Z14" i="1"/>
  <c r="Z15" i="1"/>
  <c r="Z16" i="1"/>
  <c r="Z17" i="1"/>
  <c r="Z18" i="1"/>
  <c r="Z19" i="1"/>
  <c r="Z20" i="1"/>
  <c r="Z21" i="1"/>
  <c r="Z22" i="1"/>
  <c r="Z23" i="1"/>
  <c r="Z24" i="1"/>
  <c r="Z300" i="1"/>
  <c r="Z301" i="1"/>
  <c r="Z165" i="1"/>
  <c r="Z166" i="1"/>
  <c r="Z249" i="1"/>
  <c r="Z328" i="1"/>
  <c r="Z298" i="1"/>
  <c r="Z112" i="1"/>
  <c r="Z113" i="1"/>
  <c r="Z114" i="1"/>
  <c r="Z115" i="1"/>
  <c r="Z116" i="1"/>
  <c r="Z117" i="1"/>
  <c r="Z252" i="1"/>
  <c r="Z139" i="1"/>
  <c r="Z140" i="1"/>
  <c r="Z141" i="1"/>
  <c r="Z142" i="1"/>
  <c r="Z311" i="1"/>
  <c r="Z161" i="1"/>
  <c r="Z162" i="1"/>
  <c r="Z235" i="1"/>
  <c r="Z205" i="1"/>
  <c r="Z204" i="1"/>
  <c r="Z177" i="1"/>
  <c r="Z178" i="1"/>
  <c r="Z253" i="1"/>
  <c r="Z181" i="1"/>
  <c r="Z182" i="1"/>
  <c r="Z294" i="1"/>
  <c r="Z106" i="1"/>
  <c r="Z107" i="1"/>
  <c r="Z108" i="1"/>
  <c r="Z109" i="1"/>
  <c r="Z110" i="1"/>
  <c r="Z111" i="1"/>
  <c r="V277" i="1"/>
  <c r="V280" i="1"/>
  <c r="V296" i="1"/>
  <c r="V276" i="1"/>
  <c r="V278" i="1"/>
  <c r="V279" i="1"/>
  <c r="V281" i="1"/>
  <c r="V297" i="1"/>
  <c r="V275" i="1"/>
  <c r="V335" i="1"/>
  <c r="V283" i="1"/>
  <c r="V285" i="1"/>
  <c r="V293" i="1"/>
  <c r="V208" i="1"/>
  <c r="V295" i="1"/>
  <c r="V215" i="1"/>
  <c r="V218" i="1"/>
  <c r="V212" i="1"/>
  <c r="V214" i="1"/>
  <c r="V216" i="1"/>
  <c r="V219" i="1"/>
  <c r="V210" i="1"/>
  <c r="V211" i="1"/>
  <c r="V240" i="1"/>
  <c r="V220" i="1"/>
  <c r="V239" i="1"/>
  <c r="V284" i="1"/>
  <c r="V282" i="1"/>
  <c r="V299" i="1"/>
  <c r="V288" i="1"/>
  <c r="V302" i="1"/>
  <c r="V225" i="1"/>
  <c r="V206" i="1"/>
  <c r="V255" i="1"/>
  <c r="V342" i="1"/>
  <c r="V343" i="1"/>
  <c r="V256" i="1"/>
  <c r="V344" i="1"/>
  <c r="V257" i="1"/>
  <c r="V346" i="1"/>
  <c r="V258" i="1"/>
  <c r="V347" i="1"/>
  <c r="V259" i="1"/>
  <c r="V348" i="1"/>
  <c r="V260" i="1"/>
  <c r="V349" i="1"/>
  <c r="V331" i="1"/>
  <c r="V350" i="1"/>
  <c r="V261" i="1"/>
  <c r="V262" i="1"/>
  <c r="V351" i="1"/>
  <c r="V209" i="1"/>
  <c r="V339" i="1"/>
  <c r="V167" i="1"/>
  <c r="V168" i="1"/>
  <c r="V185" i="1"/>
  <c r="V186" i="1"/>
  <c r="V274" i="1"/>
  <c r="V169" i="1"/>
  <c r="V170" i="1"/>
  <c r="V183" i="1"/>
  <c r="V184" i="1"/>
  <c r="V251" i="1"/>
  <c r="V195" i="1"/>
  <c r="V304" i="1"/>
  <c r="V196" i="1"/>
  <c r="V332" i="1"/>
  <c r="V352" i="1"/>
  <c r="V263" i="1"/>
  <c r="V264" i="1"/>
  <c r="V353" i="1"/>
  <c r="V265" i="1"/>
  <c r="V354" i="1"/>
  <c r="V266" i="1"/>
  <c r="V355" i="1"/>
  <c r="V267" i="1"/>
  <c r="V356" i="1"/>
  <c r="V268" i="1"/>
  <c r="V357" i="1"/>
  <c r="V269" i="1"/>
  <c r="V358" i="1"/>
  <c r="V270" i="1"/>
  <c r="V359" i="1"/>
  <c r="V333" i="1"/>
  <c r="V360" i="1"/>
  <c r="V271" i="1"/>
  <c r="V272" i="1"/>
  <c r="V361" i="1"/>
  <c r="V329" i="1"/>
  <c r="V330" i="1"/>
  <c r="V334" i="1"/>
  <c r="V173" i="1"/>
  <c r="V197" i="1"/>
  <c r="V198" i="1"/>
  <c r="V174" i="1"/>
  <c r="V291" i="1"/>
  <c r="V207" i="1"/>
  <c r="V345" i="1"/>
  <c r="V171" i="1"/>
  <c r="V172" i="1"/>
  <c r="V273" i="1"/>
  <c r="V362" i="1"/>
  <c r="V213" i="1"/>
  <c r="V241" i="1"/>
  <c r="V305" i="1"/>
  <c r="V242" i="1"/>
  <c r="V306" i="1"/>
  <c r="V243" i="1"/>
  <c r="V307" i="1"/>
  <c r="V187" i="1"/>
  <c r="V201" i="1"/>
  <c r="V64" i="1"/>
  <c r="V129" i="1"/>
  <c r="V65" i="1"/>
  <c r="V308" i="1"/>
  <c r="V188" i="1"/>
  <c r="V199" i="1"/>
  <c r="V337" i="1"/>
  <c r="V66" i="1"/>
  <c r="V130" i="1"/>
  <c r="V67" i="1"/>
  <c r="V68" i="1"/>
  <c r="V131" i="1"/>
  <c r="V69" i="1"/>
  <c r="V70" i="1"/>
  <c r="V132" i="1"/>
  <c r="V71" i="1"/>
  <c r="V72" i="1"/>
  <c r="V133" i="1"/>
  <c r="V73" i="1"/>
  <c r="V189" i="1"/>
  <c r="V202" i="1"/>
  <c r="V74" i="1"/>
  <c r="V134" i="1"/>
  <c r="V75" i="1"/>
  <c r="V309" i="1"/>
  <c r="V190" i="1"/>
  <c r="V200" i="1"/>
  <c r="V338" i="1"/>
  <c r="V76" i="1"/>
  <c r="V135" i="1"/>
  <c r="V77" i="1"/>
  <c r="V78" i="1"/>
  <c r="V136" i="1"/>
  <c r="V79" i="1"/>
  <c r="V80" i="1"/>
  <c r="V137" i="1"/>
  <c r="V81" i="1"/>
  <c r="V82" i="1"/>
  <c r="V138" i="1"/>
  <c r="V83" i="1"/>
  <c r="V179" i="1"/>
  <c r="V151" i="1"/>
  <c r="V157" i="1"/>
  <c r="V193" i="1"/>
  <c r="V41" i="1"/>
  <c r="V118" i="1"/>
  <c r="V42" i="1"/>
  <c r="V180" i="1"/>
  <c r="V152" i="1"/>
  <c r="V158" i="1"/>
  <c r="V194" i="1"/>
  <c r="V43" i="1"/>
  <c r="V119" i="1"/>
  <c r="V44" i="1"/>
  <c r="V45" i="1"/>
  <c r="V120" i="1"/>
  <c r="V46" i="1"/>
  <c r="V47" i="1"/>
  <c r="V121" i="1"/>
  <c r="V48" i="1"/>
  <c r="V49" i="1"/>
  <c r="V122" i="1"/>
  <c r="V50" i="1"/>
  <c r="V153" i="1"/>
  <c r="V203" i="1"/>
  <c r="V51" i="1"/>
  <c r="V123" i="1"/>
  <c r="V52" i="1"/>
  <c r="V292" i="1"/>
  <c r="V312" i="1"/>
  <c r="V227" i="1"/>
  <c r="V313" i="1"/>
  <c r="V228" i="1"/>
  <c r="V314" i="1"/>
  <c r="V229" i="1"/>
  <c r="V315" i="1"/>
  <c r="V230" i="1"/>
  <c r="V316" i="1"/>
  <c r="V231" i="1"/>
  <c r="V244" i="1"/>
  <c r="V317" i="1"/>
  <c r="V318" i="1"/>
  <c r="V232" i="1"/>
  <c r="V245" i="1"/>
  <c r="V319" i="1"/>
  <c r="V320" i="1"/>
  <c r="V233" i="1"/>
  <c r="V246" i="1"/>
  <c r="V321" i="1"/>
  <c r="V223" i="1"/>
  <c r="V224" i="1"/>
  <c r="V221" i="1"/>
  <c r="V222" i="1"/>
  <c r="V286" i="1"/>
  <c r="V340" i="1"/>
  <c r="V341" i="1"/>
  <c r="V322" i="1"/>
  <c r="V234" i="1"/>
  <c r="V247" i="1"/>
  <c r="V323" i="1"/>
  <c r="V248" i="1"/>
  <c r="V324" i="1"/>
  <c r="V325" i="1"/>
  <c r="V236" i="1"/>
  <c r="V254" i="1"/>
  <c r="V217" i="1"/>
  <c r="V149" i="1"/>
  <c r="V143" i="1"/>
  <c r="V100" i="1"/>
  <c r="V101" i="1"/>
  <c r="V146" i="1"/>
  <c r="V150" i="1"/>
  <c r="V287" i="1"/>
  <c r="V144" i="1"/>
  <c r="V102" i="1"/>
  <c r="V103" i="1"/>
  <c r="V147" i="1"/>
  <c r="V154" i="1"/>
  <c r="V145" i="1"/>
  <c r="V104" i="1"/>
  <c r="V148" i="1"/>
  <c r="V105" i="1"/>
  <c r="V303" i="1"/>
  <c r="V250" i="1"/>
  <c r="V163" i="1"/>
  <c r="V164" i="1"/>
  <c r="V289" i="1"/>
  <c r="V226" i="1"/>
  <c r="V310" i="1"/>
  <c r="V290" i="1"/>
  <c r="V155" i="1"/>
  <c r="V156" i="1"/>
  <c r="V191" i="1"/>
  <c r="V192" i="1"/>
  <c r="V93" i="1"/>
  <c r="V94" i="1"/>
  <c r="V95" i="1"/>
  <c r="V96" i="1"/>
  <c r="V97" i="1"/>
  <c r="V98" i="1"/>
  <c r="V99" i="1"/>
  <c r="V53" i="1"/>
  <c r="V54" i="1"/>
  <c r="V55" i="1"/>
  <c r="V56" i="1"/>
  <c r="V57" i="1"/>
  <c r="V58" i="1"/>
  <c r="V59" i="1"/>
  <c r="V60" i="1"/>
  <c r="V61" i="1"/>
  <c r="V62" i="1"/>
  <c r="V63" i="1"/>
  <c r="V84" i="1"/>
  <c r="V85" i="1"/>
  <c r="V86" i="1"/>
  <c r="V87" i="1"/>
  <c r="V88" i="1"/>
  <c r="V89" i="1"/>
  <c r="V90" i="1"/>
  <c r="V91" i="1"/>
  <c r="V92" i="1"/>
  <c r="V336" i="1"/>
  <c r="V27" i="1"/>
  <c r="V26" i="1"/>
  <c r="V25" i="1"/>
  <c r="V28" i="1"/>
  <c r="V29" i="1"/>
  <c r="V30" i="1"/>
  <c r="V31" i="1"/>
  <c r="V32" i="1"/>
  <c r="V33" i="1"/>
  <c r="V34" i="1"/>
  <c r="V35" i="1"/>
  <c r="V36" i="1"/>
  <c r="V37" i="1"/>
  <c r="V38" i="1"/>
  <c r="V39" i="1"/>
  <c r="V40" i="1"/>
  <c r="V175" i="1"/>
  <c r="V176" i="1"/>
  <c r="V326" i="1"/>
  <c r="V237" i="1"/>
  <c r="V159" i="1"/>
  <c r="V160" i="1"/>
  <c r="V124" i="1"/>
  <c r="V125" i="1"/>
  <c r="V126" i="1"/>
  <c r="V127" i="1"/>
  <c r="V128" i="1"/>
  <c r="V327" i="1"/>
  <c r="V238" i="1"/>
  <c r="V3" i="1"/>
  <c r="V4" i="1"/>
  <c r="V5" i="1"/>
  <c r="V6" i="1"/>
  <c r="V7" i="1"/>
  <c r="V8" i="1"/>
  <c r="V9" i="1"/>
  <c r="V10" i="1"/>
  <c r="V11" i="1"/>
  <c r="V12" i="1"/>
  <c r="V13" i="1"/>
  <c r="V14" i="1"/>
  <c r="V15" i="1"/>
  <c r="V16" i="1"/>
  <c r="V17" i="1"/>
  <c r="V18" i="1"/>
  <c r="V19" i="1"/>
  <c r="V20" i="1"/>
  <c r="V21" i="1"/>
  <c r="V22" i="1"/>
  <c r="V23" i="1"/>
  <c r="V24" i="1"/>
  <c r="V300" i="1"/>
  <c r="V301" i="1"/>
  <c r="V165" i="1"/>
  <c r="V166" i="1"/>
  <c r="V249" i="1"/>
  <c r="V328" i="1"/>
  <c r="V298" i="1"/>
  <c r="V112" i="1"/>
  <c r="V113" i="1"/>
  <c r="V114" i="1"/>
  <c r="V115" i="1"/>
  <c r="V116" i="1"/>
  <c r="V117" i="1"/>
  <c r="V252" i="1"/>
  <c r="V139" i="1"/>
  <c r="V140" i="1"/>
  <c r="V141" i="1"/>
  <c r="V142" i="1"/>
  <c r="V311" i="1"/>
  <c r="V161" i="1"/>
  <c r="V162" i="1"/>
  <c r="V235" i="1"/>
  <c r="V205" i="1"/>
  <c r="V204" i="1"/>
  <c r="V177" i="1"/>
  <c r="V178" i="1"/>
  <c r="V253" i="1"/>
  <c r="V181" i="1"/>
  <c r="V182" i="1"/>
  <c r="V294" i="1"/>
  <c r="V106" i="1"/>
  <c r="V107" i="1"/>
  <c r="V108" i="1"/>
  <c r="V109" i="1"/>
  <c r="V110" i="1"/>
  <c r="V111" i="1"/>
  <c r="U277" i="1"/>
  <c r="U280" i="1"/>
  <c r="U296" i="1"/>
  <c r="U276" i="1"/>
  <c r="U278" i="1"/>
  <c r="U279" i="1"/>
  <c r="U281" i="1"/>
  <c r="U297" i="1"/>
  <c r="U275" i="1"/>
  <c r="U335" i="1"/>
  <c r="U285" i="1"/>
  <c r="U293" i="1"/>
  <c r="U208" i="1"/>
  <c r="U295" i="1"/>
  <c r="U215" i="1"/>
  <c r="U218" i="1"/>
  <c r="U214" i="1"/>
  <c r="U216" i="1"/>
  <c r="U219" i="1"/>
  <c r="U210" i="1"/>
  <c r="U211" i="1"/>
  <c r="U220" i="1"/>
  <c r="U239" i="1"/>
  <c r="U284" i="1"/>
  <c r="U282" i="1"/>
  <c r="U299" i="1"/>
  <c r="U288" i="1"/>
  <c r="U302" i="1"/>
  <c r="U225" i="1"/>
  <c r="U206" i="1"/>
  <c r="U255" i="1"/>
  <c r="U342" i="1"/>
  <c r="U256" i="1"/>
  <c r="U344" i="1"/>
  <c r="U257" i="1"/>
  <c r="U346" i="1"/>
  <c r="U258" i="1"/>
  <c r="U347" i="1"/>
  <c r="U259" i="1"/>
  <c r="U348" i="1"/>
  <c r="U260" i="1"/>
  <c r="U349" i="1"/>
  <c r="U262" i="1"/>
  <c r="U351" i="1"/>
  <c r="U209" i="1"/>
  <c r="U339" i="1"/>
  <c r="U167" i="1"/>
  <c r="U168" i="1"/>
  <c r="U185" i="1"/>
  <c r="U186" i="1"/>
  <c r="U274" i="1"/>
  <c r="U169" i="1"/>
  <c r="U170" i="1"/>
  <c r="U183" i="1"/>
  <c r="U184" i="1"/>
  <c r="U251" i="1"/>
  <c r="U195" i="1"/>
  <c r="U304" i="1"/>
  <c r="U196" i="1"/>
  <c r="U264" i="1"/>
  <c r="U353" i="1"/>
  <c r="U265" i="1"/>
  <c r="U354" i="1"/>
  <c r="U266" i="1"/>
  <c r="U355" i="1"/>
  <c r="U267" i="1"/>
  <c r="U356" i="1"/>
  <c r="U268" i="1"/>
  <c r="U357" i="1"/>
  <c r="U269" i="1"/>
  <c r="U358" i="1"/>
  <c r="U270" i="1"/>
  <c r="U359" i="1"/>
  <c r="U272" i="1"/>
  <c r="U361" i="1"/>
  <c r="U173" i="1"/>
  <c r="U197" i="1"/>
  <c r="U291" i="1"/>
  <c r="U207" i="1"/>
  <c r="U171" i="1"/>
  <c r="U241" i="1"/>
  <c r="U305" i="1"/>
  <c r="U242" i="1"/>
  <c r="U306" i="1"/>
  <c r="U243" i="1"/>
  <c r="U307" i="1"/>
  <c r="U187" i="1"/>
  <c r="U201" i="1"/>
  <c r="U64" i="1"/>
  <c r="U129" i="1"/>
  <c r="U65" i="1"/>
  <c r="U308" i="1"/>
  <c r="U188" i="1"/>
  <c r="U199" i="1"/>
  <c r="U337" i="1"/>
  <c r="U66" i="1"/>
  <c r="U130" i="1"/>
  <c r="U67" i="1"/>
  <c r="U68" i="1"/>
  <c r="U131" i="1"/>
  <c r="U69" i="1"/>
  <c r="U70" i="1"/>
  <c r="U132" i="1"/>
  <c r="U71" i="1"/>
  <c r="U72" i="1"/>
  <c r="U133" i="1"/>
  <c r="U73" i="1"/>
  <c r="U189" i="1"/>
  <c r="U202" i="1"/>
  <c r="U74" i="1"/>
  <c r="U134" i="1"/>
  <c r="U75" i="1"/>
  <c r="U309" i="1"/>
  <c r="U190" i="1"/>
  <c r="U200" i="1"/>
  <c r="U338" i="1"/>
  <c r="U76" i="1"/>
  <c r="U135" i="1"/>
  <c r="U77" i="1"/>
  <c r="U78" i="1"/>
  <c r="U136" i="1"/>
  <c r="U79" i="1"/>
  <c r="U80" i="1"/>
  <c r="U137" i="1"/>
  <c r="U81" i="1"/>
  <c r="U82" i="1"/>
  <c r="U138" i="1"/>
  <c r="U83" i="1"/>
  <c r="U180" i="1"/>
  <c r="U152" i="1"/>
  <c r="U158" i="1"/>
  <c r="U194" i="1"/>
  <c r="U43" i="1"/>
  <c r="U119" i="1"/>
  <c r="U44" i="1"/>
  <c r="U45" i="1"/>
  <c r="U120" i="1"/>
  <c r="U46" i="1"/>
  <c r="U47" i="1"/>
  <c r="U121" i="1"/>
  <c r="U48" i="1"/>
  <c r="U49" i="1"/>
  <c r="U122" i="1"/>
  <c r="U50" i="1"/>
  <c r="U153" i="1"/>
  <c r="U203" i="1"/>
  <c r="U51" i="1"/>
  <c r="U123" i="1"/>
  <c r="U52" i="1"/>
  <c r="U292" i="1"/>
  <c r="U312" i="1"/>
  <c r="U227" i="1"/>
  <c r="U313" i="1"/>
  <c r="U228" i="1"/>
  <c r="U314" i="1"/>
  <c r="U229" i="1"/>
  <c r="U315" i="1"/>
  <c r="U230" i="1"/>
  <c r="U316" i="1"/>
  <c r="U231" i="1"/>
  <c r="U244" i="1"/>
  <c r="U317" i="1"/>
  <c r="U318" i="1"/>
  <c r="U232" i="1"/>
  <c r="U245" i="1"/>
  <c r="U319" i="1"/>
  <c r="U320" i="1"/>
  <c r="U233" i="1"/>
  <c r="U246" i="1"/>
  <c r="U321" i="1"/>
  <c r="U322" i="1"/>
  <c r="U234" i="1"/>
  <c r="U247" i="1"/>
  <c r="U323" i="1"/>
  <c r="U248" i="1"/>
  <c r="U324" i="1"/>
  <c r="U325" i="1"/>
  <c r="U236" i="1"/>
  <c r="U217" i="1"/>
  <c r="U149" i="1"/>
  <c r="U143" i="1"/>
  <c r="U100" i="1"/>
  <c r="U101" i="1"/>
  <c r="U146" i="1"/>
  <c r="U150" i="1"/>
  <c r="U287" i="1"/>
  <c r="U144" i="1"/>
  <c r="U102" i="1"/>
  <c r="U103" i="1"/>
  <c r="U147" i="1"/>
  <c r="U154" i="1"/>
  <c r="U145" i="1"/>
  <c r="U104" i="1"/>
  <c r="U148" i="1"/>
  <c r="U105" i="1"/>
  <c r="U163" i="1"/>
  <c r="U164" i="1"/>
  <c r="U289" i="1"/>
  <c r="U155" i="1"/>
  <c r="U191" i="1"/>
  <c r="U93" i="1"/>
  <c r="U94" i="1"/>
  <c r="U95" i="1"/>
  <c r="U96" i="1"/>
  <c r="U97" i="1"/>
  <c r="U98" i="1"/>
  <c r="U99" i="1"/>
  <c r="U53" i="1"/>
  <c r="U55" i="1"/>
  <c r="U56" i="1"/>
  <c r="U57" i="1"/>
  <c r="U58" i="1"/>
  <c r="U59" i="1"/>
  <c r="U60" i="1"/>
  <c r="U61" i="1"/>
  <c r="U62" i="1"/>
  <c r="U63" i="1"/>
  <c r="U84" i="1"/>
  <c r="U85" i="1"/>
  <c r="U86" i="1"/>
  <c r="U87" i="1"/>
  <c r="U88" i="1"/>
  <c r="U89" i="1"/>
  <c r="U90" i="1"/>
  <c r="U91" i="1"/>
  <c r="U92" i="1"/>
  <c r="U27" i="1"/>
  <c r="U26" i="1"/>
  <c r="U25" i="1"/>
  <c r="U28" i="1"/>
  <c r="U29" i="1"/>
  <c r="U31" i="1"/>
  <c r="U32" i="1"/>
  <c r="U33" i="1"/>
  <c r="U34" i="1"/>
  <c r="U35" i="1"/>
  <c r="U36" i="1"/>
  <c r="U37" i="1"/>
  <c r="U38" i="1"/>
  <c r="U39" i="1"/>
  <c r="U175" i="1"/>
  <c r="U326" i="1"/>
  <c r="U237" i="1"/>
  <c r="U159" i="1"/>
  <c r="U160" i="1"/>
  <c r="U125" i="1"/>
  <c r="U126" i="1"/>
  <c r="U127" i="1"/>
  <c r="U128" i="1"/>
  <c r="U327" i="1"/>
  <c r="U238" i="1"/>
  <c r="U3" i="1"/>
  <c r="U4" i="1"/>
  <c r="U5" i="1"/>
  <c r="U6" i="1"/>
  <c r="U7" i="1"/>
  <c r="U8" i="1"/>
  <c r="U9" i="1"/>
  <c r="U10" i="1"/>
  <c r="U11" i="1"/>
  <c r="U12" i="1"/>
  <c r="U13" i="1"/>
  <c r="U14" i="1"/>
  <c r="U15" i="1"/>
  <c r="U16" i="1"/>
  <c r="U17" i="1"/>
  <c r="U18" i="1"/>
  <c r="U19" i="1"/>
  <c r="U20" i="1"/>
  <c r="U21" i="1"/>
  <c r="U22" i="1"/>
  <c r="U23" i="1"/>
  <c r="U24" i="1"/>
  <c r="U300" i="1"/>
  <c r="U301" i="1"/>
  <c r="U165" i="1"/>
  <c r="U166" i="1"/>
  <c r="U249" i="1"/>
  <c r="U328" i="1"/>
  <c r="U298" i="1"/>
  <c r="U112" i="1"/>
  <c r="U113" i="1"/>
  <c r="U114" i="1"/>
  <c r="U115" i="1"/>
  <c r="U116" i="1"/>
  <c r="U117" i="1"/>
  <c r="U311" i="1"/>
  <c r="U162" i="1"/>
  <c r="U235" i="1"/>
  <c r="U181" i="1"/>
  <c r="U106" i="1"/>
  <c r="U107" i="1"/>
  <c r="U110" i="1"/>
  <c r="U111" i="1"/>
  <c r="R277" i="1"/>
  <c r="R280" i="1"/>
  <c r="R296" i="1"/>
  <c r="R276" i="1"/>
  <c r="R278" i="1"/>
  <c r="R279" i="1"/>
  <c r="R281" i="1"/>
  <c r="R297" i="1"/>
  <c r="R293" i="1"/>
  <c r="R295" i="1"/>
  <c r="R212" i="1"/>
  <c r="R331" i="1"/>
  <c r="R350" i="1"/>
  <c r="R261" i="1"/>
  <c r="R332" i="1"/>
  <c r="R352" i="1"/>
  <c r="R263" i="1"/>
  <c r="R333" i="1"/>
  <c r="R360" i="1"/>
  <c r="R271" i="1"/>
  <c r="R329" i="1"/>
  <c r="R330" i="1"/>
  <c r="R334" i="1"/>
  <c r="R198" i="1"/>
  <c r="R174" i="1"/>
  <c r="R345" i="1"/>
  <c r="R172" i="1"/>
  <c r="R213" i="1"/>
  <c r="R308" i="1"/>
  <c r="R188" i="1"/>
  <c r="R199" i="1"/>
  <c r="R337" i="1"/>
  <c r="R66" i="1"/>
  <c r="R130" i="1"/>
  <c r="R67" i="1"/>
  <c r="R309" i="1"/>
  <c r="R190" i="1"/>
  <c r="R200" i="1"/>
  <c r="R338" i="1"/>
  <c r="R76" i="1"/>
  <c r="R135" i="1"/>
  <c r="R77" i="1"/>
  <c r="R179" i="1"/>
  <c r="R151" i="1"/>
  <c r="R157" i="1"/>
  <c r="R193" i="1"/>
  <c r="R41" i="1"/>
  <c r="R118" i="1"/>
  <c r="R42" i="1"/>
  <c r="R180" i="1"/>
  <c r="R152" i="1"/>
  <c r="R158" i="1"/>
  <c r="R194" i="1"/>
  <c r="R43" i="1"/>
  <c r="R119" i="1"/>
  <c r="R44" i="1"/>
  <c r="R217" i="1"/>
  <c r="R250" i="1"/>
  <c r="R289" i="1"/>
  <c r="R226" i="1"/>
  <c r="R310" i="1"/>
  <c r="R290" i="1"/>
  <c r="R155" i="1"/>
  <c r="R156" i="1"/>
  <c r="R191" i="1"/>
  <c r="R192" i="1"/>
  <c r="R53" i="1"/>
  <c r="R54" i="1"/>
  <c r="R336" i="1"/>
  <c r="R29" i="1"/>
  <c r="R30" i="1"/>
  <c r="R40" i="1"/>
  <c r="R175" i="1"/>
  <c r="R176" i="1"/>
  <c r="R252" i="1"/>
  <c r="R139" i="1"/>
  <c r="R140" i="1"/>
  <c r="R141" i="1"/>
  <c r="R142" i="1"/>
  <c r="R161" i="1"/>
  <c r="R205" i="1"/>
  <c r="R204" i="1"/>
  <c r="R177" i="1"/>
  <c r="R178" i="1"/>
  <c r="R253" i="1"/>
  <c r="R182" i="1"/>
  <c r="R294" i="1"/>
  <c r="R109" i="1"/>
  <c r="B154" i="7" l="1"/>
  <c r="B153" i="7"/>
  <c r="P36" i="7"/>
  <c r="Q36" i="7" s="1"/>
  <c r="P2" i="7"/>
  <c r="B151" i="7" s="1"/>
  <c r="B168" i="7"/>
  <c r="B167" i="7"/>
  <c r="R36" i="7"/>
  <c r="S36" i="7" s="1"/>
  <c r="R2" i="7"/>
  <c r="B165" i="7" s="1"/>
  <c r="B140" i="7"/>
  <c r="B139" i="7"/>
  <c r="N36" i="7"/>
  <c r="O36" i="7" s="1"/>
  <c r="N2" i="7"/>
  <c r="B137" i="7" s="1"/>
  <c r="B126" i="7"/>
  <c r="B125" i="7"/>
  <c r="L36" i="7"/>
  <c r="M36" i="7" s="1"/>
  <c r="L2" i="7"/>
  <c r="B123" i="7" s="1"/>
  <c r="B112" i="7"/>
  <c r="B111" i="7"/>
  <c r="J36" i="7"/>
  <c r="K36" i="7" s="1"/>
  <c r="J2" i="7"/>
  <c r="B109" i="7" s="1"/>
  <c r="B98" i="7"/>
  <c r="B97" i="7"/>
  <c r="H36" i="7"/>
  <c r="I36" i="7" s="1"/>
  <c r="H2" i="7"/>
  <c r="B95" i="7" s="1"/>
  <c r="B84" i="7"/>
  <c r="B83" i="7"/>
  <c r="F36" i="7"/>
  <c r="G36" i="7" s="1"/>
  <c r="F2" i="7"/>
  <c r="B81" i="7" s="1"/>
  <c r="B68" i="7"/>
  <c r="B67" i="7"/>
  <c r="B70" i="7"/>
  <c r="B69" i="7"/>
  <c r="T36" i="7"/>
  <c r="T2" i="7"/>
  <c r="B166" i="7" l="1"/>
  <c r="B96" i="7"/>
  <c r="B82" i="7"/>
  <c r="B152" i="7"/>
  <c r="B124" i="7"/>
  <c r="B110" i="7"/>
  <c r="B138"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8" i="7"/>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E34" i="7" l="1"/>
  <c r="E35" i="7"/>
  <c r="I34" i="7"/>
  <c r="I35" i="7"/>
  <c r="S34" i="7"/>
  <c r="S35" i="7"/>
  <c r="T35" i="7"/>
  <c r="N35" i="7"/>
  <c r="J35" i="7"/>
  <c r="F35" i="7"/>
  <c r="U35" i="7"/>
  <c r="G34" i="7" l="1"/>
  <c r="G35" i="7"/>
  <c r="O34" i="7"/>
  <c r="O35" i="7"/>
  <c r="K34" i="7"/>
  <c r="K35" i="7"/>
  <c r="U3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A6E42CFC-9107-4297-9BA7-1133F6768EA7}">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4621C8AB-259B-4C56-AE19-BF9D61FEB06A}">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D824941F-FD74-4CEA-9A1E-F9B6743DFE4D}">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B08F44AC-EDFE-42E7-BE98-B5A59438BE03}">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693208B0-F682-4339-97B9-94614C3F47F5}">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B3DFFBA7-AC41-4FC7-8491-107A12D3ECBE}">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FA09E36B-3C4C-4334-9299-8B326D655164}">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D31FDED1-2A0B-4050-8DAA-F11496BF43D6}">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70A5EAAF-D967-4567-9FEA-C0CF5FF335F1}">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F166C9A5-B492-4EE6-91EC-056CD3DBBB7C}">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31D8C87B-1A3E-4843-81BF-EE8D5E8F3947}">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48B51256-B944-4480-8FD3-7B0373308B98}">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96DCB288-2C94-4A4A-ACBA-42777405CBE5}">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sharedStrings.xml><?xml version="1.0" encoding="utf-8"?>
<sst xmlns="http://schemas.openxmlformats.org/spreadsheetml/2006/main" count="12249" uniqueCount="2124">
  <si>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</si>
  <si>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</si>
  <si>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</si>
  <si>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</si>
  <si>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</si>
  <si>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</si>
  <si>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</si>
  <si>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</si>
  <si>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</si>
  <si>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</si>
  <si>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</si>
  <si>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</si>
  <si>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</si>
  <si>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</si>
  <si>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</si>
  <si>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</si>
  <si>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</si>
  <si>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</si>
  <si>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</si>
  <si>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</si>
  <si>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</si>
  <si>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</si>
  <si>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</si>
  <si>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</si>
  <si>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</si>
  <si>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</si>
  <si>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</si>
  <si>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</si>
  <si>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</si>
  <si>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</si>
  <si>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</si>
  <si>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</si>
  <si>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</si>
  <si>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</si>
  <si>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</si>
  <si>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</si>
  <si>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</si>
  <si>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</si>
  <si>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</si>
  <si>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</si>
  <si>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</si>
  <si>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</si>
  <si>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</si>
  <si>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</si>
  <si>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</si>
  <si>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</si>
  <si>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</si>
  <si>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</si>
  <si>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</si>
  <si>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</si>
  <si>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</si>
  <si>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</si>
  <si>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</si>
  <si>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</si>
  <si>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</si>
  <si>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</si>
  <si>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</si>
  <si>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</si>
  <si>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</si>
  <si>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</si>
  <si>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</si>
  <si>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</si>
  <si>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</si>
  <si>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</si>
  <si>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</si>
  <si>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</si>
  <si>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</si>
  <si>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</si>
  <si>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</si>
  <si>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</si>
  <si>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</si>
  <si>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</si>
  <si>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</si>
  <si>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</si>
  <si>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</si>
  <si>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</si>
  <si>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</si>
  <si>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</si>
  <si>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</si>
  <si>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</si>
  <si>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</si>
  <si>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</si>
  <si>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</si>
  <si>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</si>
  <si>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</si>
  <si>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</si>
  <si>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</si>
  <si>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</si>
  <si>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</si>
  <si>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</si>
  <si>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</si>
  <si>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</si>
  <si>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</si>
  <si>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</si>
  <si>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</si>
  <si>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</si>
  <si>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</si>
  <si>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</si>
  <si>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</si>
  <si>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</si>
  <si>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</si>
  <si>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</si>
  <si>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</si>
  <si>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</si>
  <si>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</si>
  <si>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</si>
  <si>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</si>
  <si>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</si>
  <si>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</si>
  <si>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</si>
  <si>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</si>
  <si>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</si>
  <si>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</si>
  <si>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</si>
  <si>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</si>
  <si>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</si>
  <si>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</si>
  <si>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</si>
  <si>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</si>
  <si>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</si>
  <si>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</si>
  <si>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</si>
  <si>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</si>
  <si>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</si>
  <si>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</si>
  <si>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</si>
  <si>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</si>
  <si>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</si>
  <si>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</si>
  <si>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</si>
  <si>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</si>
  <si>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</si>
  <si>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</si>
  <si>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</si>
  <si>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</si>
  <si>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</si>
  <si>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</si>
  <si>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</si>
  <si>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</si>
  <si>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</si>
  <si>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</si>
  <si>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</si>
  <si>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</si>
  <si>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</si>
  <si>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</si>
  <si>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</si>
  <si>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</si>
  <si>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</si>
  <si>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</si>
  <si>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</si>
  <si>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</si>
  <si>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</si>
  <si>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</si>
  <si>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</si>
  <si>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</si>
  <si>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</si>
  <si>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</si>
  <si>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</si>
  <si>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</si>
  <si>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</si>
  <si>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</si>
  <si>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</si>
  <si>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</si>
  <si>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</si>
  <si>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</si>
  <si>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</si>
  <si>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</si>
  <si>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</si>
  <si>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</si>
  <si>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</si>
  <si>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</si>
  <si>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</si>
  <si>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</si>
  <si>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</si>
  <si>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Graph History</t>
  </si>
  <si>
    <t>Relationship</t>
  </si>
  <si>
    <t>Relationship Date (UTC)</t>
  </si>
  <si>
    <t>Tweet</t>
  </si>
  <si>
    <t>URLs in Tweet</t>
  </si>
  <si>
    <t>Domains in Tweet</t>
  </si>
  <si>
    <t>Hashtags in Tweet</t>
  </si>
  <si>
    <t>Media in Tweet</t>
  </si>
  <si>
    <t>Tweet Image File</t>
  </si>
  <si>
    <t>Tweet Date (UTC)</t>
  </si>
  <si>
    <t>Date</t>
  </si>
  <si>
    <t>Time</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</si>
  <si>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</si>
  <si>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</si>
  <si>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</si>
  <si>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</si>
  <si>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</si>
  <si>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</si>
  <si>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</si>
  <si>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</si>
  <si>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</si>
  <si>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</si>
  <si>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</si>
  <si>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</si>
  <si>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</si>
  <si>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</si>
  <si>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</si>
  <si>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</si>
  <si>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</si>
  <si>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</si>
  <si>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</si>
  <si>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</si>
  <si>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</si>
  <si>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</si>
  <si>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</si>
  <si>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</si>
  <si>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</si>
  <si>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</si>
  <si>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</si>
  <si>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</si>
  <si>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</si>
  <si>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aceducation</t>
  </si>
  <si>
    <t>ess_kstate</t>
  </si>
  <si>
    <t>jonriskindatace</t>
  </si>
  <si>
    <t>ceopmedia</t>
  </si>
  <si>
    <t>kumcnair</t>
  </si>
  <si>
    <t>keyofe_pro</t>
  </si>
  <si>
    <t>janetadamsspeak</t>
  </si>
  <si>
    <t>fiuferre</t>
  </si>
  <si>
    <t>tseoc_psu</t>
  </si>
  <si>
    <t>fceatrio</t>
  </si>
  <si>
    <t>grodriguezlemus</t>
  </si>
  <si>
    <t>trioperks</t>
  </si>
  <si>
    <t>strwisescholar</t>
  </si>
  <si>
    <t>adriela95</t>
  </si>
  <si>
    <t>triosssmur</t>
  </si>
  <si>
    <t>muhlibrary</t>
  </si>
  <si>
    <t>rader_trader</t>
  </si>
  <si>
    <t>rondamclelland</t>
  </si>
  <si>
    <t>swasaptrio</t>
  </si>
  <si>
    <t>sssivytechfw</t>
  </si>
  <si>
    <t>txwesub</t>
  </si>
  <si>
    <t>renaissancemars</t>
  </si>
  <si>
    <t>252trinnettec</t>
  </si>
  <si>
    <t>_kamoafo</t>
  </si>
  <si>
    <t>peiferlabunc</t>
  </si>
  <si>
    <t>blkingradschool</t>
  </si>
  <si>
    <t>beecyoung</t>
  </si>
  <si>
    <t>kaydontplay_12</t>
  </si>
  <si>
    <t>miajanai_</t>
  </si>
  <si>
    <t>monieelovee_</t>
  </si>
  <si>
    <t>aaron_cortes</t>
  </si>
  <si>
    <t>logangin</t>
  </si>
  <si>
    <t>lamarrichards_</t>
  </si>
  <si>
    <t>blasiangoddessx</t>
  </si>
  <si>
    <t>jbookthacrook</t>
  </si>
  <si>
    <t>nike_bass95</t>
  </si>
  <si>
    <t>alitebrand</t>
  </si>
  <si>
    <t>lotsofsassblog</t>
  </si>
  <si>
    <t>a_r_palmer</t>
  </si>
  <si>
    <t>ecsuhonors</t>
  </si>
  <si>
    <t>adamkirkedge</t>
  </si>
  <si>
    <t>mcnairunc</t>
  </si>
  <si>
    <t>_maburnett</t>
  </si>
  <si>
    <t>uncpsych</t>
  </si>
  <si>
    <t>ub_trio_sjc</t>
  </si>
  <si>
    <t>clcphd2004</t>
  </si>
  <si>
    <t>aeeetrio</t>
  </si>
  <si>
    <t>jkkahlden</t>
  </si>
  <si>
    <t>cory_lemay</t>
  </si>
  <si>
    <t>upward_boundesu</t>
  </si>
  <si>
    <t>tabuwinslow</t>
  </si>
  <si>
    <t>letsplayballan1</t>
  </si>
  <si>
    <t>ms_tabu</t>
  </si>
  <si>
    <t>trio_sss_mc</t>
  </si>
  <si>
    <t>barneskhalid321</t>
  </si>
  <si>
    <t>mizbosslady82</t>
  </si>
  <si>
    <t>shirley10090505</t>
  </si>
  <si>
    <t>suemanning6</t>
  </si>
  <si>
    <t>julieworley14</t>
  </si>
  <si>
    <t>kjcounsel</t>
  </si>
  <si>
    <t>danadlaurens</t>
  </si>
  <si>
    <t>independantdemo</t>
  </si>
  <si>
    <t>perla_51</t>
  </si>
  <si>
    <t>mickeybellet</t>
  </si>
  <si>
    <t>jackashawiley</t>
  </si>
  <si>
    <t>tlharnisch</t>
  </si>
  <si>
    <t>divinelyteressa</t>
  </si>
  <si>
    <t>socanderstacey</t>
  </si>
  <si>
    <t>msn100ms46</t>
  </si>
  <si>
    <t>success_prints</t>
  </si>
  <si>
    <t>edabipi</t>
  </si>
  <si>
    <t>pisancheznyc</t>
  </si>
  <si>
    <t>coetalk</t>
  </si>
  <si>
    <t>indianatrio</t>
  </si>
  <si>
    <t>ucatonsville</t>
  </si>
  <si>
    <t>444sai</t>
  </si>
  <si>
    <t>uwtalentsearch</t>
  </si>
  <si>
    <t>tsumcnair</t>
  </si>
  <si>
    <t>nikolasvision</t>
  </si>
  <si>
    <t>irbound</t>
  </si>
  <si>
    <t>terryluiken</t>
  </si>
  <si>
    <t>eku_nova</t>
  </si>
  <si>
    <t>jamillimabass</t>
  </si>
  <si>
    <t>seccardona</t>
  </si>
  <si>
    <t>mycencalwestop</t>
  </si>
  <si>
    <t>kstateofgs</t>
  </si>
  <si>
    <t>kstatesuccess</t>
  </si>
  <si>
    <t>fiu_sss</t>
  </si>
  <si>
    <t>therealeligio</t>
  </si>
  <si>
    <t>repgwenmoore</t>
  </si>
  <si>
    <t>sentomcotton</t>
  </si>
  <si>
    <t>johncornyn</t>
  </si>
  <si>
    <t>edopassoc</t>
  </si>
  <si>
    <t>cheopunc</t>
  </si>
  <si>
    <t>trioubms_neiu</t>
  </si>
  <si>
    <t>alcaldiademed</t>
  </si>
  <si>
    <t>neiu</t>
  </si>
  <si>
    <t>ccas_neiu</t>
  </si>
  <si>
    <t>mcaplanmarcelo</t>
  </si>
  <si>
    <t>morton201</t>
  </si>
  <si>
    <t>chipubschools</t>
  </si>
  <si>
    <t>neiuelcentro</t>
  </si>
  <si>
    <t>iflyhouston</t>
  </si>
  <si>
    <t>txtreeventures</t>
  </si>
  <si>
    <t>trillornottrill</t>
  </si>
  <si>
    <t>baltcops</t>
  </si>
  <si>
    <t>washingtondc</t>
  </si>
  <si>
    <t>ccbcmd</t>
  </si>
  <si>
    <t>youtube</t>
  </si>
  <si>
    <t>americanasl</t>
  </si>
  <si>
    <t>go2missionsc</t>
  </si>
  <si>
    <t>senatormenendez</t>
  </si>
  <si>
    <t>senbooker</t>
  </si>
  <si>
    <t>montanagearup</t>
  </si>
  <si>
    <t>intlspymuseum</t>
  </si>
  <si>
    <t>americansignl</t>
  </si>
  <si>
    <t>edlaborcmte</t>
  </si>
  <si>
    <t>repbonamici</t>
  </si>
  <si>
    <t>ekumcnair</t>
  </si>
  <si>
    <t>na</t>
  </si>
  <si>
    <t>uscongress</t>
  </si>
  <si>
    <t>firstgencenter</t>
  </si>
  <si>
    <t>MentionsInRetweet</t>
  </si>
  <si>
    <t>Retweet</t>
  </si>
  <si>
    <t>Mentions</t>
  </si>
  <si>
    <t>Replies to</t>
  </si>
  <si>
    <t>Doubling the Pell Grant would help more students earn a degree and secure a bright future. This has bipartisan support. Take action at https://t.co/8zMvVCARhm #doublepell #TRIOworks @KStateOFGS @KStateSuccess https://t.co/zz7D3jGcsa</t>
  </si>
  <si>
    <t>Help us congratulate these incredible @KUMcNair Scholars on a successful summer of undergraduate research!
Discover. Build. Rise. 
#TRIOworks https://t.co/sNVcXhDvmQ</t>
  </si>
  <si>
    <t>6 years working with Trio Student Support Services #TrioWorks 💪🏾🙏🏾</t>
  </si>
  <si>
    <t>I have been speaking virtual for over a year now and today I continue with Wayne State University UB!
Today it is all about entrepreneurship! Students will learn how to take their ideas and turn it into a #business. 
#Entrepreneurship #FinancialLiteracy #TRiOWorks #Speaker https://t.co/BA8wFwhd17</t>
  </si>
  <si>
    <t>@FIU_SSS will be discussing LOVE and RECONCILIATION, the two last chapters of Good Trouble, with Joe Saunders and Dr. Miguel Cardona tomorrow and on Thursday. Join us in SASC 220 or via zoom: https://t.co/jDolrDYhrU #FIU_SSS #IamTRIO #TRIOworks https://t.co/lSMPTh9Xs3</t>
  </si>
  <si>
    <t>The York State Fair is heating up 🔥and you can find us in Memorial Hall East (near the 🚂 ) for games, prizes and to learn more about the Penn State Educational Opportunity Center.  #TRIOWORKS https://t.co/sucFDqgJ4E</t>
  </si>
  <si>
    <t>💡Bonus Tip:
Our Talent Search program does a great job at assisting students with #college and #scholarship applications! 📝🎓
Click here to sign up today! ↙️
 🔗https://t.co/it1FJTzboz
#highschool #talentsearch #upwardbound #UBMS #trio #trioworks #collegetips #trioprogram https://t.co/6n9vExXJC9</t>
  </si>
  <si>
    <t>I am so excited to get this next year cracking of to a good start. The streets is all up in this yall. Thank you @TheRealEligio for being willing to support me with this fellowship. #streetwisescholar #scholarhomies #fromthahoodtogettinghooded #TRIOWORKS #mtsac #communitycolleges https://t.co/slYUHcoA1U</t>
  </si>
  <si>
    <t>#trioworks #fafsa https://t.co/MTtFJVxTqQ</t>
  </si>
  <si>
    <t>31 years ago the Americans with Disabilities Act was established. 
#TrioWorks #TrioSSSMUR #MiamiOHRegionals https://t.co/cx3jA6O4pV</t>
  </si>
  <si>
    <t>A little late posting but THANK YOU @RepGwenMoore for participating in COE’s #GoodTrouble book club! The students from Montana Tech’s UB Club were mesmerized by your message! #TRIOWORKS!</t>
  </si>
  <si>
    <t>Thank you @SenTomCotton staff member Matt Murphy for meeting with NSLC students! #TheChallengeofChange #NSLC2021 #TRIOworks https://t.co/oah4rjjWW5</t>
  </si>
  <si>
    <t>Special thanks to Patrick with Senator @JohnCornyn 's office for taking time to meet with the TRIO students participating in #NSLC2021. Had a great convo about college prep &amp;amp; how to learn more about govt &amp;amp; careers in politics. #TRIOWORKS https://t.co/ZyF0gTvKJW</t>
  </si>
  <si>
    <t>📕“Good Trouble” Book Club!📕 Next &amp;amp; final speaker of the National Speaker series is @SecCardona! 🏫 As many as possible join LIVE at 2:45 pm EST on Thurs, July 29! Check your Ivy Tech email or contact us for the link. #TRIOWorks #GoodTrouble @COETalk @EdOpAssoc @indianatrio https://t.co/QA7Racagbz</t>
  </si>
  <si>
    <t>The Summer Component is coming to an end. Please jot these dates down and read carefully! See you soon! #ubsummer #summercomponent #trioworks https://t.co/GDA4fjfygW</t>
  </si>
  <si>
    <t>5 years ago today, I presented my first independent research project with @McNairUNC. 
5 years later and I’m still chasing those future directions I mentioned but in my dissertation. 🤯 I say it all the time but McNair TRULY changed my life. #TrioWorks https://t.co/AjicC7DZfX</t>
  </si>
  <si>
    <t>@_MABurnett #TRIOWorks I didn’t do McNair but precollege I was in Educational Talent Search for years and all while in college Student Support Services 🙏🏾</t>
  </si>
  <si>
    <t>We are very proud of you, @_MABurnett!
The research poster below still remains within the @CHEOPUNC Office. When you finish the dissertation, please stop by and sign it "Dr. Burnett," so we can celebrate your perseverance full circle. #TrioWorks https://t.co/GnXF9cxhzM</t>
  </si>
  <si>
    <t>Drones are 4 flying w/autonomous programming. Building 21st century workforce readiness. #MyStudentsAreTheBomb #TRIOworks
Inmersos en Vivero Del Software evento #DevoxxKids Talleres drones #TerritorioSTEM+H @AlcaldiadeMed @NEIU @CCAS_NEIU @TRIOUBMS_NEIU @Morton201 @ChiPubSchools https://t.co/2eEYOnOIWx</t>
  </si>
  <si>
    <t>Another amazing STEAM Academy Spring 2020 Saturday session at @NEIUElCentro w @ChiPubSchools and @Morton201 high school students. Amazing Physics class by the one and only @McaplanMarcelo #NewtonsLaws #STEM #GoogleClassrooms #TRIOworks @CCAS_NEIU @NEIU @COETalk https://t.co/MQqo1LVCRX</t>
  </si>
  <si>
    <t>We had a great time at @iflyhouston 
Great way to learn a bit more about physics while indoor skydiving #stem
#upwardbound #ub #ubsjc #trioworks https://t.co/U0bu3DbjWC</t>
  </si>
  <si>
    <t>More @txtreeventures pics! UB tram building is so much fun, even if we are melting!
#upwardbound #ubsjc #ub #trioworks #channelviewhighschool #galenaparkhighschool #cvhs #gphs https://t.co/GAm4L29o0O</t>
  </si>
  <si>
    <t>@_MABurnett @McNairUNC Yes. Yes. Thanks, Marketa. McNair also changed my life. McNair Scholar at the University of Wyoming 1997-1999, Winner 2014 National Trio Achievers Award #TrioWorks</t>
  </si>
  <si>
    <t>We are exactly 1 week away from our Student Leadership Day! We are happy to introduce you all to our 'Opening Edutainment' |  @TrillorNotTrill is ready to get us going! If you're registered, info will be hitting your inbox tomorrow! 
https://t.co/VIC3bN3TVo
#TRIOworks #AEEE44</t>
  </si>
  <si>
    <t>COE thanks TRIO Caucus Co-Chair and TRIO Alumna @repgwenmoore for championing this historic $200.8M increase in TRIO funding. #TRIOWorks https://t.co/lz5Glnp9ux</t>
  </si>
  <si>
    <t>Our @CCBCMD @UCatonsville scholars enjoyed visiting @washingtondc and going to different famous monuments. @BaltCoPS #TRIOworks https://t.co/Vinr9Ksy80</t>
  </si>
  <si>
    <t>Our @CCBCMD @UCatonsville scholars are learning Basic @AmericanASL as an added language enrichment for our Summer Academy. Our facilitator is Mrs. Sicily Faulkner. We are having an awesome time learning #ASL. @YouTube video: https://t.co/JScCEA0fvj @BaltCoPS #TRIOworks @COETalk https://t.co/S4TvYwYbrz</t>
  </si>
  <si>
    <t>Transitioning to one activity to another @CCBCMD @UCatonsville #Trioworks https://t.co/FqwuGtpmW2</t>
  </si>
  <si>
    <t>Transitioning to one activity to another @CCBCMD @UCatonsville #Trioworks https://t.co/qS91QFFrhQ</t>
  </si>
  <si>
    <t>Gardening @CCBCMD @UCatonsville Summer Academy #TRIOworks https://t.co/Ik6c8xqpfp</t>
  </si>
  <si>
    <t>Our @CCBCMD @UCatonsville scholars are learning Basic @AmericanASL as an added language enrichment for our Summer Academy. Our facilitator is Mrs. Sicily Faulkner. We are having an awesome time learning #ASL. @YouTube video: https://t.co/AYZfDR309g… @BaltCoPS #TRIOworks @COETalk</t>
  </si>
  <si>
    <t>Students planning to transfer Spring 2022 semester to CSUs, the Application filing period is August 1-31 , 2021. If you need help with your application, please contact TRIO Counselors ASAP! We are here to help 🙂
@go2MissionSC 
#TeamTRIO #TRIO #TRIOWorks #WeAreMission https://t.co/R4SXncPJ3C</t>
  </si>
  <si>
    <t>John Lewis taught us to shine our light &amp;amp; lead a life of purpose – even if that means getting into a little “good trouble.” 
Today, I joined in a discussion with @COETalk on Congressman Lewis’ book &amp;amp; how each student intends to lead a life of purpose. #TRIOWorks https://t.co/LVs9ZqyeBL</t>
  </si>
  <si>
    <t>Shout out to all our New Jersey TRIO Programs, Stakeholders, Scholars, and their Families | Happy #NationalNewJerseyDay #TRIOworks @SenBooker @SenatorMenendez @JackashaWiley</t>
  </si>
  <si>
    <t>Registered for #AEEE44 or our Student Leadership Day? You should have received an email with information regarding the conference! Check your spam if you need to! #TRIOworks</t>
  </si>
  <si>
    <t>@MontanaGEARUP So excited to see this. Love when student stories are amplified. Listen to Students. Learn from Students. Lead with Students. #StudentsAsPartners #GEARUP #TRIOworks</t>
  </si>
  <si>
    <t>August newsletter drops Mon Aug 2. Highlights include an opportunity to be part of fall research study &amp;amp; receive free games. Sign up today to not miss a thing: https://t.co/6zAoL9WEjQ 
#collegecounseling #collegeready #collegeprep #TRiOworks #GEARUPworks https://t.co/Uptn20TvsR</t>
  </si>
  <si>
    <t>@CCBCMD @UCatonsville Scholars enjoy our day @washingtondc visiting famous sites @BaltCoPS #Trioworks https://t.co/Pf8S4nlOZM</t>
  </si>
  <si>
    <t>@CCBCMD @UCatonsville Scholars enjoy our day @washingtondc @IntlSpyMuseum @BaltCoPS #Trioworks https://t.co/vm4cENOfDP</t>
  </si>
  <si>
    <t>@COETalk Thank you so much!!! #TRIOWorks</t>
  </si>
  <si>
    <t>COE would like to congratulate Pierina Sanchez on her recent victory in the primary for New York City Council's 14th District! @PiSanchezNYC is an Upward Bound TRIO Alumna of the Bronx Community College program. Learn more about her here:  
https://t.co/YnDkoNpkly 
#TRIOworks</t>
  </si>
  <si>
    <t>. @RepGwenMoore: “I rise in strong support of this legislation... I'm particularly appreciative for the increased investments in #TRIO. I would mention that's a bipartisan initiative.” #TRIOWorks https://t.co/YYnP2o6Rbz</t>
  </si>
  <si>
    <t>Initiative from the #IndianaTRIO Research &amp;amp; Evaluation Committee to actively promote the Educational Opportunity Association (EOA) Best Practices Clearinghouse: https://t.co/rKBPqJUDot
✔️ Together, we make sure #TRIOWorks! ✨ https://t.co/yW6UGEyIix</t>
  </si>
  <si>
    <t>Did your TRIO program join the @COETalk summer book club "Good Trouble?!" 📕 TRIO programs that participated could tune in today to hear the U.S. Secretary of Education @SecCardona! #TRIOWorks https://t.co/55rgIQHXCy</t>
  </si>
  <si>
    <t>@CCBCMD @UCatonsville Scholars enjoy our day @washingtondc @IntlSpyMuseum  #Trioworks @BaltCoPS https://t.co/Lj66PRaSzf</t>
  </si>
  <si>
    <t>@CCBCMD @UCatonsville Scholars enjoy our day @washingtondc @IntlSpyMuseum @BaltCoPS #Trioworks https://t.co/t55YpVvz6k</t>
  </si>
  <si>
    <t>@CCBCMD @UCatonsville Scholars enjoy our day @washingtondc @IntlSpyMuseum @BaltCoPS #Trioworks https://t.co/e7EeSKlgFU</t>
  </si>
  <si>
    <t>@CCBCMD @UCatonsville Scholars enjoy our day @washingtondc @IntlSpyMuseum @BaltCoPS #Trioworks https://t.co/anN2BuwqgN</t>
  </si>
  <si>
    <t>@CCBCMD @UCatonsville Scholars enjoy our day @washingtondc @IntlSpyMuseum @BaltCoPS #Trioworks https://t.co/BWEtleGFHf</t>
  </si>
  <si>
    <t>@CCBCMD @UCatonsville Scholars enjoy our day @washingtondc @IntlSpyMuseum and one of our students was able to hold on for almost 60 seconds. Great job, Kamari. @BaltCoPS #Trioworks https://t.co/nPdLHTC1wI</t>
  </si>
  <si>
    <t>⁦@CCBCMD⁩ ⁦@UCatonsville⁩ student, Fridosse Adams, showing her ⁦@AmericansignL⁩ skills from our Summer Academy. Facilitator is Mrs. Sicily Faulkner. #TRIOworks  https://t.co/2z5nQvMrgm</t>
  </si>
  <si>
    <t>@CCBCMD @UCatonsville scholars enjoyed their day learning about the history of Hampton Mason today. #TRIOworks https://t.co/Y9K7E0pgKe</t>
  </si>
  <si>
    <t>#MeetTheTeam Dina Ibarra!!! #uw #TrioWorks https://t.co/S6L1CaQORI</t>
  </si>
  <si>
    <t>#PopQuiz Which answer do you think is correct 🤔🤔 #TRIO #TRIOWORKS #uw #ets https://t.co/gDlrMj7McW</t>
  </si>
  <si>
    <t>Christina's research aims to add to the literature on the impacts of social determinants on individuals' health and wellbeing by using the current andemic as a platform to explore this. #mcnair #trumanstate #biology #trioworks #iammcnair #research #gradschool #distinctbydesign</t>
  </si>
  <si>
    <t>Next up is Kim Ramos, a senior at Truman State University majoring in Philosophy &amp;amp; Religion and Creative Writing and working with Dr. Chad Mohler!
#mcnair #trumanstate #philosophy #trioworks #iammcnair #research #gradschool #distinctbydesign https://t.co/TYz2YvtBgy</t>
  </si>
  <si>
    <t>Zane Siebeneck is a senior Truman McNair Scholar majoring in Biology and working with Dr. Stephanie Foré.
#mcnair #trumanstate #biology #trioworks #iammcnair #research #gradschool #distinctbydesign https://t.co/zbbYX8FVlR</t>
  </si>
  <si>
    <t>Our next Scholar is Ashley Taylor, a senior at Truman State University majoring in Psychology and Creative Writing and working with Dr. Sarah Mohler!
#mcnair #trumanstate #psychology #trioworks #iammcnair #research #gradschool #distinctbydesign https://t.co/ChH6UY7i6A</t>
  </si>
  <si>
    <t>Our last Scholar participating in the 2021 McNair Summer Research Internship is Tre'Andice Williams, a Truman McNair Scholar majoring in Biology and working with Dr. Stephanie Maiden. #mcnair #trumanstate #biology #trioworks #iammcnair #research #gradschool #distinctbydesign https://t.co/c4KamUFyYn</t>
  </si>
  <si>
    <t>TRIO Splash Summer Academy Pool Party. Thank you, Terius Williams, life guard (TRIO student) for taking good care of us while at the pool swimming. #makingfriends #buildingrelationships
#TRIOworks https://t.co/j0PaFr4eQz</t>
  </si>
  <si>
    <t>Capstone Project: Great job to our student emcee, Tyler Ross and Aleria Lester on the welcome. You're  amazing, looking forward to big things from both of you. Director Smith and Coordinator Idlette also spoke at the Showcase. 
#TRIOworks https://t.co/VzA9q1Wyf8</t>
  </si>
  <si>
    <t>Capstone Project: TRIO has spirit, yes we do! TRIO has spirit, how about you? 
#TRIOworks https://t.co/rzjRAWOqPv</t>
  </si>
  <si>
    <t>Thank you to our amazingly talented TRIO UB Instructional and Support Staff! Instructional Coaches- Ms. Browning, Ms Eliacin, Ms Hodges, Mr Hewitt, Mr Sanchez, Staff- Mr Gonzalez, Miss Outler and Mr Roberts!  #TRIOworks https://t.co/kcxP5XQ5tZ</t>
  </si>
  <si>
    <t>Capstone Project: TRIO Steppers showed up and showed out!!
#TRIOworks https://t.co/ILKFYxtIYe</t>
  </si>
  <si>
    <t>Capstone Project: The Drone Expo was very impressive!  #Trioworks https://t.co/xM5aAIdVSD</t>
  </si>
  <si>
    <t>Capstone Project: kudos to our parent and community support! It was a packed house! I always say it takes a village, we have one! Let's change the world together! 
#TRIOworks https://t.co/RSBncIgdLc</t>
  </si>
  <si>
    <t>Capstone Project: The musical selection played during the event brought tears, students played "Stand By Me", it was amazing! I hate to brag, but our students are top notch talented! #TRIOworks https://t.co/jjaADQL30C</t>
  </si>
  <si>
    <t>Capstone Project: The students were very creative, they even included a game segment which included an Oreo challenge, beach ball toss and obstacle course.
#TRIOworks https://t.co/K1XfvZMdpi</t>
  </si>
  <si>
    <t>Capstone Project: TRIO Staff prepared a surprise dance routine for the students. They were so happy! Yes! We know how to turn up too! 
#teamtrio #TRIOworks https://t.co/dsQGAEBKrc</t>
  </si>
  <si>
    <t>Capstone Project: STEM Teams compete in a robotics competition.  Both groups were outstanding! Go Big Blue! Go Gold! 
#TRIOworks https://t.co/MV2cjqKIHa</t>
  </si>
  <si>
    <t>College Tour 2021: After a fabulous Summer Academy Program, we attended a 5 day road trip which consisted of college visits, cultural experiences, food and fun! Students were required to write about their journey in their Journey Book.  #TRIOworks https://t.co/iJPb0LfFkB</t>
  </si>
  <si>
    <t>College Tour: University of Central FL Tour
#TRIOworks https://t.co/O8exFh63BV</t>
  </si>
  <si>
    <t>College Tour: Movies at City Walk in Orlando, FL. Private viewing of "In the Heights". They also enjoyed their snacks, popcorn, candy, and an icee! #creatingmemories 
#TRIOworks https://t.co/zR4E4ogSP2</t>
  </si>
  <si>
    <t>College Tour: Bethune Cookman University tour, the day we visited was Mary McLeod Bethune's birthday. Nice HBCU college campus! 
#TRIOworks https://t.co/ViOLsQXPny</t>
  </si>
  <si>
    <t>College Tour: Tampa, FL - Visiting the University of South Florida
#TRIOworks https://t.co/8rp82QrrqK</t>
  </si>
  <si>
    <t>College Tour: Tampa, FL - Visiting the University of South Florida
#TRIOworks https://t.co/iU5QNW84FC</t>
  </si>
  <si>
    <t>College Tour: Tampa, FL - Visiting the University of South Florida
#TRIOworks https://t.co/l3aqjXywsZ</t>
  </si>
  <si>
    <t>College Tour: Tampa, FL - Busch Gardens
#TRIOworks https://t.co/A8yRXYWMPV</t>
  </si>
  <si>
    <t>College Tour: St Pete Beach, FL 
#TRIOworks https://t.co/hN8cTqlE7g</t>
  </si>
  <si>
    <t>College Tour: A big thank you to Florida Southern College in Lakeland, FL! They went above and beyond providing an outstanding guided tour of their campus to our students! It was very informative, and engaging! #floridasouthern #TRIOworks https://t.co/rJB1wbzBc1</t>
  </si>
  <si>
    <t>College Tour: The last supper was served at Harry's Seafood Restaurant in Lakeland, Fl before returning home. It was delicious! 
#TRIOworks https://t.co/45Sx1Cwh4e</t>
  </si>
  <si>
    <t>COE thanks @RepBonamici for highlighting TRIO programs during today's @EdLaborCmte hearing! #TRIOWorks https://t.co/IUtNcW7ro8</t>
  </si>
  <si>
    <t>. @RepBonamici: "This is why I support TRIO, Gear Up, &amp;amp; programs that help with retention, particularly for first-generation college students.” #TRIOWorks #CelebrateFirstGen https://t.co/hcyMBwPxGb</t>
  </si>
  <si>
    <t>We are excited to announce that NOVA's own, Rowan Harvey, has been accepted by @EKUMcNair! Rowan hopes to study public health accessibility for minority populations. Congratulations Rowan! 
#trioworks #mcnairscholar #firstgen #ekunova https://t.co/54iJh5KWYw</t>
  </si>
  <si>
    <t>Meet Kera Flynn!
📚 Junior: Broadcast &amp;amp; Electronic Media
🏡 Somerset, Kentucky
❤️ My favorite aspect of the NOVA Program is the love and joy spread throughout the program.
#trioworks #ekunova #firstgen #peermentor #youngleader https://t.co/d1Dwaxzdvz</t>
  </si>
  <si>
    <t>The NOVA Open House is just a couple weeks away! Stop by and enjoy a catered meal and team games. We can't wait to see our NOVAs, new and old, on the beautiful Turley House Lawn. #trioworks #firstgeneration #ekunova #openhouse https://t.co/YCkAMVFgDG</t>
  </si>
  <si>
    <t>Meet Ricki Brown!
📚 Sophomore: Public Health
🏡 Morgantown, Kentucky
❤️ My favorite part about NOVA is the advisors and my friends!
#trioworks #ekunova #firstgen #peermentor #youngleader https://t.co/0k2BKZ4ree</t>
  </si>
  <si>
    <t>Meet Maddie Harbison! 
📚 Junior: Pre-ASL Interpreter Training Program: Special Education
🏡 Louisville, Kentucky
❤️ I love NOVA because it gave me a huge support system and brought me many new friendships  
#trioworks #ekunova #firstgen #peermentor #youngleader https://t.co/H5vE3yBVuR</t>
  </si>
  <si>
    <t>Meet Destanie Feltner!
📚 Junior: Social Work: Sociology &amp;amp; Child and Infant Care 
🏡 Manchester, Kentucky
❤️ My favorite aspect of the NOVA Program is the close community and amazing advisors.
#trioworks #ekunova #firstgen #peermentor #youngleaders https://t.co/rnY6s1YF7x</t>
  </si>
  <si>
    <t>Meet Haley Tackett!
📚 Junior: Biomedical science: Pre-med
🏡 Teaberry, Kentucky
❤️ My favorite part of the program is the relationships we build with our advisors and the leadership opportunities the program presents! 
#trioworks #ekunova #firstgen #peermentor #youngleaders https://t.co/jRm4JQjxYy</t>
  </si>
  <si>
    <t>📹 Frevo Bicudo Theme /Comp @na.housemusicbr #fishmanpickups #doublebassist #ampegsvt #musicaddict #musica #bassistsofinstagram #modernjazz #doublebassist #jazztrio #bassguitars #gigs #doublebassplaye #trioworks #fishmanpreamp #studio... https://t.co/7BJ4VG2dTI</t>
  </si>
  <si>
    <t>📹 Sesc Belenzinho 2019 #fishmanpickups #doublebassist #ampegsvt #musicaddict #musica #bassistsofinstagram #modernjazz #doublebassist #jazztrio #bassguitars #gigs #doublebassplaye #trioworks #fishmanpreamp #studio #modernart #gravação... https://t.co/HyfE4Z7hDM</t>
  </si>
  <si>
    <t>📷 Bass solo #fishmanpickups #doublebassist #ampegsvt #musicaddict #musica #bassistsofinstagram #modernjazz #doublebassist #jazztrio #bassguitars #gigs #doublebassplaye #trioworks #fishmanpreamp #studio #modernart #gravação #doublebass... https://t.co/bS9GK9DblB</t>
  </si>
  <si>
    <t>📷 Voltando aos poucos!!!!!!! Getting back!!!!!!!!!!!!!!! #fishmanpickups #doublebassist #ampegsvt #musicaddict #musica #bassistsofinstagram #modernjazz #doublebassist #jazztrio #bassguitars #gigs #doublebassplaye #trioworks #fishmanpreamp... https://t.co/pCz1F44Zbc</t>
  </si>
  <si>
    <t>📷 Take bom! When the take was good!! #fishmanpickups #doublebassist #ampegsvt #musicaddict #musica #bassistsofinstagram #modernjazz #doublebassist #jazztrio #bassguitars #gigs #doublebassplaye #trioworks #take #fishmanpreamp #studio... https://t.co/eoA4rUcn2t</t>
  </si>
  <si>
    <t>We are happy to see so many @USCongress members highlighting the great work that we in TRIO do on behalf of students, both high school and college. #TRIOWorks https://t.co/Sll2UwMmog</t>
  </si>
  <si>
    <t>U.S. Senators Susan Collins, Jon Tester, &amp;amp; Tammy Baldwin led a bipartisan group of 56 Senators in pushing for continued funding for Federal TRIO Programs in the Labor, Health &amp;amp; Human Services, &amp;amp; Education Appropriations bill. Learn more here:
https://t.co/DBhiXq9rxN 
#TRIOworks</t>
  </si>
  <si>
    <t>The University of Nevada plans to simulate their Dean’s Future Scholars Program across the state as the Nevada First-Gen Network, a program dedicated to serving first generation, low income students. Learn more about their efforts here: 
https://t.co/IgW2uMTZck 
#TRIOworks</t>
  </si>
  <si>
    <t>As we begin planning for #CelebrateFirstGen Day on Nov. 8th, this fall, please consider some of these great activities to conduct on your campus. Thanks to @FirstgenCenter and @COETalk for putting the list together. #TRIOWorks 
https://t.co/7nC6vFOdjW</t>
  </si>
  <si>
    <t>Deadline is almost here! Please consider submitting a workshop proposal for the 2021 annual PDS event, sponsored by the CenCal chapter of WESTOP. Theme: Climbing towards Success: Navigating our new work environment ahead. #TRIOWorks #SAPro #SAPros #studentaffairs https://t.co/ATuHIm1exU</t>
  </si>
  <si>
    <t>CenCal is proud to announce the development of our first pre-con to occur right before #CenCalPDS21 on Oct. 5th. This event is geared towards new student service professionals under 2 years of professional experience. Only $100 Open to all #SApros in California! #TRIOworks https://t.co/nPgStfE1en</t>
  </si>
  <si>
    <t>Only 10 days left! Please consider submitting a workshop proposal for the 2021 annual PDS event, sponsored by the CenCal chapter of WESTOP. Theme: Climbing towards Success: Navigating our new work environment ahead. #TRIOWorks #SAPro #SAPros #studentaffairs</t>
  </si>
  <si>
    <t>ARTICLE: The Edge: New Takes on College Access, Rural Students, and Transfer
https://t.co/WKr0gEwvNd
#Rural #Comm_College #trioworks</t>
  </si>
  <si>
    <t>Our Education &amp;amp; Legislation Liaison @_estefannyyyy_  and our President @0svaldolavalle are busy working, on a Saturday afternoon, on the inaugural New Professional Institute (NPI) for this fall’s Professional Development Seminar (PDS) to be held on October 5th #TRIOWorks https://t.co/KdnoeGoMnf</t>
  </si>
  <si>
    <t>Only 5 days left! Please consider submitting a workshop proposal for the 2021 annual PDS event, sponsored by the CenCal chapter of WESTOP. Theme: Climbing towards Success: Navigating our new work environment ahead. #TRIOWorks #SAPro #SAPros #studentaffairs https://t.co/GFQej9zGIl</t>
  </si>
  <si>
    <t>doublepell.org</t>
  </si>
  <si>
    <t>fiu.edu</t>
  </si>
  <si>
    <t>jotform.com</t>
  </si>
  <si>
    <t>twitter.com</t>
  </si>
  <si>
    <t>youtube.com</t>
  </si>
  <si>
    <t>successprints.shop</t>
  </si>
  <si>
    <t>latinovictory.us</t>
  </si>
  <si>
    <t>squarespace.com</t>
  </si>
  <si>
    <t>youtu.be</t>
  </si>
  <si>
    <t>tumblr.com</t>
  </si>
  <si>
    <t>senate.gov</t>
  </si>
  <si>
    <t>thenevadaindependent.com</t>
  </si>
  <si>
    <t>naspa.org</t>
  </si>
  <si>
    <t>chronicle.com</t>
  </si>
  <si>
    <t>doublepell trioworks</t>
  </si>
  <si>
    <t>trioworks</t>
  </si>
  <si>
    <t>business entrepreneurship financialliteracy trioworks speaker</t>
  </si>
  <si>
    <t>fiu_sss iamtrio trioworks</t>
  </si>
  <si>
    <t>college scholarship highschool talentsearch upwardbound ubms trio trioworks collegetips trioprogram</t>
  </si>
  <si>
    <t>streetwisescholar scholarhomies fromthahoodtogettinghooded trioworks mtsac communitycolleges</t>
  </si>
  <si>
    <t>trioworks fafsa</t>
  </si>
  <si>
    <t>trioworks triosssmur miamiohregionals</t>
  </si>
  <si>
    <t>goodtrouble trioworks</t>
  </si>
  <si>
    <t>thechallengeofchange nslc2021 trioworks</t>
  </si>
  <si>
    <t>nslc2021 trioworks</t>
  </si>
  <si>
    <t>trioworks goodtrouble</t>
  </si>
  <si>
    <t>ubsummer summercomponent trioworks</t>
  </si>
  <si>
    <t>mystudentsarethebomb trioworks devoxxkids territoriostem</t>
  </si>
  <si>
    <t>newtonslaws stem googleclassrooms trioworks</t>
  </si>
  <si>
    <t>stem upwardbound ub ubsjc trioworks</t>
  </si>
  <si>
    <t>upwardbound ubsjc ub trioworks channelviewhighschool galenaparkhighschool cvhs gphs</t>
  </si>
  <si>
    <t>trioworks aeee44</t>
  </si>
  <si>
    <t>asl trioworks</t>
  </si>
  <si>
    <t>teamtrio trio trioworks wearemission</t>
  </si>
  <si>
    <t>nationalnewjerseyday trioworks</t>
  </si>
  <si>
    <t>aeee44 trioworks</t>
  </si>
  <si>
    <t>studentsaspartners gearup trioworks</t>
  </si>
  <si>
    <t>collegecounseling collegeready collegeprep trioworks gearupworks</t>
  </si>
  <si>
    <t>trio trioworks</t>
  </si>
  <si>
    <t>indianatrio trioworks</t>
  </si>
  <si>
    <t>meettheteam uw trioworks</t>
  </si>
  <si>
    <t>popquiz trio trioworks uw ets</t>
  </si>
  <si>
    <t>mcnair trumanstate biology trioworks iammcnair research gradschool distinctbydesign</t>
  </si>
  <si>
    <t>mcnair trumanstate philosophy trioworks iammcnair research gradschool distinctbydesign</t>
  </si>
  <si>
    <t>mcnair trumanstate psychology trioworks iammcnair research gradschool distinctbydesign</t>
  </si>
  <si>
    <t>makingfriends buildingrelationships trioworks</t>
  </si>
  <si>
    <t>teamtrio trioworks</t>
  </si>
  <si>
    <t>creatingmemories trioworks</t>
  </si>
  <si>
    <t>floridasouthern trioworks</t>
  </si>
  <si>
    <t>trioworks celebratefirstgen</t>
  </si>
  <si>
    <t>trioworks mcnairscholar firstgen ekunova</t>
  </si>
  <si>
    <t>trioworks ekunova firstgen peermentor youngleader</t>
  </si>
  <si>
    <t>trioworks firstgeneration ekunova openhouse</t>
  </si>
  <si>
    <t>trioworks ekunova firstgen peermentor youngleaders</t>
  </si>
  <si>
    <t>fishmanpickups doublebassist ampegsvt musicaddict musica bassistsofinstagram modernjazz doublebassist jazztrio bassguitars gigs doublebassplaye trioworks fishmanpreamp studio</t>
  </si>
  <si>
    <t>fishmanpickups doublebassist ampegsvt musicaddict musica bassistsofinstagram modernjazz doublebassist jazztrio bassguitars gigs doublebassplaye trioworks fishmanpreamp studio modernart gravação</t>
  </si>
  <si>
    <t>fishmanpickups doublebassist ampegsvt musicaddict musica bassistsofinstagram modernjazz doublebassist jazztrio bassguitars gigs doublebassplaye trioworks fishmanpreamp studio modernart gravação doublebass</t>
  </si>
  <si>
    <t>fishmanpickups doublebassist ampegsvt musicaddict musica bassistsofinstagram modernjazz doublebassist jazztrio bassguitars gigs doublebassplaye trioworks fishmanpreamp</t>
  </si>
  <si>
    <t>fishmanpickups doublebassist ampegsvt musicaddict musica bassistsofinstagram modernjazz doublebassist jazztrio bassguitars gigs doublebassplaye trioworks take fishmanpreamp studio</t>
  </si>
  <si>
    <t>celebratefirstgen trioworks</t>
  </si>
  <si>
    <t>trioworks sapro sapros studentaffairs</t>
  </si>
  <si>
    <t>cencalpds21 sapros trioworks</t>
  </si>
  <si>
    <t>rural comm_college trioworks</t>
  </si>
  <si>
    <t>17:52:42</t>
  </si>
  <si>
    <t>17:04:35</t>
  </si>
  <si>
    <t>17:58:06</t>
  </si>
  <si>
    <t>21:35:47</t>
  </si>
  <si>
    <t>19:15:57</t>
  </si>
  <si>
    <t>13:21:41</t>
  </si>
  <si>
    <t>14:21:05</t>
  </si>
  <si>
    <t>14:44:41</t>
  </si>
  <si>
    <t>18:00:15</t>
  </si>
  <si>
    <t>22:10:11</t>
  </si>
  <si>
    <t>02:01:05</t>
  </si>
  <si>
    <t>02:19:02</t>
  </si>
  <si>
    <t>00:09:23</t>
  </si>
  <si>
    <t>04:37:03</t>
  </si>
  <si>
    <t>20:21:00</t>
  </si>
  <si>
    <t>14:20:59</t>
  </si>
  <si>
    <t>15:27:25</t>
  </si>
  <si>
    <t>15:39:47</t>
  </si>
  <si>
    <t>15:40:22</t>
  </si>
  <si>
    <t>20:09:39</t>
  </si>
  <si>
    <t>20:11:20</t>
  </si>
  <si>
    <t>20:15:49</t>
  </si>
  <si>
    <t>20:25:06</t>
  </si>
  <si>
    <t>20:25:40</t>
  </si>
  <si>
    <t>20:52:01</t>
  </si>
  <si>
    <t>20:59:01</t>
  </si>
  <si>
    <t>22:40:43</t>
  </si>
  <si>
    <t>23:27:55</t>
  </si>
  <si>
    <t>23:42:24</t>
  </si>
  <si>
    <t>00:07:26</t>
  </si>
  <si>
    <t>00:01:06</t>
  </si>
  <si>
    <t>00:11:49</t>
  </si>
  <si>
    <t>01:02:49</t>
  </si>
  <si>
    <t>02:10:04</t>
  </si>
  <si>
    <t>02:18:28</t>
  </si>
  <si>
    <t>02:50:33</t>
  </si>
  <si>
    <t>04:15:35</t>
  </si>
  <si>
    <t>05:04:26</t>
  </si>
  <si>
    <t>10:11:55</t>
  </si>
  <si>
    <t>11:32:56</t>
  </si>
  <si>
    <t>11:52:02</t>
  </si>
  <si>
    <t>12:05:46</t>
  </si>
  <si>
    <t>20:49:05</t>
  </si>
  <si>
    <t>20:56:03</t>
  </si>
  <si>
    <t>12:44:36</t>
  </si>
  <si>
    <t>12:44:07</t>
  </si>
  <si>
    <t>16:31:12</t>
  </si>
  <si>
    <t>13:29:32</t>
  </si>
  <si>
    <t>20:09:47</t>
  </si>
  <si>
    <t>15:22:33</t>
  </si>
  <si>
    <t>16:16:23</t>
  </si>
  <si>
    <t>04:23:02</t>
  </si>
  <si>
    <t>04:23:34</t>
  </si>
  <si>
    <t>14:16:09</t>
  </si>
  <si>
    <t>15:06:55</t>
  </si>
  <si>
    <t>15:07:11</t>
  </si>
  <si>
    <t>15:08:05</t>
  </si>
  <si>
    <t>15:08:12</t>
  </si>
  <si>
    <t>15:08:15</t>
  </si>
  <si>
    <t>15:08:56</t>
  </si>
  <si>
    <t>15:09:09</t>
  </si>
  <si>
    <t>15:10:01</t>
  </si>
  <si>
    <t>15:10:07</t>
  </si>
  <si>
    <t>15:10:10</t>
  </si>
  <si>
    <t>15:04:47</t>
  </si>
  <si>
    <t>15:04:53</t>
  </si>
  <si>
    <t>15:06:01</t>
  </si>
  <si>
    <t>15:06:06</t>
  </si>
  <si>
    <t>15:06:10</t>
  </si>
  <si>
    <t>15:18:57</t>
  </si>
  <si>
    <t>21:19:03</t>
  </si>
  <si>
    <t>22:18:09</t>
  </si>
  <si>
    <t>22:18:19</t>
  </si>
  <si>
    <t>22:20:57</t>
  </si>
  <si>
    <t>22:22:55</t>
  </si>
  <si>
    <t>22:26:18</t>
  </si>
  <si>
    <t>22:37:09</t>
  </si>
  <si>
    <t>22:44:16</t>
  </si>
  <si>
    <t>22:49:06</t>
  </si>
  <si>
    <t>22:51:46</t>
  </si>
  <si>
    <t>22:53:31</t>
  </si>
  <si>
    <t>17:45:50</t>
  </si>
  <si>
    <t>23:07:18</t>
  </si>
  <si>
    <t>22:58:26</t>
  </si>
  <si>
    <t>23:11:37</t>
  </si>
  <si>
    <t>23:41:15</t>
  </si>
  <si>
    <t>02:18:49</t>
  </si>
  <si>
    <t>15:31:00</t>
  </si>
  <si>
    <t>20:46:29</t>
  </si>
  <si>
    <t>15:45:30</t>
  </si>
  <si>
    <t>03:53:27</t>
  </si>
  <si>
    <t>03:53:32</t>
  </si>
  <si>
    <t>17:28:17</t>
  </si>
  <si>
    <t>23:53:24</t>
  </si>
  <si>
    <t>13:25:00</t>
  </si>
  <si>
    <t>01:45:07</t>
  </si>
  <si>
    <t>01:45:08</t>
  </si>
  <si>
    <t>15:46:38</t>
  </si>
  <si>
    <t>19:29:08</t>
  </si>
  <si>
    <t>21:35:03</t>
  </si>
  <si>
    <t>14:43:59</t>
  </si>
  <si>
    <t>14:44:58</t>
  </si>
  <si>
    <t>23:35:29</t>
  </si>
  <si>
    <t>23:37:02</t>
  </si>
  <si>
    <t>23:38:19</t>
  </si>
  <si>
    <t>23:39:00</t>
  </si>
  <si>
    <t>23:40:12</t>
  </si>
  <si>
    <t>23:40:38</t>
  </si>
  <si>
    <t>23:42:40</t>
  </si>
  <si>
    <t>23:56:22</t>
  </si>
  <si>
    <t>15:01:31</t>
  </si>
  <si>
    <t>18:25:14</t>
  </si>
  <si>
    <t>22:21:26</t>
  </si>
  <si>
    <t>22:16:56</t>
  </si>
  <si>
    <t>22:11:32</t>
  </si>
  <si>
    <t>20:37:58</t>
  </si>
  <si>
    <t>18:27:57</t>
  </si>
  <si>
    <t>19:00:43</t>
  </si>
  <si>
    <t>18:40:02</t>
  </si>
  <si>
    <t>17:13:50</t>
  </si>
  <si>
    <t>18:37:29</t>
  </si>
  <si>
    <t>19:01:00</t>
  </si>
  <si>
    <t>22:44:43</t>
  </si>
  <si>
    <t>19:33:48</t>
  </si>
  <si>
    <t>21:27:53</t>
  </si>
  <si>
    <t>16:14:10</t>
  </si>
  <si>
    <t>15:16:26</t>
  </si>
  <si>
    <t>15:22:48</t>
  </si>
  <si>
    <t>15:31:02</t>
  </si>
  <si>
    <t>15:57:36</t>
  </si>
  <si>
    <t>16:08:56</t>
  </si>
  <si>
    <t>16:39:32</t>
  </si>
  <si>
    <t>16:45:19</t>
  </si>
  <si>
    <t>16:52:03</t>
  </si>
  <si>
    <t>18:22:30</t>
  </si>
  <si>
    <t>18:25:26</t>
  </si>
  <si>
    <t>18:41:29</t>
  </si>
  <si>
    <t>18:46:52</t>
  </si>
  <si>
    <t>18:59:45</t>
  </si>
  <si>
    <t>19:24:40</t>
  </si>
  <si>
    <t>21:10:55</t>
  </si>
  <si>
    <t>21:16:32</t>
  </si>
  <si>
    <t>21:21:57</t>
  </si>
  <si>
    <t>21:25:39</t>
  </si>
  <si>
    <t>21:32:59</t>
  </si>
  <si>
    <t>21:57:26</t>
  </si>
  <si>
    <t>22:09:50</t>
  </si>
  <si>
    <t>17:31:22</t>
  </si>
  <si>
    <t>22:10:53</t>
  </si>
  <si>
    <t>17:31:23</t>
  </si>
  <si>
    <t>16:02:22</t>
  </si>
  <si>
    <t>16:00:43</t>
  </si>
  <si>
    <t>16:01:45</t>
  </si>
  <si>
    <t>16:01:59</t>
  </si>
  <si>
    <t>16:01:38</t>
  </si>
  <si>
    <t>16:01:16</t>
  </si>
  <si>
    <t>16:00:37</t>
  </si>
  <si>
    <t>20:08:25</t>
  </si>
  <si>
    <t>20:07:58</t>
  </si>
  <si>
    <t>20:09:06</t>
  </si>
  <si>
    <t>20:09:23</t>
  </si>
  <si>
    <t>20:10:00</t>
  </si>
  <si>
    <t>22:18:00</t>
  </si>
  <si>
    <t>22:18:16</t>
  </si>
  <si>
    <t>13:43:17</t>
  </si>
  <si>
    <t>17:54:37</t>
  </si>
  <si>
    <t>17:36:20</t>
  </si>
  <si>
    <t>16:50:02</t>
  </si>
  <si>
    <t>13:50:03</t>
  </si>
  <si>
    <t>19:30:00</t>
  </si>
  <si>
    <t>18:18:00</t>
  </si>
  <si>
    <t>15:59:00</t>
  </si>
  <si>
    <t>19:19:00</t>
  </si>
  <si>
    <t>21:16:37</t>
  </si>
  <si>
    <t>22:27:31</t>
  </si>
  <si>
    <t>20:23:00</t>
  </si>
  <si>
    <t>1418992550153687043</t>
  </si>
  <si>
    <t>1418618052510470147</t>
  </si>
  <si>
    <t>1418993911645843456</t>
  </si>
  <si>
    <t>1418686305224077315</t>
  </si>
  <si>
    <t>1419013502350630914</t>
  </si>
  <si>
    <t>1419649123582631950</t>
  </si>
  <si>
    <t>1419664072442884105</t>
  </si>
  <si>
    <t>1419670012516868104</t>
  </si>
  <si>
    <t>1419719227439816705</t>
  </si>
  <si>
    <t>1419782124903837697</t>
  </si>
  <si>
    <t>1419840231428083712</t>
  </si>
  <si>
    <t>1419844751839399936</t>
  </si>
  <si>
    <t>1419812122494595075</t>
  </si>
  <si>
    <t>1419879481385177090</t>
  </si>
  <si>
    <t>1419754647707865092</t>
  </si>
  <si>
    <t>1420026436602245131</t>
  </si>
  <si>
    <t>1420043153533374466</t>
  </si>
  <si>
    <t>1405616192455282688</t>
  </si>
  <si>
    <t>1420046266835275781</t>
  </si>
  <si>
    <t>1420046410918027264</t>
  </si>
  <si>
    <t>1420114179822862342</t>
  </si>
  <si>
    <t>1420114601472139264</t>
  </si>
  <si>
    <t>1420115731555962882</t>
  </si>
  <si>
    <t>1420118065921073152</t>
  </si>
  <si>
    <t>1420118208187617280</t>
  </si>
  <si>
    <t>1420124842674720769</t>
  </si>
  <si>
    <t>1420126604563451910</t>
  </si>
  <si>
    <t>1420152197489340416</t>
  </si>
  <si>
    <t>1420164076441939969</t>
  </si>
  <si>
    <t>1420167720784515080</t>
  </si>
  <si>
    <t>1420174020666929157</t>
  </si>
  <si>
    <t>1165283208533020672</t>
  </si>
  <si>
    <t>1420172426143469570</t>
  </si>
  <si>
    <t>1228778234168463360</t>
  </si>
  <si>
    <t>1420175121726255107</t>
  </si>
  <si>
    <t>1420187958502588417</t>
  </si>
  <si>
    <t>1420204880652906500</t>
  </si>
  <si>
    <t>1420206994749861892</t>
  </si>
  <si>
    <t>1420215068940292096</t>
  </si>
  <si>
    <t>1420236468702924801</t>
  </si>
  <si>
    <t>1420248762006523904</t>
  </si>
  <si>
    <t>1420326141664051201</t>
  </si>
  <si>
    <t>1420346530595319808</t>
  </si>
  <si>
    <t>1420351339348074501</t>
  </si>
  <si>
    <t>1420354795974668290</t>
  </si>
  <si>
    <t>1420124103806234635</t>
  </si>
  <si>
    <t>1420125856312221701</t>
  </si>
  <si>
    <t>1420364565968130048</t>
  </si>
  <si>
    <t>1420364444257820673</t>
  </si>
  <si>
    <t>1419696816849838083</t>
  </si>
  <si>
    <t>1420375875250442245</t>
  </si>
  <si>
    <t>1420114213658402821</t>
  </si>
  <si>
    <t>1420404318184755200</t>
  </si>
  <si>
    <t>1420055476759408653</t>
  </si>
  <si>
    <t>1420600732139524097</t>
  </si>
  <si>
    <t>1420600866482974721</t>
  </si>
  <si>
    <t>1420749992285724675</t>
  </si>
  <si>
    <t>1420762771801530374</t>
  </si>
  <si>
    <t>1420762838113587200</t>
  </si>
  <si>
    <t>1420763064908099589</t>
  </si>
  <si>
    <t>1420763091483054099</t>
  </si>
  <si>
    <t>1420763104921767937</t>
  </si>
  <si>
    <t>1420763276665933824</t>
  </si>
  <si>
    <t>1420763333368688643</t>
  </si>
  <si>
    <t>1420763549677277184</t>
  </si>
  <si>
    <t>1420763574218207233</t>
  </si>
  <si>
    <t>1420763585798627331</t>
  </si>
  <si>
    <t>1420762232816914432</t>
  </si>
  <si>
    <t>1420762259693973506</t>
  </si>
  <si>
    <t>1420762541416869895</t>
  </si>
  <si>
    <t>1420762565572022277</t>
  </si>
  <si>
    <t>1420762579748724739</t>
  </si>
  <si>
    <t>1420765797316714501</t>
  </si>
  <si>
    <t>1420856420522594304</t>
  </si>
  <si>
    <t>1420871295147913224</t>
  </si>
  <si>
    <t>1420871336847683588</t>
  </si>
  <si>
    <t>1420871998654255107</t>
  </si>
  <si>
    <t>1420872494924304394</t>
  </si>
  <si>
    <t>1420873344078028805</t>
  </si>
  <si>
    <t>1405568263455662082</t>
  </si>
  <si>
    <t>1420876074184060928</t>
  </si>
  <si>
    <t>1420877864895979523</t>
  </si>
  <si>
    <t>1420879083693436928</t>
  </si>
  <si>
    <t>1420879751233814529</t>
  </si>
  <si>
    <t>1420880191577001985</t>
  </si>
  <si>
    <t>1420077987823865861</t>
  </si>
  <si>
    <t>1420883663588319241</t>
  </si>
  <si>
    <t>1420519044868972545</t>
  </si>
  <si>
    <t>1420884747157446657</t>
  </si>
  <si>
    <t>1420892207108825094</t>
  </si>
  <si>
    <t>1420931858834104324</t>
  </si>
  <si>
    <t>1421131218402246657</t>
  </si>
  <si>
    <t>1420848226039599104</t>
  </si>
  <si>
    <t>1421134868637884422</t>
  </si>
  <si>
    <t>1420593286717321217</t>
  </si>
  <si>
    <t>1420593306489196551</t>
  </si>
  <si>
    <t>1421160732494860294</t>
  </si>
  <si>
    <t>1420170486227611648</t>
  </si>
  <si>
    <t>1420012347259867148</t>
  </si>
  <si>
    <t>1420560991012655106</t>
  </si>
  <si>
    <t>1420560994846351365</t>
  </si>
  <si>
    <t>1420772765863485440</t>
  </si>
  <si>
    <t>1420828757791805440</t>
  </si>
  <si>
    <t>1420860446773481477</t>
  </si>
  <si>
    <t>1420032222283898895</t>
  </si>
  <si>
    <t>1420032469043134480</t>
  </si>
  <si>
    <t>1420528365354856453</t>
  </si>
  <si>
    <t>1420528757392150530</t>
  </si>
  <si>
    <t>1420529079518892034</t>
  </si>
  <si>
    <t>1420529251510542348</t>
  </si>
  <si>
    <t>1420529556025380864</t>
  </si>
  <si>
    <t>1420529664280469510</t>
  </si>
  <si>
    <t>1420530173947088905</t>
  </si>
  <si>
    <t>1420533623971848193</t>
  </si>
  <si>
    <t>1420761412998209539</t>
  </si>
  <si>
    <t>1421175066356850692</t>
  </si>
  <si>
    <t>1414711527953866752</t>
  </si>
  <si>
    <t>1414710391532306434</t>
  </si>
  <si>
    <t>1414709036063338496</t>
  </si>
  <si>
    <t>1419758915957444613</t>
  </si>
  <si>
    <t>1421175748602126336</t>
  </si>
  <si>
    <t>1420821605660377088</t>
  </si>
  <si>
    <t>1421178792236683270</t>
  </si>
  <si>
    <t>1419707545938190341</t>
  </si>
  <si>
    <t>1420090986517180423</t>
  </si>
  <si>
    <t>1420459292780494849</t>
  </si>
  <si>
    <t>1420877978662096896</t>
  </si>
  <si>
    <t>1421192321136271360</t>
  </si>
  <si>
    <t>1421221030736154625</t>
  </si>
  <si>
    <t>1419330140891385860</t>
  </si>
  <si>
    <t>1421127552438054913</t>
  </si>
  <si>
    <t>1421129156234973191</t>
  </si>
  <si>
    <t>1421131227323682823</t>
  </si>
  <si>
    <t>1421137914348679183</t>
  </si>
  <si>
    <t>1421140766336901121</t>
  </si>
  <si>
    <t>1421148467158786048</t>
  </si>
  <si>
    <t>1421149921986613257</t>
  </si>
  <si>
    <t>1421151614698729476</t>
  </si>
  <si>
    <t>1421174378906128387</t>
  </si>
  <si>
    <t>1421175114599698433</t>
  </si>
  <si>
    <t>1421179154549051393</t>
  </si>
  <si>
    <t>1421180509665832960</t>
  </si>
  <si>
    <t>1421183750659059718</t>
  </si>
  <si>
    <t>1421190024528375808</t>
  </si>
  <si>
    <t>1421216763317047298</t>
  </si>
  <si>
    <t>1421218173697810441</t>
  </si>
  <si>
    <t>1421219539694534656</t>
  </si>
  <si>
    <t>1421220467617193985</t>
  </si>
  <si>
    <t>1421222315187130369</t>
  </si>
  <si>
    <t>1421228468977668102</t>
  </si>
  <si>
    <t>1421231589334437896</t>
  </si>
  <si>
    <t>1421161509527474187</t>
  </si>
  <si>
    <t>1421231854368272384</t>
  </si>
  <si>
    <t>1421161513059028994</t>
  </si>
  <si>
    <t>1420414335856357376</t>
  </si>
  <si>
    <t>1418964371456368640</t>
  </si>
  <si>
    <t>1419689406911365129</t>
  </si>
  <si>
    <t>1420051851089793026</t>
  </si>
  <si>
    <t>1420776540653211656</t>
  </si>
  <si>
    <t>1421138835803623434</t>
  </si>
  <si>
    <t>1421501061429436422</t>
  </si>
  <si>
    <t>1421563420307070985</t>
  </si>
  <si>
    <t>1421563309032157185</t>
  </si>
  <si>
    <t>1421563591484915714</t>
  </si>
  <si>
    <t>1421563662985318415</t>
  </si>
  <si>
    <t>1421563819009191942</t>
  </si>
  <si>
    <t>1420871254492565510</t>
  </si>
  <si>
    <t>1420871322654085121</t>
  </si>
  <si>
    <t>1421104111060013059</t>
  </si>
  <si>
    <t>1421167361252528137</t>
  </si>
  <si>
    <t>1421162760293867525</t>
  </si>
  <si>
    <t>1420063944702513153</t>
  </si>
  <si>
    <t>1420381036123496453</t>
  </si>
  <si>
    <t>1421191363983446016</t>
  </si>
  <si>
    <t>1418998917220474885</t>
  </si>
  <si>
    <t>1419688712351387650</t>
  </si>
  <si>
    <t>1420463820179492873</t>
  </si>
  <si>
    <t>1420493421563703297</t>
  </si>
  <si>
    <t>1421598426752446470</t>
  </si>
  <si>
    <t>1421929477261565955</t>
  </si>
  <si>
    <t>1420829932200943624</t>
  </si>
  <si>
    <t>1419707544289878027</t>
  </si>
  <si>
    <t/>
  </si>
  <si>
    <t>398062533</t>
  </si>
  <si>
    <t>1097348284203585537</t>
  </si>
  <si>
    <t>2730116696</t>
  </si>
  <si>
    <t>105154667</t>
  </si>
  <si>
    <t>23104618</t>
  </si>
  <si>
    <t>1004785055452073985</t>
  </si>
  <si>
    <t>en</t>
  </si>
  <si>
    <t>und</t>
  </si>
  <si>
    <t>eu</t>
  </si>
  <si>
    <t>de</t>
  </si>
  <si>
    <t>pt</t>
  </si>
  <si>
    <t>it</t>
  </si>
  <si>
    <t>1419761172425973767</t>
  </si>
  <si>
    <t>1420826156031414278</t>
  </si>
  <si>
    <t>Twitter Web App</t>
  </si>
  <si>
    <t>Twitter for iPhone</t>
  </si>
  <si>
    <t>Buffer</t>
  </si>
  <si>
    <t>Hootsuite Inc.</t>
  </si>
  <si>
    <t>Loomly</t>
  </si>
  <si>
    <t>Twitter for Android</t>
  </si>
  <si>
    <t>Canva</t>
  </si>
  <si>
    <t>Twitter for iPad</t>
  </si>
  <si>
    <t>Tumblr</t>
  </si>
  <si>
    <t>TweetDeck</t>
  </si>
  <si>
    <t>-76.73546554122278,39.25298270462267 
-76.73546554122278,39.25298270462267 
-76.73546554122278,39.25298270462267 
-76.73546554122278,39.25298270462267</t>
  </si>
  <si>
    <t>-77.025539,38.883895 
-77.025539,38.883895 
-77.025539,38.883895 
-77.025539,38.883895</t>
  </si>
  <si>
    <t>-77.050166,38.889267 
-77.050166,38.889267 
-77.050166,38.889267 
-77.050166,38.889267</t>
  </si>
  <si>
    <t>-76.736044778606,39.25189770795888 
-76.736044778606,39.25189770795888 
-76.736044778606,39.25189770795888 
-76.736044778606,39.25189770795888</t>
  </si>
  <si>
    <t>-76.73544169161167,39.25410478132697 
-76.73544169161167,39.25410478132697 
-76.73544169161167,39.25410478132697 
-76.73544169161167,39.25410478132697</t>
  </si>
  <si>
    <t>-76.7115205,39.197211 
-76.529443,39.197211 
-76.529443,39.372215 
-76.7115205,39.372215</t>
  </si>
  <si>
    <t>-80.463058,27.6491165 
-80.383135,27.6491165 
-80.383135,27.696888 
-80.463058,27.696888</t>
  </si>
  <si>
    <t>-80.463302,27.5870076 
-80.346166,27.5870076 
-80.346166,27.674983 
-80.463302,27.674983</t>
  </si>
  <si>
    <t>-81.507905,28.3882177 
-81.2276403,28.3882177 
-81.2276403,28.615139 
-81.507905,28.615139</t>
  </si>
  <si>
    <t>-119.29684,36.360546 
-119.29684,36.360546 
-119.29684,36.360546 
-119.29684,36.360546</t>
  </si>
  <si>
    <t>United States</t>
  </si>
  <si>
    <t>US</t>
  </si>
  <si>
    <t>Chicago, IL</t>
  </si>
  <si>
    <t>Student Services Center - CCBC Catonsville</t>
  </si>
  <si>
    <t>International Spy Museum</t>
  </si>
  <si>
    <t>Lincoln Memorial</t>
  </si>
  <si>
    <t>CCBC Catonsville - College Services Center (CSRV)</t>
  </si>
  <si>
    <t>CCBC Catonsville Student Life J-200</t>
  </si>
  <si>
    <t>Baltimore, MD</t>
  </si>
  <si>
    <t>Gifford, FL</t>
  </si>
  <si>
    <t>Vero Beach, FL</t>
  </si>
  <si>
    <t>Orlando, FL</t>
  </si>
  <si>
    <t>Starbucks</t>
  </si>
  <si>
    <t>07d9ccb5d1086000</t>
  </si>
  <si>
    <t>11dca57e8e54e001</t>
  </si>
  <si>
    <t>07d9ec6f99488000</t>
  </si>
  <si>
    <t>07d9e7f954086000</t>
  </si>
  <si>
    <t>07d9f0071a084000</t>
  </si>
  <si>
    <t>c0b8e8dc81930292</t>
  </si>
  <si>
    <t>b2acf3dee65e2eaa</t>
  </si>
  <si>
    <t>3cf05613c1dd6dbd</t>
  </si>
  <si>
    <t>55b4f9e5c516e0b6</t>
  </si>
  <si>
    <t>07d9d741e6084000</t>
  </si>
  <si>
    <t>Chicago</t>
  </si>
  <si>
    <t>Baltimore</t>
  </si>
  <si>
    <t>Gifford</t>
  </si>
  <si>
    <t>Vero Beach</t>
  </si>
  <si>
    <t>Orlando</t>
  </si>
  <si>
    <t>city</t>
  </si>
  <si>
    <t>poi</t>
  </si>
  <si>
    <t>Name</t>
  </si>
  <si>
    <t>User ID</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</si>
  <si>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</si>
  <si>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</si>
  <si>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</si>
  <si>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</si>
  <si>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</si>
  <si>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</si>
  <si>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</si>
  <si>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</si>
  <si>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</si>
  <si>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</si>
  <si>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</si>
  <si>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</si>
  <si>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</si>
  <si>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</si>
  <si>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Listed Count</t>
  </si>
  <si>
    <t>Profile Background Image Url</t>
  </si>
  <si>
    <t>Verified</t>
  </si>
  <si>
    <t>Custom Menu Item Text</t>
  </si>
  <si>
    <t>Custom Menu Item Action</t>
  </si>
  <si>
    <t>Tweeted Search Term?</t>
  </si>
  <si>
    <t>Jeannie Brown Leonard</t>
  </si>
  <si>
    <t>Office of First-generation Students</t>
  </si>
  <si>
    <t>TRIO ESS at K-State</t>
  </si>
  <si>
    <t>Jonathan Riskind</t>
  </si>
  <si>
    <t>Center for Educational Opportunity Programs</t>
  </si>
  <si>
    <t>KU TRIO McNair</t>
  </si>
  <si>
    <t>🎒Erwin 💼</t>
  </si>
  <si>
    <t>Ja'Net Adams</t>
  </si>
  <si>
    <t>FIU Ferré Institute</t>
  </si>
  <si>
    <t>FIU Student Support Services</t>
  </si>
  <si>
    <t>TSEOC</t>
  </si>
  <si>
    <t>FCEA Trio</t>
  </si>
  <si>
    <t>Gabriel Rodríguez Lemus, Jr.</t>
  </si>
  <si>
    <t>Eligio Martinez Jr.</t>
  </si>
  <si>
    <t>Joe Louis Hernandez</t>
  </si>
  <si>
    <t>TRiOPerks</t>
  </si>
  <si>
    <t>anticlimactic punk</t>
  </si>
  <si>
    <t>TRIO SSS MUR</t>
  </si>
  <si>
    <t>Rentschler Library</t>
  </si>
  <si>
    <t>Theresa Rader</t>
  </si>
  <si>
    <t>Rep. Gwen Moore</t>
  </si>
  <si>
    <t>Ronda McLelland</t>
  </si>
  <si>
    <t>Tom Cotton</t>
  </si>
  <si>
    <t>SWASAP</t>
  </si>
  <si>
    <t>Senator John Cornyn</t>
  </si>
  <si>
    <t>Kimberly Jones</t>
  </si>
  <si>
    <t>TRIO SSS Ivy Tech Fort Wayne</t>
  </si>
  <si>
    <t>EOA</t>
  </si>
  <si>
    <t>Indiana TRIO</t>
  </si>
  <si>
    <t>Council for Opportunity in Education</t>
  </si>
  <si>
    <t>Secretary Miguel Cardona</t>
  </si>
  <si>
    <t>TXWESUB</t>
  </si>
  <si>
    <t>Margarett McBride, M.A.</t>
  </si>
  <si>
    <t>UNC McNair Scholars</t>
  </si>
  <si>
    <t>Marketa, Future Ph.D</t>
  </si>
  <si>
    <t>Trinnette Cooper</t>
  </si>
  <si>
    <t>Kojo</t>
  </si>
  <si>
    <t>Mark Peifer</t>
  </si>
  <si>
    <t>Blk + In Grad School</t>
  </si>
  <si>
    <t>B. Young</t>
  </si>
  <si>
    <t>Ms. Kay</t>
  </si>
  <si>
    <t>Mia B</t>
  </si>
  <si>
    <t>CHEOP UNC</t>
  </si>
  <si>
    <t>SB</t>
  </si>
  <si>
    <t>Aaron Cortes Minor</t>
  </si>
  <si>
    <t>TRIO UBMS NEIU</t>
  </si>
  <si>
    <t>Alcaldía de Medellín</t>
  </si>
  <si>
    <t>NEIU</t>
  </si>
  <si>
    <t>NEIU.CCAS</t>
  </si>
  <si>
    <t>Marcelo Caplan</t>
  </si>
  <si>
    <t>Morton 201</t>
  </si>
  <si>
    <t>Chicago Public Schools</t>
  </si>
  <si>
    <t>NEIU El Centro</t>
  </si>
  <si>
    <t>Logan Gin</t>
  </si>
  <si>
    <t>Lamar Richards</t>
  </si>
  <si>
    <t>Ling Kardashian❣️</t>
  </si>
  <si>
    <t>LaNubiana</t>
  </si>
  <si>
    <t>🥺</t>
  </si>
  <si>
    <t>alexa thornberry, M.S.</t>
  </si>
  <si>
    <t>Azanique | Lots of Sass Blog</t>
  </si>
  <si>
    <t>Alyssa Palmer</t>
  </si>
  <si>
    <t>Elizabeth City State U. Honors Program</t>
  </si>
  <si>
    <t>Adam Kirk Edgerton</t>
  </si>
  <si>
    <t>UNC Psych &amp; Neuro</t>
  </si>
  <si>
    <t>Ub_trio_sjc</t>
  </si>
  <si>
    <t>iFLYHouston</t>
  </si>
  <si>
    <t>Texas TreeVentures</t>
  </si>
  <si>
    <t>Dr. Carol L Cheatham</t>
  </si>
  <si>
    <t>AEEE-NY/NJ TRIO</t>
  </si>
  <si>
    <t>Trill or Not Trill</t>
  </si>
  <si>
    <t>Jeff Kahlden</t>
  </si>
  <si>
    <t>Cory Lemay</t>
  </si>
  <si>
    <t>Upward Bound @ ESU</t>
  </si>
  <si>
    <t>Tabu Winslow</t>
  </si>
  <si>
    <t>Baltimore County Public Schools</t>
  </si>
  <si>
    <t>Visit Washington, DC</t>
  </si>
  <si>
    <t>UpwardBoundCatonsville</t>
  </si>
  <si>
    <t>CCBC</t>
  </si>
  <si>
    <t>YouTube</t>
  </si>
  <si>
    <t>Sign Language (ASL)</t>
  </si>
  <si>
    <t>Let's Play Ball and Win!</t>
  </si>
  <si>
    <t>Tabu Winslow Morris</t>
  </si>
  <si>
    <t>TRIO Mission College</t>
  </si>
  <si>
    <t>Mission College</t>
  </si>
  <si>
    <t>Khalid</t>
  </si>
  <si>
    <t>MizBossLady</t>
  </si>
  <si>
    <t>Shirley</t>
  </si>
  <si>
    <t>i_luv_black_coffee</t>
  </si>
  <si>
    <t>Julie Worley</t>
  </si>
  <si>
    <t>Dana Laurens</t>
  </si>
  <si>
    <t>Horacio Aceves</t>
  </si>
  <si>
    <t>Perla@_51</t>
  </si>
  <si>
    <t>Mickey Lynn Bellet</t>
  </si>
  <si>
    <t>Senator Bob Menendez</t>
  </si>
  <si>
    <t>MsWiley</t>
  </si>
  <si>
    <t>Sen. Cory Booker</t>
  </si>
  <si>
    <t>Thomas Harnisch</t>
  </si>
  <si>
    <t>Teressa Hill</t>
  </si>
  <si>
    <t>Stacey Ocander</t>
  </si>
  <si>
    <t>MSN001</t>
  </si>
  <si>
    <t>@success.prints</t>
  </si>
  <si>
    <t>Montana GEAR UP</t>
  </si>
  <si>
    <t>Esther Dabipi</t>
  </si>
  <si>
    <t>The Spy Museum</t>
  </si>
  <si>
    <t>Pierina Sanchez NYC</t>
  </si>
  <si>
    <t>AmericanSign Language</t>
  </si>
  <si>
    <t>epluribusunum</t>
  </si>
  <si>
    <t>UW Talent Search</t>
  </si>
  <si>
    <t>Truman State University McNair Program</t>
  </si>
  <si>
    <t>✝️🔮💗Nikolas💗🔮✝️</t>
  </si>
  <si>
    <t>IR TRIO Upward Bound</t>
  </si>
  <si>
    <t>Committee on Education &amp; Labor</t>
  </si>
  <si>
    <t>Terry Luiken</t>
  </si>
  <si>
    <t>Suzanne Bonamici</t>
  </si>
  <si>
    <t>EKU NOVA Program</t>
  </si>
  <si>
    <t>EKU McNair Scholars</t>
  </si>
  <si>
    <t>Jamil Lima</t>
  </si>
  <si>
    <t>jeff</t>
  </si>
  <si>
    <t>MyCenCalWESTOP</t>
  </si>
  <si>
    <t>USCongress</t>
  </si>
  <si>
    <t>Center for First-generation Student Success</t>
  </si>
  <si>
    <t>ACE</t>
  </si>
  <si>
    <t>1241765573991809027</t>
  </si>
  <si>
    <t>2370729536</t>
  </si>
  <si>
    <t>753990147968864256</t>
  </si>
  <si>
    <t>244222141</t>
  </si>
  <si>
    <t>2330640397</t>
  </si>
  <si>
    <t>527491404</t>
  </si>
  <si>
    <t>2472902226</t>
  </si>
  <si>
    <t>556534758</t>
  </si>
  <si>
    <t>1402639396231335941</t>
  </si>
  <si>
    <t>948273918456074240</t>
  </si>
  <si>
    <t>2264852750</t>
  </si>
  <si>
    <t>1195475257110327296</t>
  </si>
  <si>
    <t>2434879746</t>
  </si>
  <si>
    <t>1382328099916767234</t>
  </si>
  <si>
    <t>1286418584831393794</t>
  </si>
  <si>
    <t>226821825</t>
  </si>
  <si>
    <t>1103835140634087424</t>
  </si>
  <si>
    <t>2573394846</t>
  </si>
  <si>
    <t>1381015886</t>
  </si>
  <si>
    <t>22669526</t>
  </si>
  <si>
    <t>2353550132</t>
  </si>
  <si>
    <t>968650362</t>
  </si>
  <si>
    <t>353234125</t>
  </si>
  <si>
    <t>13218102</t>
  </si>
  <si>
    <t>55275254</t>
  </si>
  <si>
    <t>1136769554015772673</t>
  </si>
  <si>
    <t>384652209</t>
  </si>
  <si>
    <t>2844297314</t>
  </si>
  <si>
    <t>1364259892299767810</t>
  </si>
  <si>
    <t>1179484289089638401</t>
  </si>
  <si>
    <t>379534044</t>
  </si>
  <si>
    <t>851732876</t>
  </si>
  <si>
    <t>837506456253575169</t>
  </si>
  <si>
    <t>75678695</t>
  </si>
  <si>
    <t>859006024707190787</t>
  </si>
  <si>
    <t>931379239412215808</t>
  </si>
  <si>
    <t>150421724</t>
  </si>
  <si>
    <t>546315612</t>
  </si>
  <si>
    <t>739093454484086784</t>
  </si>
  <si>
    <t>2365915578</t>
  </si>
  <si>
    <t>352828324</t>
  </si>
  <si>
    <t>153996191</t>
  </si>
  <si>
    <t>2424148879</t>
  </si>
  <si>
    <t>497511506</t>
  </si>
  <si>
    <t>22294699</t>
  </si>
  <si>
    <t>69072776</t>
  </si>
  <si>
    <t>1685447239</t>
  </si>
  <si>
    <t>176933639</t>
  </si>
  <si>
    <t>255059151</t>
  </si>
  <si>
    <t>553628533</t>
  </si>
  <si>
    <t>203816712</t>
  </si>
  <si>
    <t>1294843492062175233</t>
  </si>
  <si>
    <t>1373784296</t>
  </si>
  <si>
    <t>161878932</t>
  </si>
  <si>
    <t>338748489</t>
  </si>
  <si>
    <t>237421324</t>
  </si>
  <si>
    <t>332118706</t>
  </si>
  <si>
    <t>43762748</t>
  </si>
  <si>
    <t>1233097613005578240</t>
  </si>
  <si>
    <t>26347981</t>
  </si>
  <si>
    <t>2415944390</t>
  </si>
  <si>
    <t>1347572773670035457</t>
  </si>
  <si>
    <t>3018670327</t>
  </si>
  <si>
    <t>1049336010323255296</t>
  </si>
  <si>
    <t>161140978</t>
  </si>
  <si>
    <t>4018875568</t>
  </si>
  <si>
    <t>4138018397</t>
  </si>
  <si>
    <t>24910323</t>
  </si>
  <si>
    <t>3349947243</t>
  </si>
  <si>
    <t>2375441911</t>
  </si>
  <si>
    <t>1102610984894676993</t>
  </si>
  <si>
    <t>290158385</t>
  </si>
  <si>
    <t>16396588</t>
  </si>
  <si>
    <t>1280188535396597760</t>
  </si>
  <si>
    <t>10228272</t>
  </si>
  <si>
    <t>767136481</t>
  </si>
  <si>
    <t>1102612970574614533</t>
  </si>
  <si>
    <t>832408862</t>
  </si>
  <si>
    <t>708091234158379012</t>
  </si>
  <si>
    <t>117940343</t>
  </si>
  <si>
    <t>1393011773402451974</t>
  </si>
  <si>
    <t>3393059601</t>
  </si>
  <si>
    <t>710183821120020481</t>
  </si>
  <si>
    <t>385238559</t>
  </si>
  <si>
    <t>1349442736605302786</t>
  </si>
  <si>
    <t>37000748</t>
  </si>
  <si>
    <t>225176527</t>
  </si>
  <si>
    <t>269112842</t>
  </si>
  <si>
    <t>523927938</t>
  </si>
  <si>
    <t>18695134</t>
  </si>
  <si>
    <t>1321872082045685761</t>
  </si>
  <si>
    <t>2167097881</t>
  </si>
  <si>
    <t>3088994284</t>
  </si>
  <si>
    <t>1049187390</t>
  </si>
  <si>
    <t>2950252889</t>
  </si>
  <si>
    <t>1370336101043302401</t>
  </si>
  <si>
    <t>700820379086917632</t>
  </si>
  <si>
    <t>1260892539466506243</t>
  </si>
  <si>
    <t>41584672</t>
  </si>
  <si>
    <t>3331936563</t>
  </si>
  <si>
    <t>1145822479459454976</t>
  </si>
  <si>
    <t>70918926</t>
  </si>
  <si>
    <t>1202560784</t>
  </si>
  <si>
    <t>3057759609</t>
  </si>
  <si>
    <t>1248751244321198080</t>
  </si>
  <si>
    <t>7004382</t>
  </si>
  <si>
    <t>26593786</t>
  </si>
  <si>
    <t>558769636</t>
  </si>
  <si>
    <t>3313659532</t>
  </si>
  <si>
    <t>830114474694672384</t>
  </si>
  <si>
    <t>4883093687</t>
  </si>
  <si>
    <t>186552155</t>
  </si>
  <si>
    <t>1323297259220393984</t>
  </si>
  <si>
    <t>2341356506</t>
  </si>
  <si>
    <t>874685311657414661</t>
  </si>
  <si>
    <t>119235720</t>
  </si>
  <si>
    <t>First-generation Students. Proud to Be First. Kansas State University. Connecting Students. Creating a Family. Chasing Dreams.</t>
  </si>
  <si>
    <t>Educational Supportive Services is a TRIO-funded program that helps first-generation, income limited, and students with disabilities earn undergraduate degrees.</t>
  </si>
  <si>
    <t>Vice President, Public Affairs &amp; Strategic Communications @ American Council on Education. RT's are not endorsements.</t>
  </si>
  <si>
    <t>TRIO | GEAR UP | CAMP | STEP UP
Building a legacy of learners &amp; leaders through a commitment to educational equity.</t>
  </si>
  <si>
    <t>Diversify academic and research fields by preparing low-income, first-generation and underrepresented college students for the Ph.D.</t>
  </si>
  <si>
    <t>DJ AirHead 🎶💿🎚💿🎵 Limestone Alum ⚜️Voice for Kingstree High School Athletics 🎤🏈🏀🐆 #JaguarPride</t>
  </si>
  <si>
    <t>Paid off $50,000 of DEBT in 2 years, now i'm living my #DREAMS! International Keynote #Speaker, #Author of #DebtSucksUniversity, #HigherEd #Financial #SHRM</t>
  </si>
  <si>
    <t>The Maurice A. Ferré Institute for Civic Leadership in the Green School of International and Public Affairs at Florida International University</t>
  </si>
  <si>
    <t>The SSS Program provides opportunities for academic development &amp; motivates students towards the successful completion of their bachelor’s degree. #TRiOworks</t>
  </si>
  <si>
    <t>Talent Search &amp; Educational Opportunity Center are two of the Federal TRIO Programs dedicated to assisting HS students &amp; adults in furthering their education.</t>
  </si>
  <si>
    <t>The Family Centered Educational Agency's Upward Bound program provides services that address the needs of first generation and low income students.</t>
  </si>
  <si>
    <t>PhD Student @UTexasPHEL | @IU_HESA &amp; @SJSU Alum | GRA @ProjectMALES | Higher Ed | LatinX Masculinities | Queer XicanX (dis)Ability Scholar | RT≠Endts/Views=Mine</t>
  </si>
  <si>
    <t>Assistant Professor of Educational Leadership at Cal Poly Pomona @ceiscpp. @UWCollegeofEd and UCLA Alum.</t>
  </si>
  <si>
    <t>I am a formerly incarcerated Streetwise Scholar Practitioner currently grinding on my Ph.d and I am also a  community college professional.</t>
  </si>
  <si>
    <t>TRiO Perks is an awesome tool that allows TRiO program leaders to monitor and encourage student involvement in TRiO programs! #TRiOworks #CelebrateTRiO</t>
  </si>
  <si>
    <t>chicana. emotional sagittarius. sociologist. grad student. she/ella. todo pasa 🐘</t>
  </si>
  <si>
    <t>MU Regionals TRIO SSS Reach Your Goals. Supporting students on their path to graduation and beyond!  #triosssmur https://t.co/iAvJedMfJO</t>
  </si>
  <si>
    <t>Located on 2nd floor of Schwarm Hall at Miami University Hamilton.</t>
  </si>
  <si>
    <t>Director, TRIO Student Support Services at Montana Tech in Butte, MT.  PastPresident, ASPIRE Region. PriorPresident of Montana chapter of ASPIRE.</t>
  </si>
  <si>
    <t>Honored to represent Wisconsin’s 4th Congressional District. Proud mother, grandmother &amp; great-grandmother. Loves poetry reading, knitting &amp; crocheting.</t>
  </si>
  <si>
    <t>TRiO Alumni and Advocate, Mother of 4, and I love DIsney (really anything Disney)</t>
  </si>
  <si>
    <t>U.S. Senator proudly serving the state of Arkansas.</t>
  </si>
  <si>
    <t>Advancing educational opportunity for low-income, first-generation students since 1972. #TRIOWorks!</t>
  </si>
  <si>
    <t>Mainly news I find interesting, pics, and opinions. Honored to represent the great state of Texas in the US Senate. RTs =/= endorsements</t>
  </si>
  <si>
    <t>Education advocate. Professional nerd. @DELPScholar and Perpetual Bulldog (@Yale '00, @GeorgetownLaw '04). Tweets, RT, &amp; Likes are my own.</t>
  </si>
  <si>
    <t>TRIO Student Support Services at Ivy Tech Community College Fort Wayne, Indiana #TRIOWorks #IndianaTRIO</t>
  </si>
  <si>
    <t>EOA is the professional body for colleges, universities and agencies that host federally-funded TRIO and ed opportunity programs within 10 Midwest states</t>
  </si>
  <si>
    <t>Indiana #TRIO is a professional organization for #CollegeAccess programs in #Indiana; Chapter of @EdOpAssoc @COEtalk #TRIOworks</t>
  </si>
  <si>
    <t>COE is the only national organization dedicated to furthering the expansion of educational opportunities for low-income and first-generation students #TRIOworks</t>
  </si>
  <si>
    <t>Official account for the 12th Secretary of Education. En la unión está la fuerza. In unity there is strength. Lifelong educator, husband, and father of two.</t>
  </si>
  <si>
    <t>Upward Bound and Upward Bound Math &amp; Science Programs are college preparatory programs for high school students funded by the U.S. Department of Education</t>
  </si>
  <si>
    <t>Black Neighborhood/Family Development Researcher &amp; Visual Artist | Umich 18' | UNC 21’ | she/her</t>
  </si>
  <si>
    <t>Part of @CHEOPUNC -- Prepares first-generation, low-income, and underrepresented students to earn a Ph.D. through academic research.</t>
  </si>
  <si>
    <t>Developmental Psych Ph.D Candidate @UNC | @NASEMFordFellow Studying Black girl stereotype development + father/daughter relationships + STEM 👸🏽👨‍👧👩🏽‍🔬</t>
  </si>
  <si>
    <t>I'm good on any MLK Boulevard|Anchored in Romans 8:28|♎️|LocStar|👩🏾‍🎓|#JCSUAlum|#NIUAlum|@UNCPublicHealth Student Affairs| Doula 🚺|@chapelhillaka💕💚</t>
  </si>
  <si>
    <t>🇬🇭 Psy.D student. clinical forensic psychology. my views represent me. videography IG: @kojovlogs</t>
  </si>
  <si>
    <t>Cell adhesion, cytoskeletal regulation, Wnt signaling and wherever science leads our lab members.  Plus my own idiosyncratic views.  He/him</t>
  </si>
  <si>
    <t>A podcast created to encourage and inspire people of color to and through grad school.🎓 Detroit Native | 1908 | HBCU Grad | STEM PhD</t>
  </si>
  <si>
    <t>Believer. Wife. Mama. Scholar. Educator. 💕💚. PhDin’ &amp; ish📚. Hip Hop Feminist. Views are my own. #DirtySOUTHernBelle</t>
  </si>
  <si>
    <t>Go. Grow. Glow. ✨|UNC Alumna| ASU ‘20 Alumna| Zeta 🕊</t>
  </si>
  <si>
    <t>Howard U Alumna | I write &amp; sing | Galatians 6:9</t>
  </si>
  <si>
    <t>Carolina Higher Education Opportunity Programs | UNC-Chapel Hill | @nchcap | @McNairUNC | @UpwardBoundUNC</t>
  </si>
  <si>
    <t>Just happy to be here ☀️</t>
  </si>
  <si>
    <t>STEAM Pathways Director @NEIU w/TRIO UB UBMS &amp; 21stCCLC, CS Professor, USDAKikaDeLaGarza Fellow, EOA Past President &amp; COE board member. #immigrant #mexicano</t>
  </si>
  <si>
    <t>The TRIO Upward Bound Math and Science provides services to Low Income, First Generation College Bound High School students in Chicago and the nearby Suburbs.</t>
  </si>
  <si>
    <t>Cuenta oficial del Municipio de #Medellín. Unidos construimos una #MedellínFuturo.</t>
  </si>
  <si>
    <t>The official Twitter page of Northeastern Illinois University. NEIU is a welcoming community with three Chicago locations and classes in Lake County.</t>
  </si>
  <si>
    <t>The Center for College Access and Success develops collaborative partnerships that engage the entire community in helping students to succeed.</t>
  </si>
  <si>
    <t>Official Morton High School District 201 Twitter account. We have the best students. Help us share that message. #mortonpride #orgullomorton</t>
  </si>
  <si>
    <t>Our mission is to provide a high-quality public education for every child, in every neighborhood, that prepares each for success in college, career, and life.</t>
  </si>
  <si>
    <t>Our mission is to provide accessible, quality &amp; affordable education to students &amp; offer educational opportunities and others services for the Latino community.</t>
  </si>
  <si>
    <t>Ohio born ⭕️ | @UNC alumus 🐑 | @ASU PhD Candidate 🌵 | @NSFGRFP Fellow 📚 | @McNairUNC Scholar 🚀 | Biology education researcher 🔬 | #DisabledInSTEM ♿️</t>
  </si>
  <si>
    <t>Student Body President of @UNC | @ACLU Policy Fellow| Eva Clayton Fellow @NCDemParty | former @repkmanning and @harrisonjaime | #DogDad❤️🐶|</t>
  </si>
  <si>
    <t>Never A Failure Always A Lesson #FayStateAlumna💙🐴 Kanye West is my dad...</t>
  </si>
  <si>
    <t>Typo Queen. I’m just here to hype up my friends...</t>
  </si>
  <si>
    <t>Exercise Physiology M.A. UNC-Chapel Hill '19 l UNC-Chapel Hill Alumnus '17 🐐🐐🐐</t>
  </si>
  <si>
    <t>Agroecologist🦎🌺🐜|@UMich Ph.D. Candidate| @wwf Conservation Leadership Awardee 🐼| @HowardU Alum | Director of @climateblue</t>
  </si>
  <si>
    <t>East Carolina Alumna | Work Style + Beauty + Home | @shesthefirst | IG: @lotsofsassblog | Contact: azanique@lotsofsass.com</t>
  </si>
  <si>
    <t>#FirstGeneration Developmental Psychopathology and Clinical Science Ph.D. Candidate | Risk and Resilience | Psychophysiology | Emotion Regulation | Parenting</t>
  </si>
  <si>
    <t>Elizabeth City State U. Honors Program is designed to challenge &amp; provide an enhanced &amp; supportive learning environment for academically gifted students. #HBCU</t>
  </si>
  <si>
    <t>Ph.D. in Education Policy. he/him/his.</t>
  </si>
  <si>
    <t>Department of Psychology and Neuroscience at University of North Carolina Chapel Hill</t>
  </si>
  <si>
    <t>Upward Bound is a TRiO program serving 9th-12th grade students at Channelview HS &amp; Galena Park HS.</t>
  </si>
  <si>
    <t>iFLY Indoor Skydiving Houston, TX</t>
  </si>
  <si>
    <t>The official Twitter profile for Texas TreeVentures.</t>
  </si>
  <si>
    <t>Developmental cognitive neuroscientist committed to improving lives of children through nutrition for optimal brain development.</t>
  </si>
  <si>
    <t>Association for Equality
and Excellence in 
Education,Inc.| NY and NJ Regional TRIO Association</t>
  </si>
  <si>
    <t>A leadership institute that provides creative leadership tools through a myriad of services for student affairs, professionals and educators. Learn more👇🏽</t>
  </si>
  <si>
    <t>Opinions are my own. Passions are sports, music, Texas &amp; Tarleton. Pretty good at useless trivia also.</t>
  </si>
  <si>
    <t>Educator, Nature enthusiast, life-long learner. 
"Don't wish for less problems - develop more skills" 
The world is a beautiful place.</t>
  </si>
  <si>
    <t>Upward Bound is a pre-college, academic support program that prepares high school students in grades 9 through 12 to become successful college students.</t>
  </si>
  <si>
    <t>Founder/ Sole Owner https://t.co/dCfP2gL3Np Speaker Consultant Author Cert SBE WBE inHR PR Marketing</t>
  </si>
  <si>
    <t>Official news and announcements from Baltimore County Public Schools. 175 schools, programs, and centers. 111,000+ students. One #TeamBCPS!</t>
  </si>
  <si>
    <t>Official account for all things DC. #MyDCcool</t>
  </si>
  <si>
    <t>Eligibility: Rising 9th-11th grade @BaltCoPS Maintain 2.5 GPA. Low-income- defined by the federal gov. 1st Gen College Students 21207, 21227, or 21244 zip codes</t>
  </si>
  <si>
    <t>CCBC The incredible value of education. #SeeWhatYouCanBe</t>
  </si>
  <si>
    <t>tag us with your #PermissiontoDance #Shorts 💜</t>
  </si>
  <si>
    <t>http://t.co/INeJzoK2mV is your source for ASL where you can find out anything about the subject - including photos, videos, information and more.</t>
  </si>
  <si>
    <t>Founder/ Sole Owner https://t.co/G5iFw0i1ak  Speaker Consultant Author Cert SBE WBE inHR PR Marketing</t>
  </si>
  <si>
    <t>Founder/ Sole Owner https://t.co/2m8ji7NjsM Speaker Consultant Author Cert SBE WBE in HR PR Marketing</t>
  </si>
  <si>
    <t>TRIO Student Support Services, Mission College</t>
  </si>
  <si>
    <t>The official account of Silicon Valley's Community College located across from Great America in Santa Clara. #missioncollegeSC #missionSCtips #missionSCgrads</t>
  </si>
  <si>
    <t>Hi my name is Khalid Barnes I'm currently incarcerated at U.S.P Canaan in Waymart PA for perpetual Life. #15MinutesIsNotEnough
#TheRealHumanRightsWatch</t>
  </si>
  <si>
    <t>I was born</t>
  </si>
  <si>
    <t>Children's advocate working since Feb 2008 to End Corporal Punishment HITTING students Pre-K-12 in US Schools as pain punishment.</t>
  </si>
  <si>
    <t>mama | immigrant 🇹🇹 | voter 🇺🇸 | former teacher | first gen @UVA + @UVABatten | federal ed policy @dfer_news + @edreformnowusa 🎓 | tweets are mine</t>
  </si>
  <si>
    <t>Occidental College alumnus, TRIO Works, enjoy traveling, write your Member of Congress, Dodgers and LA Kings fan, everybody say LOVE ❤️</t>
  </si>
  <si>
    <t>Soy simplemente yo, con mis luces y mis sombras. Creo que Dios ha sido bueno conmigo. Eso me da paz y me relaja. Leer y viajar te hacen entendida y sabía.</t>
  </si>
  <si>
    <t>Educator, 
Student Advocate,
Activist</t>
  </si>
  <si>
    <t>U.S. Senator from New Jersey. @SFRCdems Chairman 🇺🇸 Loving husband to Nadine. Proud father of Alicia &amp; Rob. Proud grandfather of Evangelina, Ofelia &amp; Olivia.</t>
  </si>
  <si>
    <t>The U.S. Senate Office of Cory Booker, D-NJ. Tweets by staff.</t>
  </si>
  <si>
    <t>Advocate for higher education. Adjunct professor @gwGSEHD and @GUHigherEd. Packers, Badgers, and Brewers fan. Personal account.</t>
  </si>
  <si>
    <t>Commanding influencer, strategist, and advocate for underrepresented scholars and their families.</t>
  </si>
  <si>
    <t>Mom, Academic Dean Health Careers. Faith-Family-Friends GO HAWKS! tweets &amp; opinions are my own</t>
  </si>
  <si>
    <t>奇跡というIntellect(叡智、知力、理知、頭脳)をすら超越する可能性。新しいSensation(感覚)への旅。愛は救いでありチャレンジであり、そして慈しみ深い。</t>
  </si>
  <si>
    <t>Home to Success Prints Crash Course®, the college simulation strategy game, for high school and first-year college students.</t>
  </si>
  <si>
    <t>Montana GEAR UP is a Dept. of Education college and career readiness program designed for under-served Montana Middle and High Schools in rural areas.</t>
  </si>
  <si>
    <t>My faith is in the God I serve. My passion is to help people find their true potentials.</t>
  </si>
  <si>
    <t>International Spy Museum is the only public museum in the U.S. dedicated to the tradecraft, history &amp; contemporary role of espionage. @INTLSpyCast @SpyMuseumEd</t>
  </si>
  <si>
    <t>she/ella. Afro-Dominicana. Lifelong Bronxite. Activist Public Servant. 
Dem Nominee @NYCCouncil 14: Morris Hts, University Hts, Mt Hope, Fordham, Kingsbridge.</t>
  </si>
  <si>
    <t>Everything</t>
  </si>
  <si>
    <t>We are all in this together, the UNITED States. ONE Nation. ONE Humanity</t>
  </si>
  <si>
    <t>To promote opportunities for those seeking higher education and to provide educational support services. TRIO is a federal grant funded program.</t>
  </si>
  <si>
    <t>Official twitter for Truman State University McNair Program https://t.co/81Tai3zH2d #mcnair</t>
  </si>
  <si>
    <t>"...The condition upon which God hath given liberty to man is eternal vigilance..." 
- John Philpot Curran
Restore The Soul Of America! 💖</t>
  </si>
  <si>
    <t>Sponsored by Indian River State College and funded by the U.S. Department of Education, TRIO UB is designed to generate skills and motivate students.</t>
  </si>
  <si>
    <t>Building an America where everyone can succeed. Chairman @BobbyScott.</t>
  </si>
  <si>
    <t>MS in Human Behavior,  
Founder of https://t.co/re0YVzzRcU</t>
  </si>
  <si>
    <t>Representing Oregon's 1st District. Working to strengthen #PublicEducation, support #WorkingFamilies, &amp; #ActOnClimate. Proud mom of two grown kids. She/her.</t>
  </si>
  <si>
    <t>Eastern Kentucky University's TRIO Student Support Services Program. 
We are still accepting applications for the Fall '21-Spring '22 academic year. Link below!</t>
  </si>
  <si>
    <t>The EKU McNair Scholars Program encourages, assists and prepares talented program participants for advanced graduate level achievement.</t>
  </si>
  <si>
    <t>Jazz, brazilian jazz and latin jazz bassist which is available for gigs as free lancer as well as his own trio.</t>
  </si>
  <si>
    <t>life's a garden, dig it</t>
  </si>
  <si>
    <t>The official Twitter account for the Central California chapter of the Western Association of Educational Opportunity Personnel (WESTOP).</t>
  </si>
  <si>
    <t>The Center for First-generation Student Success strives to increase research, scholarship, and effective practices supporting first-gen student success.</t>
  </si>
  <si>
    <t>The major coordinating body for the nation’s colleges &amp; universities, representing more than 1,700 higher ed leaders.</t>
  </si>
  <si>
    <t>Manhattan, KS</t>
  </si>
  <si>
    <t>The University of Kansas</t>
  </si>
  <si>
    <t>Lawrence, KS</t>
  </si>
  <si>
    <t>Miami, FL</t>
  </si>
  <si>
    <t>Pennsylvania, USA</t>
  </si>
  <si>
    <t xml:space="preserve">South Holland, IL </t>
  </si>
  <si>
    <t>Austin, TX</t>
  </si>
  <si>
    <t>Pomona, CA</t>
  </si>
  <si>
    <t>luiseño / kumeyaay</t>
  </si>
  <si>
    <t>Middl</t>
  </si>
  <si>
    <t>Miami University Hamilton</t>
  </si>
  <si>
    <t>Washington, DC</t>
  </si>
  <si>
    <t>AR, LA, NM, OK, TX</t>
  </si>
  <si>
    <t>Austin, Texas</t>
  </si>
  <si>
    <t>Fort Wayne, Indiana</t>
  </si>
  <si>
    <t>Indiana</t>
  </si>
  <si>
    <t>Washington, D.C.</t>
  </si>
  <si>
    <t>Saginaw, MI</t>
  </si>
  <si>
    <t>UNC Chapel Hill, SASB South</t>
  </si>
  <si>
    <t>Raleigh, NC</t>
  </si>
  <si>
    <t>Fort Lauderdale, FL</t>
  </si>
  <si>
    <t>UNC-CH, Chapel Hill, NC</t>
  </si>
  <si>
    <t>Pittsburgh, PA</t>
  </si>
  <si>
    <t>Vibez, USA | 225✈️919</t>
  </si>
  <si>
    <t>NC | DC</t>
  </si>
  <si>
    <t>Chapel Hill, NC</t>
  </si>
  <si>
    <t>Medellín, Colombia</t>
  </si>
  <si>
    <t>Chicago, Illinois, USA</t>
  </si>
  <si>
    <t>Chicago, Illinois</t>
  </si>
  <si>
    <t>Tempe, AZ</t>
  </si>
  <si>
    <t xml:space="preserve">Between Cloud and Soul. </t>
  </si>
  <si>
    <t>At the Old House</t>
  </si>
  <si>
    <t>New Jersey, USA</t>
  </si>
  <si>
    <t>North Carolina, USA</t>
  </si>
  <si>
    <t>University of Minnesota</t>
  </si>
  <si>
    <t>Elizabeth City, NC</t>
  </si>
  <si>
    <t>Houston, TX</t>
  </si>
  <si>
    <t>9540 Katy Freeway</t>
  </si>
  <si>
    <t>The Woodlands, TX</t>
  </si>
  <si>
    <t>North Carolina</t>
  </si>
  <si>
    <t>NY, NJ</t>
  </si>
  <si>
    <t>Texas, USA</t>
  </si>
  <si>
    <t>Hilo, Hawai'i</t>
  </si>
  <si>
    <t>East Stroudsburg University</t>
  </si>
  <si>
    <t xml:space="preserve">Towson, Maryland </t>
  </si>
  <si>
    <t>Towson, Maryland</t>
  </si>
  <si>
    <t>CCBC Catonsville, MD apply:</t>
  </si>
  <si>
    <t>Baltimore, Maryland</t>
  </si>
  <si>
    <t>San Bruno, CA</t>
  </si>
  <si>
    <t>Towson, MD</t>
  </si>
  <si>
    <t>Santa Clara, CA</t>
  </si>
  <si>
    <t>Florida, USA</t>
  </si>
  <si>
    <t>Puerto Rico</t>
  </si>
  <si>
    <t>State College, PA</t>
  </si>
  <si>
    <t>New Jersey * Washington, DC</t>
  </si>
  <si>
    <t>Omaha, NE</t>
  </si>
  <si>
    <t>Bozeman, MT</t>
  </si>
  <si>
    <t>Helena, Montana</t>
  </si>
  <si>
    <t>Washington DC</t>
  </si>
  <si>
    <t>Bronx, NY</t>
  </si>
  <si>
    <t>everywhere</t>
  </si>
  <si>
    <t>Seattle, WA</t>
  </si>
  <si>
    <t>Kirksville, MO</t>
  </si>
  <si>
    <t>Everywhere And Nowhere Through Time.</t>
  </si>
  <si>
    <t>Iowa, USA</t>
  </si>
  <si>
    <t>Richmond, KY</t>
  </si>
  <si>
    <t>Richmond, Kentucky</t>
  </si>
  <si>
    <t>roFL</t>
  </si>
  <si>
    <t>Open Twitter Page for This Person</t>
  </si>
  <si>
    <t xml:space="preserve">kstatesuccess
</t>
  </si>
  <si>
    <t xml:space="preserve">kstateofgs
</t>
  </si>
  <si>
    <t>ess_kstate
Doubling the Pell Grant would help
more students earn a degree and
secure a bright future. This has
bipartisan support. Take action
at https://t.co/8zMvVCARhm #doublepell
#TRIOworks @KStateOFGS @KStateSuccess
https://t.co/zz7D3jGcsa</t>
  </si>
  <si>
    <t>jonriskindatace
Doubling the Pell Grant would help
more students earn a degree and
secure a bright future. This has
bipartisan support. Take action
at https://t.co/8zMvVCARhm #doublepell
#TRIOworks @KStateOFGS @KStateSuccess
https://t.co/zz7D3jGcsa</t>
  </si>
  <si>
    <t>ceopmedia
Help us congratulate these incredible
@KUMcNair Scholars on a successful
summer of undergraduate research!
Discover. Build. Rise. #TRIOworks
https://t.co/sNVcXhDvmQ</t>
  </si>
  <si>
    <t>kumcnair
Help us congratulate these incredible
@KUMcNair Scholars on a successful
summer of undergraduate research!
Discover. Build. Rise. #TRIOworks
https://t.co/sNVcXhDvmQ</t>
  </si>
  <si>
    <t>keyofe_pro
6 years working with Trio Student
Support Services #TrioWorks 💪🏾🙏🏾</t>
  </si>
  <si>
    <t>janetadamsspeak
I have been speaking virtual for
over a year now and today I continue
with Wayne State University UB!
Today it is all about entrepreneurship!
Students will learn how to take
their ideas and turn it into a
#business. #Entrepreneurship #FinancialLiteracy
#TRiOWorks #Speaker https://t.co/BA8wFwhd17</t>
  </si>
  <si>
    <t>fiuferre
@FIU_SSS will be discussing LOVE
and RECONCILIATION, the two last
chapters of Good Trouble, with
Joe Saunders and Dr. Miguel Cardona
tomorrow and on Thursday. Join
us in SASC 220 or via zoom: https://t.co/jDolrDYhrU
#FIU_SSS #IamTRIO #TRIOworks https://t.co/lSMPTh9Xs3</t>
  </si>
  <si>
    <t xml:space="preserve">fiu_sss
</t>
  </si>
  <si>
    <t>tseoc_psu
The York State Fair is heating
up 🔥and you can find us in Memorial
Hall East (near the 🚂 ) for games,
prizes and to learn more about
the Penn State Educational Opportunity
Center. #TRIOWORKS https://t.co/sucFDqgJ4E</t>
  </si>
  <si>
    <t>fceatrio
💡Bonus Tip: Our Talent Search
program does a great job at assisting
students with #college and #scholarship
applications! 📝🎓 Click here to
sign up today! ↙️ 🔗https://t.co/it1FJTzboz
#highschool #talentsearch #upwardbound
#UBMS #trio #trioworks #collegetips
#trioprogram https://t.co/6n9vExXJC9</t>
  </si>
  <si>
    <t>grodriguezlemus
I am so excited to get this next
year cracking of to a good start.
The streets is all up in this yall.
Thank you @TheRealEligio for being
willing to support me with this
fellowship. #streetwisescholar
#scholarhomies #fromthahoodtogettinghooded
#TRIOWORKS #mtsac #communitycolleges
https://t.co/slYUHcoA1U</t>
  </si>
  <si>
    <t xml:space="preserve">therealeligio
</t>
  </si>
  <si>
    <t>strwisescholar
I am so excited to get this next
year cracking of to a good start.
The streets is all up in this yall.
Thank you @TheRealEligio for being
willing to support me with this
fellowship. #streetwisescholar
#scholarhomies #fromthahoodtogettinghooded
#TRIOWORKS #mtsac #communitycolleges
https://t.co/slYUHcoA1U</t>
  </si>
  <si>
    <t>trioperks
#trioworks #fafsa https://t.co/MTtFJVxTqQ</t>
  </si>
  <si>
    <t>adriela95
I am so excited to get this next
year cracking of to a good start.
The streets is all up in this yall.
Thank you @TheRealEligio for being
willing to support me with this
fellowship. #streetwisescholar
#scholarhomies #fromthahoodtogettinghooded
#TRIOWORKS #mtsac #communitycolleges
https://t.co/slYUHcoA1U</t>
  </si>
  <si>
    <t>triosssmur
31 years ago the Americans with
Disabilities Act was established.
#TrioWorks #TrioSSSMUR #MiamiOHRegionals
https://t.co/cx3jA6O4pV</t>
  </si>
  <si>
    <t>muhlibrary
31 years ago the Americans with
Disabilities Act was established.
#TrioWorks #TrioSSSMUR #MiamiOHRegionals
https://t.co/cx3jA6O4pV</t>
  </si>
  <si>
    <t>rader_trader
A little late posting but THANK
YOU @RepGwenMoore for participating
in COE’s #GoodTrouble book club!
The students from Montana Tech’s
UB Club were mesmerized by your
message! #TRIOWORKS!</t>
  </si>
  <si>
    <t xml:space="preserve">repgwenmoore
</t>
  </si>
  <si>
    <t>rondamclelland
Thank you @SenTomCotton staff member
Matt Murphy for meeting with NSLC
students! #TheChallengeofChange
#NSLC2021 #TRIOworks https://t.co/oah4rjjWW5</t>
  </si>
  <si>
    <t xml:space="preserve">sentomcotton
</t>
  </si>
  <si>
    <t>swasaptrio
Special thanks to Patrick with
Senator @JohnCornyn 's office for
taking time to meet with the TRIO
students participating in #NSLC2021.
Had a great convo about college
prep &amp;amp; how to learn more about
govt &amp;amp; careers in politics.
#TRIOWORKS https://t.co/ZyF0gTvKJW</t>
  </si>
  <si>
    <t xml:space="preserve">johncornyn
</t>
  </si>
  <si>
    <t>kjcounsel
COE thanks TRIO Caucus Co-Chair
and TRIO Alumna @repgwenmoore for
championing this historic $200.8M
increase in TRIO funding. #TRIOWorks
https://t.co/lz5Glnp9ux</t>
  </si>
  <si>
    <t>sssivytechfw
📕“Good Trouble” Book Club!📕 Next
&amp;amp; final speaker of the National
Speaker series is @SecCardona!
🏫 As many as possible join LIVE
at 2:45 pm EST on Thurs, July 29!
Check your Ivy Tech email or contact
us for the link. #TRIOWorks #GoodTrouble
@COETalk @EdOpAssoc @indianatrio
https://t.co/QA7Racagbz</t>
  </si>
  <si>
    <t xml:space="preserve">edopassoc
</t>
  </si>
  <si>
    <t>indianatrio
Did your TRIO program join the
@COETalk summer book club "Good
Trouble?!" 📕 TRIO programs that
participated could tune in today
to hear the U.S. Secretary of Education
@SecCardona! #TRIOWorks https://t.co/55rgIQHXCy</t>
  </si>
  <si>
    <t>coetalk
We are happy to see so many @USCongress
members highlighting the great
work that we in TRIO do on behalf
of students, both high school and
college. #TRIOWorks https://t.co/Sll2UwMmog</t>
  </si>
  <si>
    <t>seccardona
John Lewis taught us to shine our
light &amp;amp; lead a life of purpose
– even if that means getting into
a little “good trouble.” Today,
I joined in a discussion with @COETalk
on Congressman Lewis’ book &amp;amp;
how each student intends to lead
a life of purpose. #TRIOWorks https://t.co/LVs9ZqyeBL</t>
  </si>
  <si>
    <t>txwesub
The Summer Component is coming
to an end. Please jot these dates
down and read carefully! See you
soon! #ubsummer #summercomponent
#trioworks https://t.co/GDA4fjfygW</t>
  </si>
  <si>
    <t>renaissancemars
5 years ago today, I presented
my first independent research project
with @McNairUNC. 5 years later
and I’m still chasing those future
directions I mentioned but in my
dissertation. 🤯 I say it all the
time but McNair TRULY changed my
life. #TrioWorks https://t.co/AjicC7DZfX</t>
  </si>
  <si>
    <t>mcnairunc
We are very proud of you, @_MABurnett!
The research poster below still
remains within the @CHEOPUNC Office.
When you finish the dissertation,
please stop by and sign it "Dr.
Burnett," so we can celebrate your
perseverance full circle. #TrioWorks
https://t.co/GnXF9cxhzM</t>
  </si>
  <si>
    <t>_maburnett
We are very proud of you, @_MABurnett!
The research poster below still
remains within the @CHEOPUNC Office.
When you finish the dissertation,
please stop by and sign it "Dr.
Burnett," so we can celebrate your
perseverance full circle. #TrioWorks
https://t.co/GnXF9cxhzM</t>
  </si>
  <si>
    <t>252trinnettec
@_MABurnett #TRIOWorks I didn’t
do McNair but precollege I was
in Educational Talent Search for
years and all while in college
Student Support Services 🙏🏾</t>
  </si>
  <si>
    <t>_kamoafo
5 years ago today, I presented
my first independent research project
with @McNairUNC. 5 years later
and I’m still chasing those future
directions I mentioned but in my
dissertation. 🤯 I say it all the
time but McNair TRULY changed my
life. #TrioWorks https://t.co/AjicC7DZfX</t>
  </si>
  <si>
    <t>peiferlabunc
5 years ago today, I presented
my first independent research project
with @McNairUNC. 5 years later
and I’m still chasing those future
directions I mentioned but in my
dissertation. 🤯 I say it all the
time but McNair TRULY changed my
life. #TrioWorks https://t.co/AjicC7DZfX</t>
  </si>
  <si>
    <t>blkingradschool
5 years ago today, I presented
my first independent research project
with @McNairUNC. 5 years later
and I’m still chasing those future
directions I mentioned but in my
dissertation. 🤯 I say it all the
time but McNair TRULY changed my
life. #TrioWorks https://t.co/AjicC7DZfX</t>
  </si>
  <si>
    <t>beecyoung
5 years ago today, I presented
my first independent research project
with @McNairUNC. 5 years later
and I’m still chasing those future
directions I mentioned but in my
dissertation. 🤯 I say it all the
time but McNair TRULY changed my
life. #TrioWorks https://t.co/AjicC7DZfX</t>
  </si>
  <si>
    <t>kaydontplay_12
5 years ago today, I presented
my first independent research project
with @McNairUNC. 5 years later
and I’m still chasing those future
directions I mentioned but in my
dissertation. 🤯 I say it all the
time but McNair TRULY changed my
life. #TrioWorks https://t.co/AjicC7DZfX</t>
  </si>
  <si>
    <t>miajanai_
We are very proud of you, @_MABurnett!
The research poster below still
remains within the @CHEOPUNC Office.
When you finish the dissertation,
please stop by and sign it "Dr.
Burnett," so we can celebrate your
perseverance full circle. #TrioWorks
https://t.co/GnXF9cxhzM</t>
  </si>
  <si>
    <t xml:space="preserve">cheopunc
</t>
  </si>
  <si>
    <t>monieelovee_
5 years ago today, I presented
my first independent research project
with @McNairUNC. 5 years later
and I’m still chasing those future
directions I mentioned but in my
dissertation. 🤯 I say it all the
time but McNair TRULY changed my
life. #TrioWorks https://t.co/AjicC7DZfX</t>
  </si>
  <si>
    <t>aaron_cortes
Another amazing STEAM Academy Spring
2020 Saturday session at @NEIUElCentro
w @ChiPubSchools and @Morton201
high school students. Amazing Physics
class by the one and only @McaplanMarcelo
#NewtonsLaws #STEM #GoogleClassrooms
#TRIOworks @CCAS_NEIU @NEIU @COETalk
https://t.co/MQqo1LVCRX</t>
  </si>
  <si>
    <t xml:space="preserve">trioubms_neiu
</t>
  </si>
  <si>
    <t xml:space="preserve">alcaldiademed
</t>
  </si>
  <si>
    <t xml:space="preserve">neiu
</t>
  </si>
  <si>
    <t xml:space="preserve">ccas_neiu
</t>
  </si>
  <si>
    <t xml:space="preserve">mcaplanmarcelo
</t>
  </si>
  <si>
    <t xml:space="preserve">morton201
</t>
  </si>
  <si>
    <t xml:space="preserve">chipubschools
</t>
  </si>
  <si>
    <t xml:space="preserve">neiuelcentro
</t>
  </si>
  <si>
    <t>logangin
We are very proud of you, @_MABurnett!
The research poster below still
remains within the @CHEOPUNC Office.
When you finish the dissertation,
please stop by and sign it "Dr.
Burnett," so we can celebrate your
perseverance full circle. #TrioWorks
https://t.co/GnXF9cxhzM</t>
  </si>
  <si>
    <t>lamarrichards_
5 years ago today, I presented
my first independent research project
with @McNairUNC. 5 years later
and I’m still chasing those future
directions I mentioned but in my
dissertation. 🤯 I say it all the
time but McNair TRULY changed my
life. #TrioWorks https://t.co/AjicC7DZfX</t>
  </si>
  <si>
    <t>blasiangoddessx
5 years ago today, I presented
my first independent research project
with @McNairUNC. 5 years later
and I’m still chasing those future
directions I mentioned but in my
dissertation. 🤯 I say it all the
time but McNair TRULY changed my
life. #TrioWorks https://t.co/AjicC7DZfX</t>
  </si>
  <si>
    <t>jbookthacrook
5 years ago today, I presented
my first independent research project
with @McNairUNC. 5 years later
and I’m still chasing those future
directions I mentioned but in my
dissertation. 🤯 I say it all the
time but McNair TRULY changed my
life. #TrioWorks https://t.co/AjicC7DZfX</t>
  </si>
  <si>
    <t>nike_bass95
5 years ago today, I presented
my first independent research project
with @McNairUNC. 5 years later
and I’m still chasing those future
directions I mentioned but in my
dissertation. 🤯 I say it all the
time but McNair TRULY changed my
life. #TrioWorks https://t.co/AjicC7DZfX</t>
  </si>
  <si>
    <t>alitebrand
5 years ago today, I presented
my first independent research project
with @McNairUNC. 5 years later
and I’m still chasing those future
directions I mentioned but in my
dissertation. 🤯 I say it all the
time but McNair TRULY changed my
life. #TrioWorks https://t.co/AjicC7DZfX</t>
  </si>
  <si>
    <t>lotsofsassblog
5 years ago today, I presented
my first independent research project
with @McNairUNC. 5 years later
and I’m still chasing those future
directions I mentioned but in my
dissertation. 🤯 I say it all the
time but McNair TRULY changed my
life. #TrioWorks https://t.co/AjicC7DZfX</t>
  </si>
  <si>
    <t>a_r_palmer
5 years ago today, I presented
my first independent research project
with @McNairUNC. 5 years later
and I’m still chasing those future
directions I mentioned but in my
dissertation. 🤯 I say it all the
time but McNair TRULY changed my
life. #TrioWorks https://t.co/AjicC7DZfX</t>
  </si>
  <si>
    <t>ecsuhonors
We are very proud of you, @_MABurnett!
The research poster below still
remains within the @CHEOPUNC Office.
When you finish the dissertation,
please stop by and sign it "Dr.
Burnett," so we can celebrate your
perseverance full circle. #TrioWorks
https://t.co/GnXF9cxhzM</t>
  </si>
  <si>
    <t>adamkirkedge
5 years ago today, I presented
my first independent research project
with @McNairUNC. 5 years later
and I’m still chasing those future
directions I mentioned but in my
dissertation. 🤯 I say it all the
time but McNair TRULY changed my
life. #TrioWorks https://t.co/AjicC7DZfX</t>
  </si>
  <si>
    <t>uncpsych
We are very proud of you, @_MABurnett!
The research poster below still
remains within the @CHEOPUNC Office.
When you finish the dissertation,
please stop by and sign it "Dr.
Burnett," so we can celebrate your
perseverance full circle. #TrioWorks
https://t.co/GnXF9cxhzM</t>
  </si>
  <si>
    <t>ub_trio_sjc
More @txtreeventures pics! UB tram
building is so much fun, even if
we are melting! #upwardbound #ubsjc
#ub #trioworks #channelviewhighschool
#galenaparkhighschool #cvhs #gphs
https://t.co/GAm4L29o0O</t>
  </si>
  <si>
    <t xml:space="preserve">iflyhouston
</t>
  </si>
  <si>
    <t xml:space="preserve">txtreeventures
</t>
  </si>
  <si>
    <t>clcphd2004
@_MABurnett @McNairUNC Yes. Yes.
Thanks, Marketa. McNair also changed
my life. McNair Scholar at the
University of Wyoming 1997-1999,
Winner 2014 National Trio Achievers
Award #TrioWorks</t>
  </si>
  <si>
    <t>aeeetrio
Registered for #AEEE44 or our Student
Leadership Day? You should have
received an email with information
regarding the conference! Check
your spam if you need to! #TRIOworks</t>
  </si>
  <si>
    <t xml:space="preserve">trillornottrill
</t>
  </si>
  <si>
    <t>jkkahlden
COE thanks TRIO Caucus Co-Chair
and TRIO Alumna @repgwenmoore for
championing this historic $200.8M
increase in TRIO funding. #TRIOWorks
https://t.co/lz5Glnp9ux</t>
  </si>
  <si>
    <t>cory_lemay
COE thanks TRIO Caucus Co-Chair
and TRIO Alumna @repgwenmoore for
championing this historic $200.8M
increase in TRIO funding. #TRIOWorks
https://t.co/lz5Glnp9ux</t>
  </si>
  <si>
    <t>upward_boundesu
COE thanks TRIO Caucus Co-Chair
and TRIO Alumna @repgwenmoore for
championing this historic $200.8M
increase in TRIO funding. #TRIOWorks
https://t.co/lz5Glnp9ux</t>
  </si>
  <si>
    <t>tabuwinslow
Gardening @CCBCMD @UCatonsville
Summer Academy #TRIOworks https://t.co/Ik6c8xqpfp</t>
  </si>
  <si>
    <t xml:space="preserve">baltcops
</t>
  </si>
  <si>
    <t xml:space="preserve">washingtondc
</t>
  </si>
  <si>
    <t>ucatonsville
⁦@CCBCMD⁩ ⁦@UCatonsville⁩ student,
Fridosse Adams, showing her ⁦@AmericansignL⁩
skills from our Summer Academy.
Facilitator is Mrs. Sicily Faulkner.
#TRIOworks https://t.co/2z5nQvMrgm</t>
  </si>
  <si>
    <t xml:space="preserve">ccbcmd
</t>
  </si>
  <si>
    <t xml:space="preserve">youtube
</t>
  </si>
  <si>
    <t xml:space="preserve">americanasl
</t>
  </si>
  <si>
    <t>letsplayballan1
Gardening @CCBCMD @UCatonsville
Summer Academy #TRIOworks https://t.co/Ik6c8xqpfp</t>
  </si>
  <si>
    <t>ms_tabu
Our @CCBCMD @UCatonsville scholars
enjoyed visiting @washingtondc
and going to different famous monuments.
@BaltCoPS #TRIOworks https://t.co/Vinr9Ksy80</t>
  </si>
  <si>
    <t>trio_sss_mc
Students planning to transfer Spring
2022 semester to CSUs, the Application
filing period is August 1-31 ,
2021. If you need help with your
application, please contact TRIO
Counselors ASAP! We are here to
help 🙂 @go2MissionSC #TeamTRIO
#TRIO #TRIOWorks #WeAreMission
https://t.co/R4SXncPJ3C</t>
  </si>
  <si>
    <t xml:space="preserve">go2missionsc
</t>
  </si>
  <si>
    <t>barneskhalid321
John Lewis taught us to shine our
light &amp;amp; lead a life of purpose
– even if that means getting into
a little “good trouble.” Today,
I joined in a discussion with @COETalk
on Congressman Lewis’ book &amp;amp;
how each student intends to lead
a life of purpose. #TRIOWorks https://t.co/LVs9ZqyeBL</t>
  </si>
  <si>
    <t>mizbosslady82
John Lewis taught us to shine our
light &amp;amp; lead a life of purpose
– even if that means getting into
a little “good trouble.” Today,
I joined in a discussion with @COETalk
on Congressman Lewis’ book &amp;amp;
how each student intends to lead
a life of purpose. #TRIOWorks https://t.co/LVs9ZqyeBL</t>
  </si>
  <si>
    <t>shirley10090505
John Lewis taught us to shine our
light &amp;amp; lead a life of purpose
– even if that means getting into
a little “good trouble.” Today,
I joined in a discussion with @COETalk
on Congressman Lewis’ book &amp;amp;
how each student intends to lead
a life of purpose. #TRIOWorks https://t.co/LVs9ZqyeBL</t>
  </si>
  <si>
    <t>suemanning6
John Lewis taught us to shine our
light &amp;amp; lead a life of purpose
– even if that means getting into
a little “good trouble.” Today,
I joined in a discussion with @COETalk
on Congressman Lewis’ book &amp;amp;
how each student intends to lead
a life of purpose. #TRIOWorks https://t.co/LVs9ZqyeBL</t>
  </si>
  <si>
    <t>julieworley14
John Lewis taught us to shine our
light &amp;amp; lead a life of purpose
– even if that means getting into
a little “good trouble.” Today,
I joined in a discussion with @COETalk
on Congressman Lewis’ book &amp;amp;
how each student intends to lead
a life of purpose. #TRIOWorks https://t.co/LVs9ZqyeBL</t>
  </si>
  <si>
    <t>danadlaurens
John Lewis taught us to shine our
light &amp;amp; lead a life of purpose
– even if that means getting into
a little “good trouble.” Today,
I joined in a discussion with @COETalk
on Congressman Lewis’ book &amp;amp;
how each student intends to lead
a life of purpose. #TRIOWorks https://t.co/LVs9ZqyeBL</t>
  </si>
  <si>
    <t>independantdemo
COE thanks TRIO Caucus Co-Chair
and TRIO Alumna @repgwenmoore for
championing this historic $200.8M
increase in TRIO funding. #TRIOWorks
https://t.co/lz5Glnp9ux</t>
  </si>
  <si>
    <t>perla_51
John Lewis taught us to shine our
light &amp;amp; lead a life of purpose
– even if that means getting into
a little “good trouble.” Today,
I joined in a discussion with @COETalk
on Congressman Lewis’ book &amp;amp;
how each student intends to lead
a life of purpose. #TRIOWorks https://t.co/LVs9ZqyeBL</t>
  </si>
  <si>
    <t>mickeybellet
COE thanks TRIO Caucus Co-Chair
and TRIO Alumna @repgwenmoore for
championing this historic $200.8M
increase in TRIO funding. #TRIOWorks
https://t.co/lz5Glnp9ux</t>
  </si>
  <si>
    <t xml:space="preserve">senatormenendez
</t>
  </si>
  <si>
    <t>jackashawiley
Shout out to all our New Jersey
TRIO Programs, Stakeholders, Scholars,
and their Families | Happy #NationalNewJerseyDay
#TRIOworks @SenBooker @SenatorMenendez
@JackashaWiley</t>
  </si>
  <si>
    <t xml:space="preserve">senbooker
</t>
  </si>
  <si>
    <t>tlharnisch
John Lewis taught us to shine our
light &amp;amp; lead a life of purpose
– even if that means getting into
a little “good trouble.” Today,
I joined in a discussion with @COETalk
on Congressman Lewis’ book &amp;amp;
how each student intends to lead
a life of purpose. #TRIOWorks https://t.co/LVs9ZqyeBL</t>
  </si>
  <si>
    <t>divinelyteressa
COE thanks TRIO Caucus Co-Chair
and TRIO Alumna @repgwenmoore for
championing this historic $200.8M
increase in TRIO funding. #TRIOWorks
https://t.co/lz5Glnp9ux</t>
  </si>
  <si>
    <t>socanderstacey
COE thanks TRIO Caucus Co-Chair
and TRIO Alumna @repgwenmoore for
championing this historic $200.8M
increase in TRIO funding. #TRIOWorks
https://t.co/lz5Glnp9ux</t>
  </si>
  <si>
    <t>msn100ms46
John Lewis taught us to shine our
light &amp;amp; lead a life of purpose
– even if that means getting into
a little “good trouble.” Today,
I joined in a discussion with @COETalk
on Congressman Lewis’ book &amp;amp;
how each student intends to lead
a life of purpose. #TRIOWorks https://t.co/LVs9ZqyeBL</t>
  </si>
  <si>
    <t>success_prints
August newsletter drops Mon Aug
2. Highlights include an opportunity
to be part of fall research study
&amp;amp; receive free games. Sign
up today to not miss a thing: https://t.co/6zAoL9WEjQ
#collegecounseling #collegeready
#collegeprep #TRiOworks #GEARUPworks
https://t.co/Uptn20TvsR</t>
  </si>
  <si>
    <t xml:space="preserve">montanagearup
</t>
  </si>
  <si>
    <t>edabipi
Our @CCBCMD @UCatonsville scholars
enjoyed visiting @washingtondc
and going to different famous monuments.
@BaltCoPS #TRIOworks https://t.co/Vinr9Ksy80</t>
  </si>
  <si>
    <t xml:space="preserve">intlspymuseum
</t>
  </si>
  <si>
    <t>pisancheznyc
@COETalk Thank you so much!!! #TRIOWorks</t>
  </si>
  <si>
    <t xml:space="preserve">americansignl
</t>
  </si>
  <si>
    <t>444sai
John Lewis taught us to shine our
light &amp;amp; lead a life of purpose
– even if that means getting into
a little “good trouble.” Today,
I joined in a discussion with @COETalk
on Congressman Lewis’ book &amp;amp;
how each student intends to lead
a life of purpose. #TRIOWorks https://t.co/LVs9ZqyeBL</t>
  </si>
  <si>
    <t>uwtalentsearch
#PopQuiz Which answer do you think
is correct 🤔🤔 #TRIO #TRIOWORKS
#uw #ets https://t.co/gDlrMj7McW</t>
  </si>
  <si>
    <t>tsumcnair
Our last Scholar participating
in the 2021 McNair Summer Research
Internship is Tre'Andice Williams,
a Truman McNair Scholar majoring
in Biology and working with Dr.
Stephanie Maiden. #mcnair #trumanstate
#biology #trioworks #iammcnair
#research #gradschool #distinctbydesign
https://t.co/c4KamUFyYn</t>
  </si>
  <si>
    <t>nikolasvision
John Lewis taught us to shine our
light &amp;amp; lead a life of purpose
– even if that means getting into
a little “good trouble.” Today,
I joined in a discussion with @COETalk
on Congressman Lewis’ book &amp;amp;
how each student intends to lead
a life of purpose. #TRIOWorks https://t.co/LVs9ZqyeBL</t>
  </si>
  <si>
    <t>irbound
College Tour: The last supper was
served at Harry's Seafood Restaurant
in Lakeland, Fl before returning
home. It was delicious! #TRIOworks
https://t.co/45Sx1Cwh4e</t>
  </si>
  <si>
    <t xml:space="preserve">edlaborcmte
</t>
  </si>
  <si>
    <t>terryluiken
COE thanks @RepBonamici for highlighting
TRIO programs during today's @EdLaborCmte
hearing! #TRIOWorks https://t.co/IUtNcW7ro8</t>
  </si>
  <si>
    <t xml:space="preserve">repbonamici
</t>
  </si>
  <si>
    <t>eku_nova
Meet Haley Tackett! 📚 Junior:
Biomedical science: Pre-med 🏡
Teaberry, Kentucky ❤️ My favorite
part of the program is the relationships
we build with our advisors and
the leadership opportunities the
program presents! #trioworks #ekunova
#firstgen #peermentor #youngleaders
https://t.co/jRm4JQjxYy</t>
  </si>
  <si>
    <t xml:space="preserve">ekumcnair
</t>
  </si>
  <si>
    <t>jamillimabass
📷 Take bom! When the take was
good!! #fishmanpickups #doublebassist
#ampegsvt #musicaddict #musica
#bassistsofinstagram #modernjazz
#doublebassist #jazztrio #bassguitars
#gigs #doublebassplaye #trioworks
#take #fishmanpreamp #studio...
https://t.co/eoA4rUcn2t</t>
  </si>
  <si>
    <t xml:space="preserve">na
</t>
  </si>
  <si>
    <t>mycencalwestop
Only 5 days left! Please consider
submitting a workshop proposal
for the 2021 annual PDS event,
sponsored by the CenCal chapter
of WESTOP. Theme: Climbing towards
Success: Navigating our new work
environment ahead. #TRIOWorks #SAPro
#SAPros #studentaffairs https://t.co/GFQej9zGIl</t>
  </si>
  <si>
    <t xml:space="preserve">uscongress
</t>
  </si>
  <si>
    <t xml:space="preserve">firstgencenter
</t>
  </si>
  <si>
    <t>aceducation
Doubling the Pell Grant would help
more students earn a degree and
secure a bright future. This has
bipartisan support. Take action
at https://t.co/8zMvVCARhm #doublepell
#TRIOworks @KStateOFGS @KStateSuccess
https://t.co/zz7D3jGcsa</t>
  </si>
  <si>
    <t>Directed</t>
  </si>
  <si>
    <t>Edge Weight</t>
  </si>
  <si>
    <t>G1</t>
  </si>
  <si>
    <t>G2</t>
  </si>
  <si>
    <t>G3</t>
  </si>
  <si>
    <t>G4</t>
  </si>
  <si>
    <t>G5</t>
  </si>
  <si>
    <t>G6</t>
  </si>
  <si>
    <t>G7</t>
  </si>
  <si>
    <t>G8</t>
  </si>
  <si>
    <t>G9</t>
  </si>
  <si>
    <t>G10</t>
  </si>
  <si>
    <t>G11</t>
  </si>
  <si>
    <t>G12</t>
  </si>
  <si>
    <t>G13</t>
  </si>
  <si>
    <t>G14</t>
  </si>
  <si>
    <t>G15</t>
  </si>
  <si>
    <t>G16</t>
  </si>
  <si>
    <t>G17</t>
  </si>
  <si>
    <t>0, 12, 96</t>
  </si>
  <si>
    <t>0, 136, 227</t>
  </si>
  <si>
    <t>0, 100, 50</t>
  </si>
  <si>
    <t>0, 176, 22</t>
  </si>
  <si>
    <t>191, 0, 0</t>
  </si>
  <si>
    <t>230, 120, 0</t>
  </si>
  <si>
    <t>255, 191, 0</t>
  </si>
  <si>
    <t>150, 200, 0</t>
  </si>
  <si>
    <t>200, 0, 120</t>
  </si>
  <si>
    <t>77, 0, 96</t>
  </si>
  <si>
    <t>91, 0, 191</t>
  </si>
  <si>
    <t>0, 98, 130</t>
  </si>
  <si>
    <t>Vertex Group</t>
  </si>
  <si>
    <t>Vertex 1 Group</t>
  </si>
  <si>
    <t>Vertex 2 Group</t>
  </si>
  <si>
    <t>Workbook Settings 2</t>
  </si>
  <si>
    <t>GraphSource░TwitterSearch▓GraphTerm░#TRIOworks▓ImportDescription░The graph represents a network of 122 Twitter users whose recent tweets contained "#TRIOworks", or who were replied to or mentioned in those tweets, taken from a data set limited to a maximum of 1,000 tweets.  The network was obtained from Twitter on Sunday, 01 August 2021 at 20:46 UTC._x000D_
_x000D_
The tweets in the network were tweeted over the 8-day, 4-hour, 22-minute period from Saturday, 24 July 2021 at 16:00 UTC to Sunday, 01 August 2021 at 20:23 UTC._x000D_
_x000D_
Additional tweets that were mentioned in this data set were also collected from prior time periods.  These tweets may expand the complete time period of the data._x000D_
_x000D_
There is an edge for each "replies-to" relationship in a tweet, an edge for each "mentions" relationship in a tweet, and a self-loop edge for each tweet that is not a "replies-to" or "mentions".▓ImportSuggestedTitle░#TRIOworks Twitter NodeXL SNA Map and Report for Sunday, 01 August 2021 at 20:46 UTC▓ImportSuggestedFileNameNoExtension░2021-08-01 20-46-43 NodeXL Twitter Search #TRIOworks▓LayoutAlgorithm░The graph was laid out using the Fruchterman-Reingold layout algorithm.▓GraphDirectedness░The graph is directed.▓GroupingDescription░The graph's vertices were grouped by cluster using the Clauset-Newman-Moore cluster algorithm.</t>
  </si>
  <si>
    <t>Not Applicable</t>
  </si>
  <si>
    <t>Group 1</t>
  </si>
  <si>
    <t>Group 2</t>
  </si>
  <si>
    <t>Edges</t>
  </si>
  <si>
    <t>Graph Type</t>
  </si>
  <si>
    <t>Modularity</t>
  </si>
  <si>
    <t>NodeXL Version</t>
  </si>
  <si>
    <t>Graph Gallery URL</t>
  </si>
  <si>
    <t>Graph Image URL</t>
  </si>
  <si>
    <t>Graph Source</t>
  </si>
  <si>
    <t>Graph Term</t>
  </si>
  <si>
    <t>Data Import</t>
  </si>
  <si>
    <t>Layout Algorithm</t>
  </si>
  <si>
    <t>Groups</t>
  </si>
  <si>
    <t>Edge Alpha</t>
  </si>
  <si>
    <t>Edge Color</t>
  </si>
  <si>
    <t>Edge Width</t>
  </si>
  <si>
    <t>Vertex Alpha</t>
  </si>
  <si>
    <t>Vertex Radius</t>
  </si>
  <si>
    <t>Vertex X</t>
  </si>
  <si>
    <t>Vertex y</t>
  </si>
  <si>
    <t>1.0.1.445</t>
  </si>
  <si>
    <t>Key</t>
  </si>
  <si>
    <t>Action Label</t>
  </si>
  <si>
    <t>Action URL</t>
  </si>
  <si>
    <t>Brand Logo</t>
  </si>
  <si>
    <t>Brand URL</t>
  </si>
  <si>
    <t>Hashtag</t>
  </si>
  <si>
    <t>URL</t>
  </si>
  <si>
    <t>Count of Relationship Date (UTC)</t>
  </si>
  <si>
    <t>Row Labels</t>
  </si>
  <si>
    <t>Grand Total</t>
  </si>
  <si>
    <t>2021</t>
  </si>
  <si>
    <t>Jul</t>
  </si>
  <si>
    <t>12-Jul</t>
  </si>
  <si>
    <t>23-Jul</t>
  </si>
  <si>
    <t>24-Jul</t>
  </si>
  <si>
    <t>25-Jul</t>
  </si>
  <si>
    <t>26-Jul</t>
  </si>
  <si>
    <t>27-Jul</t>
  </si>
  <si>
    <t>28-Jul</t>
  </si>
  <si>
    <t>29-Jul</t>
  </si>
  <si>
    <t>30-Jul</t>
  </si>
  <si>
    <t>31-Jul</t>
  </si>
  <si>
    <t>Aug</t>
  </si>
  <si>
    <t>1-Aug</t>
  </si>
  <si>
    <t>Top URLs in Tweet in Entire Graph</t>
  </si>
  <si>
    <t>https://twitter.com/_MABurnett/status/1420114213658402821</t>
  </si>
  <si>
    <t>https://www.youtube.com/shorts/qku6RAs0B3k?feature=share</t>
  </si>
  <si>
    <t>https://doublepell.org/take-action/</t>
  </si>
  <si>
    <t>https://twitter.com/SSSIvyTechFW/status/1420826156031414278</t>
  </si>
  <si>
    <t>https://twitter.com/coetalk/status/1421161509527474187</t>
  </si>
  <si>
    <t>https://youtube.com/shorts/qku6RAs</t>
  </si>
  <si>
    <t>https://youtu.be/AblrrbQT5AE</t>
  </si>
  <si>
    <t>https://familycentered.jotform.com/211244643290045?</t>
  </si>
  <si>
    <t>https://firstgen.naspa.org/blog/101-ways-to-celebrate-on-nov-8</t>
  </si>
  <si>
    <t>https://go.fiu.edu/sssgoodtrouble</t>
  </si>
  <si>
    <t>Entire Graph Count</t>
  </si>
  <si>
    <t>Top URLs in Tweet in G1</t>
  </si>
  <si>
    <t>https://www.collins.senate.gov/newsroom/collins-tester-baldwin-lead-push-trio-program-funding-assist-first-generation-low-income</t>
  </si>
  <si>
    <t>https://thenevadaindependent.com/article/new-funding-gives-boost-to-programs-serving-future-first-generation-college-students</t>
  </si>
  <si>
    <t>https://latinovictory.us/latino-victory-fund-congratulates-new-york-city-council-candidates-for-winning-democratic-primary-election/</t>
  </si>
  <si>
    <t>https://www.chronicle.com/newsletter/the-edge/2021-07-28</t>
  </si>
  <si>
    <t>https://besteducationpractices.squarespace.com/</t>
  </si>
  <si>
    <t>Top URLs in Tweet in G2</t>
  </si>
  <si>
    <t>G1 Count</t>
  </si>
  <si>
    <t>Top URLs in Tweet in G3</t>
  </si>
  <si>
    <t>G2 Count</t>
  </si>
  <si>
    <t>Top URLs in Tweet in G4</t>
  </si>
  <si>
    <t>G3 Count</t>
  </si>
  <si>
    <t>Top URLs in Tweet in G5</t>
  </si>
  <si>
    <t>G4 Count</t>
  </si>
  <si>
    <t>https://twitter.com/AtlTechCollege/status/1419761172425973767</t>
  </si>
  <si>
    <t>Top URLs in Tweet in G6</t>
  </si>
  <si>
    <t>G5 Count</t>
  </si>
  <si>
    <t>Top URLs in Tweet in G7</t>
  </si>
  <si>
    <t>G6 Count</t>
  </si>
  <si>
    <t>Top URLs in Tweet in G8</t>
  </si>
  <si>
    <t>G7 Count</t>
  </si>
  <si>
    <t>https://www.youtube.com/watch?v=a9yZSmT6fwM&amp;feature=youtu.be</t>
  </si>
  <si>
    <t>Top URLs in Tweet in G9</t>
  </si>
  <si>
    <t>G8 Count</t>
  </si>
  <si>
    <t>Top URLs in Tweet in G10</t>
  </si>
  <si>
    <t>G9 Count</t>
  </si>
  <si>
    <t>G10 Count</t>
  </si>
  <si>
    <t>Top URLs in Tweet</t>
  </si>
  <si>
    <t>https://twitter.com/coetalk/status/1421161509527474187 https://twitter.com/SSSIvyTechFW/status/1420826156031414278 https://www.collins.senate.gov/newsroom/collins-tester-baldwin-lead-push-trio-program-funding-assist-first-generation-low-income https://thenevadaindependent.com/article/new-funding-gives-boost-to-programs-serving-future-first-generation-college-students https://latinovictory.us/latino-victory-fund-congratulates-new-york-city-council-candidates-for-winning-democratic-primary-election/ https://firstgen.naspa.org/blog/101-ways-to-celebrate-on-nov-8 https://www.chronicle.com/newsletter/the-edge/2021-07-28 https://besteducationpractices.squarespace.com/</t>
  </si>
  <si>
    <t>https://www.youtube.com/shorts/qku6RAs0B3k?feature=share https://youtube.com/shorts/qku6RAs https://youtu.be/AblrrbQT5AE</t>
  </si>
  <si>
    <t>https://twitter.com/AtlTechCollege/status/1419761172425973767 https://familycentered.jotform.com/211244643290045?</t>
  </si>
  <si>
    <t>https://successprints.shop/</t>
  </si>
  <si>
    <t>https://jamillimabass.tumblr.com/post/658256277007384576/frevo-bicudo-theme-comp-nahousemusicbr#_=_ https://jamillimabass.tumblr.com/post/658256249154060288/sesc-belenzinho-2019-fishmanpickups#_=_ https://jamillimabass.tumblr.com/post/658256319949750272/bass-solo-fishmanpickups-doublebassist#_=_ https://jamillimabass.tumblr.com/post/658256337825873920/voltando-aos-poucos-getting#_=_ https://jamillimabass.tumblr.com/post/658256376297078784/take-bom-when-the-take-was-good#_=_</t>
  </si>
  <si>
    <t>Top Domains in Tweet in Entire Graph</t>
  </si>
  <si>
    <t>Top Domains in Tweet in G1</t>
  </si>
  <si>
    <t>Top Domains in Tweet in G2</t>
  </si>
  <si>
    <t>Top Domains in Tweet in G3</t>
  </si>
  <si>
    <t>Top Domains in Tweet in G4</t>
  </si>
  <si>
    <t>Top Domains in Tweet in G5</t>
  </si>
  <si>
    <t>Top Domains in Tweet in G6</t>
  </si>
  <si>
    <t>Top Domains in Tweet in G7</t>
  </si>
  <si>
    <t>Top Domains in Tweet in G8</t>
  </si>
  <si>
    <t>Top Domains in Tweet in G9</t>
  </si>
  <si>
    <t>Top Domains in Tweet in G10</t>
  </si>
  <si>
    <t>Top Domains in Tweet</t>
  </si>
  <si>
    <t>twitter.com senate.gov thenevadaindependent.com latinovictory.us naspa.org chronicle.com squarespace.com</t>
  </si>
  <si>
    <t>youtube.com youtu.be</t>
  </si>
  <si>
    <t>twitter.com jotform.com</t>
  </si>
  <si>
    <t>Top Hashtags in Tweet in Entire Graph</t>
  </si>
  <si>
    <t>doublebassist</t>
  </si>
  <si>
    <t>ekunova</t>
  </si>
  <si>
    <t>firstgen</t>
  </si>
  <si>
    <t>asl</t>
  </si>
  <si>
    <t>fishmanpickups</t>
  </si>
  <si>
    <t>ampegsvt</t>
  </si>
  <si>
    <t>musicaddict</t>
  </si>
  <si>
    <t>musica</t>
  </si>
  <si>
    <t>bassistsofinstagram</t>
  </si>
  <si>
    <t>Top Hashtags in Tweet in G1</t>
  </si>
  <si>
    <t>sapros</t>
  </si>
  <si>
    <t>sapro</t>
  </si>
  <si>
    <t>studentaffairs</t>
  </si>
  <si>
    <t>celebratefirstgen</t>
  </si>
  <si>
    <t>goodtrouble</t>
  </si>
  <si>
    <t>trio</t>
  </si>
  <si>
    <t>cencalpds21</t>
  </si>
  <si>
    <t>rural</t>
  </si>
  <si>
    <t>comm_college</t>
  </si>
  <si>
    <t>Top Hashtags in Tweet in G2</t>
  </si>
  <si>
    <t>Top Hashtags in Tweet in G3</t>
  </si>
  <si>
    <t>Top Hashtags in Tweet in G4</t>
  </si>
  <si>
    <t>mystudentsarethebomb</t>
  </si>
  <si>
    <t>devoxxkids</t>
  </si>
  <si>
    <t>territoriostem</t>
  </si>
  <si>
    <t>newtonslaws</t>
  </si>
  <si>
    <t>stem</t>
  </si>
  <si>
    <t>googleclassrooms</t>
  </si>
  <si>
    <t>Top Hashtags in Tweet in G5</t>
  </si>
  <si>
    <t>mcnair</t>
  </si>
  <si>
    <t>trumanstate</t>
  </si>
  <si>
    <t>iammcnair</t>
  </si>
  <si>
    <t>research</t>
  </si>
  <si>
    <t>gradschool</t>
  </si>
  <si>
    <t>distinctbydesign</t>
  </si>
  <si>
    <t>biology</t>
  </si>
  <si>
    <t>uw</t>
  </si>
  <si>
    <t>Top Hashtags in Tweet in G6</t>
  </si>
  <si>
    <t>nslc2021</t>
  </si>
  <si>
    <t>thechallengeofchange</t>
  </si>
  <si>
    <t>Top Hashtags in Tweet in G7</t>
  </si>
  <si>
    <t>doublepell</t>
  </si>
  <si>
    <t>Top Hashtags in Tweet in G8</t>
  </si>
  <si>
    <t>nationalnewjerseyday</t>
  </si>
  <si>
    <t>aeee44</t>
  </si>
  <si>
    <t>Top Hashtags in Tweet in G9</t>
  </si>
  <si>
    <t>streetwisescholar</t>
  </si>
  <si>
    <t>scholarhomies</t>
  </si>
  <si>
    <t>fromthahoodtogettinghooded</t>
  </si>
  <si>
    <t>mtsac</t>
  </si>
  <si>
    <t>communitycolleges</t>
  </si>
  <si>
    <t>Top Hashtags in Tweet in G10</t>
  </si>
  <si>
    <t>upwardbound</t>
  </si>
  <si>
    <t>ub</t>
  </si>
  <si>
    <t>ubsjc</t>
  </si>
  <si>
    <t>channelviewhighschool</t>
  </si>
  <si>
    <t>galenaparkhighschool</t>
  </si>
  <si>
    <t>cvhs</t>
  </si>
  <si>
    <t>gphs</t>
  </si>
  <si>
    <t>Top Hashtags in Tweet</t>
  </si>
  <si>
    <t>trioworks sapros sapro studentaffairs celebratefirstgen goodtrouble trio cencalpds21 rural comm_college</t>
  </si>
  <si>
    <t>trioworks asl</t>
  </si>
  <si>
    <t>trioworks mystudentsarethebomb devoxxkids territoriostem newtonslaws stem googleclassrooms</t>
  </si>
  <si>
    <t>trioworks mcnair trumanstate iammcnair research gradschool distinctbydesign biology trio uw</t>
  </si>
  <si>
    <t>trioworks nslc2021 thechallengeofchange</t>
  </si>
  <si>
    <t>trioworks nationalnewjerseyday aeee44</t>
  </si>
  <si>
    <t>upwardbound ub ubsjc trioworks stem channelviewhighschool galenaparkhighschool cvhs gphs</t>
  </si>
  <si>
    <t>trioworks ekunova firstgen peermentor youngleader youngleaders mcnairscholar firstgeneration openhouse</t>
  </si>
  <si>
    <t>trioworks studentsaspartners gearup collegecounseling collegeready collegeprep gearupworks</t>
  </si>
  <si>
    <t>doublebassist fishmanpickups ampegsvt musicaddict musica bassistsofinstagram modernjazz jazztrio bassguitars gigs</t>
  </si>
  <si>
    <t>Top Words in Tweet in Entire Graph</t>
  </si>
  <si>
    <t>#trioworks</t>
  </si>
  <si>
    <t>life</t>
  </si>
  <si>
    <t>amp</t>
  </si>
  <si>
    <t>years</t>
  </si>
  <si>
    <t>today</t>
  </si>
  <si>
    <t>5</t>
  </si>
  <si>
    <t>Top Words in Tweet in G1</t>
  </si>
  <si>
    <t>lewis</t>
  </si>
  <si>
    <t>lead</t>
  </si>
  <si>
    <t>purpose</t>
  </si>
  <si>
    <t>book</t>
  </si>
  <si>
    <t>good</t>
  </si>
  <si>
    <t>Top Words in Tweet in G2</t>
  </si>
  <si>
    <t>still</t>
  </si>
  <si>
    <t>dissertation</t>
  </si>
  <si>
    <t>changed</t>
  </si>
  <si>
    <t>Top Words in Tweet in G3</t>
  </si>
  <si>
    <t>scholars</t>
  </si>
  <si>
    <t>learning</t>
  </si>
  <si>
    <t>summer</t>
  </si>
  <si>
    <t>academy</t>
  </si>
  <si>
    <t>day</t>
  </si>
  <si>
    <t>Top Words in Tweet in G4</t>
  </si>
  <si>
    <t>drones</t>
  </si>
  <si>
    <t>w</t>
  </si>
  <si>
    <t>amazing</t>
  </si>
  <si>
    <t>Top Words in Tweet in G5</t>
  </si>
  <si>
    <t>college</t>
  </si>
  <si>
    <t>tour</t>
  </si>
  <si>
    <t>fl</t>
  </si>
  <si>
    <t>capstone</t>
  </si>
  <si>
    <t>project</t>
  </si>
  <si>
    <t>university</t>
  </si>
  <si>
    <t>students</t>
  </si>
  <si>
    <t>working</t>
  </si>
  <si>
    <t>Top Words in Tweet in G6</t>
  </si>
  <si>
    <t>thanks</t>
  </si>
  <si>
    <t>#nslc2021</t>
  </si>
  <si>
    <t>Top Words in Tweet in G7</t>
  </si>
  <si>
    <t>doubling</t>
  </si>
  <si>
    <t>pell</t>
  </si>
  <si>
    <t>grant</t>
  </si>
  <si>
    <t>help</t>
  </si>
  <si>
    <t>more</t>
  </si>
  <si>
    <t>earn</t>
  </si>
  <si>
    <t>degree</t>
  </si>
  <si>
    <t>secure</t>
  </si>
  <si>
    <t>bright</t>
  </si>
  <si>
    <t>Top Words in Tweet in G8</t>
  </si>
  <si>
    <t>happy</t>
  </si>
  <si>
    <t>shout</t>
  </si>
  <si>
    <t>out</t>
  </si>
  <si>
    <t>new</t>
  </si>
  <si>
    <t>jersey</t>
  </si>
  <si>
    <t>programs</t>
  </si>
  <si>
    <t>stakeholders</t>
  </si>
  <si>
    <t>Top Words in Tweet in G9</t>
  </si>
  <si>
    <t>excited</t>
  </si>
  <si>
    <t>next</t>
  </si>
  <si>
    <t>year</t>
  </si>
  <si>
    <t>cracking</t>
  </si>
  <si>
    <t>start</t>
  </si>
  <si>
    <t>streets</t>
  </si>
  <si>
    <t>up</t>
  </si>
  <si>
    <t>yall</t>
  </si>
  <si>
    <t>thank</t>
  </si>
  <si>
    <t>Top Words in Tweet in G10</t>
  </si>
  <si>
    <t>great</t>
  </si>
  <si>
    <t>#upwardbound</t>
  </si>
  <si>
    <t>#ub</t>
  </si>
  <si>
    <t>#ubsjc</t>
  </si>
  <si>
    <t>Top Words in Tweet</t>
  </si>
  <si>
    <t>#trioworks trio amp lewis lead life purpose coetalk book good</t>
  </si>
  <si>
    <t>years 5 #trioworks research still dissertation mcnair mcnairunc changed life</t>
  </si>
  <si>
    <t>ccbcmd ucatonsville #trioworks scholars baltcops washingtondc learning summer academy day</t>
  </si>
  <si>
    <t>drones w #trioworks neiu ccas_neiu morton201 chipubschools amazing</t>
  </si>
  <si>
    <t>#trioworks college tour fl capstone project university trio students working</t>
  </si>
  <si>
    <t>trio #trioworks thanks students #nslc2021 amp</t>
  </si>
  <si>
    <t>doubling pell grant help more students earn degree secure bright</t>
  </si>
  <si>
    <t>#trioworks happy shout out new jersey trio programs stakeholders scholars</t>
  </si>
  <si>
    <t>excited next year cracking good start streets up yall thank</t>
  </si>
  <si>
    <t>great more #upwardbound #ub #ubsjc #trioworks</t>
  </si>
  <si>
    <t>#trioworks #ekunova #firstgen program meet kentucky nova #peermentor junior favorite</t>
  </si>
  <si>
    <t>application help</t>
  </si>
  <si>
    <t>help congratulate incredible kumcnair scholars successful summer undergraduate research discover</t>
  </si>
  <si>
    <t>students #trioworks</t>
  </si>
  <si>
    <t>#doublebassist #fishmanpickups #ampegsvt #musicaddict #musica #bassistsofinstagram #modernjazz #jazztrio #bassguitars #gigs</t>
  </si>
  <si>
    <t>31 years ago americans disabilities act established #trioworks #triosssmur #miamiohregionals</t>
  </si>
  <si>
    <t>Top Word Pairs in Tweet in Entire Graph</t>
  </si>
  <si>
    <t>ccbcmd,ucatonsville</t>
  </si>
  <si>
    <t>5,years</t>
  </si>
  <si>
    <t>lead,life</t>
  </si>
  <si>
    <t>life,purpose</t>
  </si>
  <si>
    <t>ucatonsville,scholars</t>
  </si>
  <si>
    <t>baltcops,#trioworks</t>
  </si>
  <si>
    <t>years,ago</t>
  </si>
  <si>
    <t>good,trouble</t>
  </si>
  <si>
    <t>changed,life</t>
  </si>
  <si>
    <t>ago,today</t>
  </si>
  <si>
    <t>Top Word Pairs in Tweet in G1</t>
  </si>
  <si>
    <t>john,lewis</t>
  </si>
  <si>
    <t>lewis,taught</t>
  </si>
  <si>
    <t>taught,shine</t>
  </si>
  <si>
    <t>shine,light</t>
  </si>
  <si>
    <t>light,amp</t>
  </si>
  <si>
    <t>amp,lead</t>
  </si>
  <si>
    <t>purpose,even</t>
  </si>
  <si>
    <t>Top Word Pairs in Tweet in G2</t>
  </si>
  <si>
    <t>today,presented</t>
  </si>
  <si>
    <t>presented,first</t>
  </si>
  <si>
    <t>first,independent</t>
  </si>
  <si>
    <t>independent,research</t>
  </si>
  <si>
    <t>research,project</t>
  </si>
  <si>
    <t>project,mcnairunc</t>
  </si>
  <si>
    <t>Top Word Pairs in Tweet in G3</t>
  </si>
  <si>
    <t>summer,academy</t>
  </si>
  <si>
    <t>scholars,enjoy</t>
  </si>
  <si>
    <t>enjoy,day</t>
  </si>
  <si>
    <t>day,washingtondc</t>
  </si>
  <si>
    <t>transitioning,one</t>
  </si>
  <si>
    <t>one,activity</t>
  </si>
  <si>
    <t>activity,another</t>
  </si>
  <si>
    <t>Top Word Pairs in Tweet in G4</t>
  </si>
  <si>
    <t>Top Word Pairs in Tweet in G5</t>
  </si>
  <si>
    <t>college,tour</t>
  </si>
  <si>
    <t>capstone,project</t>
  </si>
  <si>
    <t>#mcnair,#trumanstate</t>
  </si>
  <si>
    <t>#trioworks,#iammcnair</t>
  </si>
  <si>
    <t>#iammcnair,#research</t>
  </si>
  <si>
    <t>#research,#gradschool</t>
  </si>
  <si>
    <t>#gradschool,#distinctbydesign</t>
  </si>
  <si>
    <t>working,dr</t>
  </si>
  <si>
    <t>tour,tampa</t>
  </si>
  <si>
    <t>tampa,fl</t>
  </si>
  <si>
    <t>Top Word Pairs in Tweet in G6</t>
  </si>
  <si>
    <t>Top Word Pairs in Tweet in G7</t>
  </si>
  <si>
    <t>doubling,pell</t>
  </si>
  <si>
    <t>pell,grant</t>
  </si>
  <si>
    <t>grant,help</t>
  </si>
  <si>
    <t>help,more</t>
  </si>
  <si>
    <t>more,students</t>
  </si>
  <si>
    <t>students,earn</t>
  </si>
  <si>
    <t>earn,degree</t>
  </si>
  <si>
    <t>degree,secure</t>
  </si>
  <si>
    <t>secure,bright</t>
  </si>
  <si>
    <t>bright,future</t>
  </si>
  <si>
    <t>Top Word Pairs in Tweet in G8</t>
  </si>
  <si>
    <t>shout,out</t>
  </si>
  <si>
    <t>out,new</t>
  </si>
  <si>
    <t>new,jersey</t>
  </si>
  <si>
    <t>jersey,trio</t>
  </si>
  <si>
    <t>trio,programs</t>
  </si>
  <si>
    <t>programs,stakeholders</t>
  </si>
  <si>
    <t>stakeholders,scholars</t>
  </si>
  <si>
    <t>scholars,families</t>
  </si>
  <si>
    <t>families,happy</t>
  </si>
  <si>
    <t>happy,#nationalnewjerseyday</t>
  </si>
  <si>
    <t>Top Word Pairs in Tweet in G9</t>
  </si>
  <si>
    <t>excited,next</t>
  </si>
  <si>
    <t>next,year</t>
  </si>
  <si>
    <t>year,cracking</t>
  </si>
  <si>
    <t>cracking,good</t>
  </si>
  <si>
    <t>good,start</t>
  </si>
  <si>
    <t>start,streets</t>
  </si>
  <si>
    <t>streets,up</t>
  </si>
  <si>
    <t>up,yall</t>
  </si>
  <si>
    <t>yall,thank</t>
  </si>
  <si>
    <t>thank,therealeligio</t>
  </si>
  <si>
    <t>Top Word Pairs in Tweet in G10</t>
  </si>
  <si>
    <t>Top Word Pairs in Tweet</t>
  </si>
  <si>
    <t>lead,life  life,purpose  good,trouble  john,lewis  lewis,taught  taught,shine  shine,light  light,amp  amp,lead  purpose,even</t>
  </si>
  <si>
    <t>5,years  changed,life  years,ago  ago,today  today,presented  presented,first  first,independent  independent,research  research,project  project,mcnairunc</t>
  </si>
  <si>
    <t>ccbcmd,ucatonsville  ucatonsville,scholars  baltcops,#trioworks  summer,academy  scholars,enjoy  enjoy,day  day,washingtondc  transitioning,one  one,activity  activity,another</t>
  </si>
  <si>
    <t>college,tour  capstone,project  #mcnair,#trumanstate  #trioworks,#iammcnair  #iammcnair,#research  #research,#gradschool  #gradschool,#distinctbydesign  working,dr  tour,tampa  tampa,fl</t>
  </si>
  <si>
    <t>doubling,pell  pell,grant  grant,help  help,more  more,students  students,earn  earn,degree  degree,secure  secure,bright  bright,future</t>
  </si>
  <si>
    <t>shout,out  out,new  new,jersey  jersey,trio  trio,programs  programs,stakeholders  stakeholders,scholars  scholars,families  families,happy  happy,#nationalnewjerseyday</t>
  </si>
  <si>
    <t>excited,next  next,year  year,cracking  cracking,good  good,start  start,streets  streets,up  up,yall  yall,thank  thank,therealeligio</t>
  </si>
  <si>
    <t>#trioworks,#ekunova  #ekunova,#firstgen  #firstgen,#peermentor  kentucky,favorite  #peermentor,#youngleader  public,health  favorite,aspect  aspect,nova  nova,program  favorite,part</t>
  </si>
  <si>
    <t>help,congratulate  congratulate,incredible  incredible,kumcnair  kumcnair,scholars  scholars,successful  successful,summer  summer,undergraduate  undergraduate,research  research,discover  discover,build</t>
  </si>
  <si>
    <t>#fishmanpickups,#doublebassist  #doublebassist,#ampegsvt  #ampegsvt,#musicaddict  #musicaddict,#musica  #musica,#bassistsofinstagram  #bassistsofinstagram,#modernjazz  #modernjazz,#doublebassist  #doublebassist,#jazztrio  #jazztrio,#bassguitars  #bassguitars,#gigs</t>
  </si>
  <si>
    <t>31,years  years,ago  ago,americans  americans,disabilities  disabilities,act  act,established  established,#trioworks  #trioworks,#triosssmur  #triosssmur,#miamiohregionals</t>
  </si>
  <si>
    <t>Top Replied-To in Entire Graph</t>
  </si>
  <si>
    <t>Top Mentioned in Entire Graph</t>
  </si>
  <si>
    <t>Top Replied-To in G1</t>
  </si>
  <si>
    <t>Top Replied-To in G2</t>
  </si>
  <si>
    <t>Top Mentioned in G1</t>
  </si>
  <si>
    <t>Top Mentioned in G2</t>
  </si>
  <si>
    <t>Top Replied-To in G3</t>
  </si>
  <si>
    <t>Top Mentioned in G3</t>
  </si>
  <si>
    <t>Top Replied-To in G4</t>
  </si>
  <si>
    <t>Top Mentioned in G4</t>
  </si>
  <si>
    <t>Top Replied-To in G5</t>
  </si>
  <si>
    <t>Top Mentioned in G5</t>
  </si>
  <si>
    <t>Top Replied-To in G6</t>
  </si>
  <si>
    <t>Top Mentioned in G6</t>
  </si>
  <si>
    <t>Top Replied-To in G7</t>
  </si>
  <si>
    <t>Top Mentioned in G7</t>
  </si>
  <si>
    <t>Top Replied-To in G8</t>
  </si>
  <si>
    <t>Top Mentioned in G8</t>
  </si>
  <si>
    <t>Top Replied-To in G9</t>
  </si>
  <si>
    <t>Top Mentioned in G9</t>
  </si>
  <si>
    <t>Top Replied-To in G10</t>
  </si>
  <si>
    <t>Top Mentioned in G10</t>
  </si>
  <si>
    <t>Top Replied-To in Tweet</t>
  </si>
  <si>
    <t>Top Mentioned in Tweet</t>
  </si>
  <si>
    <t>coetalk repgwenmoore repbonamici seccardona edlaborcmte uscongress pisancheznyc edopassoc indianatrio firstgencenter</t>
  </si>
  <si>
    <t>mcnairunc _maburnett cheopunc</t>
  </si>
  <si>
    <t>ucatonsville ccbcmd baltcops washingtondc intlspymuseum americanasl youtube coetalk americansignl</t>
  </si>
  <si>
    <t>neiu ccas_neiu morton201 chipubschools alcaldiademed trioubms_neiu neiuelcentro mcaplanmarcelo coetalk</t>
  </si>
  <si>
    <t>johncornyn sentomcotton repgwenmoore</t>
  </si>
  <si>
    <t>kstateofgs kstatesuccess</t>
  </si>
  <si>
    <t>senbooker senatormenendez jackashawiley trillornottrill</t>
  </si>
  <si>
    <t>iflyhouston txtreeventures</t>
  </si>
  <si>
    <t>Top Tweeters in Entire Graph</t>
  </si>
  <si>
    <t>Top Tweeters in G1</t>
  </si>
  <si>
    <t>Top Tweeters in G2</t>
  </si>
  <si>
    <t>Top Tweeters in G3</t>
  </si>
  <si>
    <t>Top Tweeters in G4</t>
  </si>
  <si>
    <t>Top Tweeters in G5</t>
  </si>
  <si>
    <t>Top Tweeters in G6</t>
  </si>
  <si>
    <t>Top Tweeters in G7</t>
  </si>
  <si>
    <t>Top Tweeters in G8</t>
  </si>
  <si>
    <t>Top Tweeters in G9</t>
  </si>
  <si>
    <t>Top Tweeters in G10</t>
  </si>
  <si>
    <t>Top Tweeters</t>
  </si>
  <si>
    <t>shirley10090505 nikolasvision 444sai perla_51 msn100ms46 suemanning6 independantdemo jkkahlden edlaborcmte repgwenmoore</t>
  </si>
  <si>
    <t>lotsofsassblog kaydontplay_12 peiferlabunc alitebrand nike_bass95 blasiangoddessx _kamoafo jbookthacrook monieelovee_ logangin</t>
  </si>
  <si>
    <t>washingtondc youtube baltcops ms_tabu intlspymuseum ccbcmd tabuwinslow letsplayballan1 ucatonsville edabipi</t>
  </si>
  <si>
    <t>alcaldiademed chipubschools aaron_cortes neiu morton201 ccas_neiu mcaplanmarcelo trioubms_neiu neiuelcentro</t>
  </si>
  <si>
    <t>janetadamsspeak keyofe_pro tseoc_psu fceatrio tsumcnair irbound uwtalentsearch trioperks txwesub</t>
  </si>
  <si>
    <t>johncornyn sentomcotton swasaptrio kjcounsel rondamclelland</t>
  </si>
  <si>
    <t>aceducation jonriskindatace kstateofgs ess_kstate kstatesuccess</t>
  </si>
  <si>
    <t>senatormenendez senbooker trillornottrill aeeetrio jackashawiley</t>
  </si>
  <si>
    <t>adriela95 grodriguezlemus therealeligio strwisescholar</t>
  </si>
  <si>
    <t>txtreeventures ub_trio_sjc iflyhouston</t>
  </si>
  <si>
    <t>eku_nova ekumcnair</t>
  </si>
  <si>
    <t>fiu_sss fiuferre</t>
  </si>
  <si>
    <t>go2missionsc trio_sss_mc</t>
  </si>
  <si>
    <t>kumcnair ceopmedia</t>
  </si>
  <si>
    <t>success_prints montanagearup</t>
  </si>
  <si>
    <t>na jamillimabass</t>
  </si>
  <si>
    <t>muhlibrary triosssmur</t>
  </si>
  <si>
    <t>Top URLs in Tweet by Count</t>
  </si>
  <si>
    <t>https://latinovictory.us/latino-victory-fund-congratulates-new-york-city-council-candidates-for-winning-democratic-primary-election/ https://twitter.com/SSSIvyTechFW/status/1420826156031414278 https://twitter.com/coetalk/status/1421161509527474187 https://thenevadaindependent.com/article/new-funding-gives-boost-to-programs-serving-future-first-generation-college-students https://www.collins.senate.gov/newsroom/collins-tester-baldwin-lead-push-trio-program-funding-assist-first-generation-low-income</t>
  </si>
  <si>
    <t>https://youtu.be/AblrrbQT5AE https://youtube.com/shorts/qku6RAs https://www.youtube.com/shorts/qku6RAs0B3k?feature=share</t>
  </si>
  <si>
    <t>https://www.youtube.com/shorts/qku6RAs0B3k?feature=share https://youtube.com/shorts/qku6RAs</t>
  </si>
  <si>
    <t>https://firstgen.naspa.org/blog/101-ways-to-celebrate-on-nov-8 https://twitter.com/coetalk/status/1421161509527474187 https://www.chronicle.com/newsletter/the-edge/2021-07-28</t>
  </si>
  <si>
    <t>https://twitter.com/SSSIvyTechFW/status/1420826156031414278 https://besteducationpractices.squarespace.com/</t>
  </si>
  <si>
    <t>https://jamillimabass.tumblr.com/post/658256277007384576/frevo-bicudo-theme-comp-nahousemusicbr#_=_ https://jamillimabass.tumblr.com/post/658256376297078784/take-bom-when-the-take-was-good#_=_ https://jamillimabass.tumblr.com/post/658256337825873920/voltando-aos-poucos-getting#_=_ https://jamillimabass.tumblr.com/post/658256319949750272/bass-solo-fishmanpickups-doublebassist#_=_ https://jamillimabass.tumblr.com/post/658256249154060288/sesc-belenzinho-2019-fishmanpickups#_=_</t>
  </si>
  <si>
    <t>Top URLs in Tweet by Salience</t>
  </si>
  <si>
    <t>Top Domains in Tweet by Count</t>
  </si>
  <si>
    <t>twitter.com latinovictory.us thenevadaindependent.com senate.gov</t>
  </si>
  <si>
    <t>naspa.org twitter.com chronicle.com</t>
  </si>
  <si>
    <t>twitter.com squarespace.com</t>
  </si>
  <si>
    <t>Top Domains in Tweet by Salience</t>
  </si>
  <si>
    <t>youtu.be youtube.com</t>
  </si>
  <si>
    <t>Top Hashtags in Tweet by Count</t>
  </si>
  <si>
    <t>trioworks celebratefirstgen trio</t>
  </si>
  <si>
    <t>nslc2021 trioworks thechallengeofchange</t>
  </si>
  <si>
    <t>trioworks sapros sapro studentaffairs celebratefirstgen rural comm_college cencalpds21</t>
  </si>
  <si>
    <t>trioworks aeee44 nationalnewjerseyday</t>
  </si>
  <si>
    <t>trioworks indianatrio</t>
  </si>
  <si>
    <t>mcnair trumanstate trioworks iammcnair research gradschool distinctbydesign biology psychology philosophy</t>
  </si>
  <si>
    <t>trioworks uw popquiz trio ets meettheteam</t>
  </si>
  <si>
    <t>trioworks floridasouthern creatingmemories teamtrio makingfriends buildingrelationships</t>
  </si>
  <si>
    <t>Top Hashtags in Tweet by Salience</t>
  </si>
  <si>
    <t>celebratefirstgen trio trioworks</t>
  </si>
  <si>
    <t>mystudentsarethebomb devoxxkids territoriostem newtonslaws stem googleclassrooms trioworks</t>
  </si>
  <si>
    <t>sapro studentaffairs sapros celebratefirstgen rural comm_college cencalpds21 trioworks</t>
  </si>
  <si>
    <t>nationalnewjerseyday aeee44 trioworks</t>
  </si>
  <si>
    <t>stem channelviewhighschool galenaparkhighschool cvhs gphs upwardbound ub ubsjc trioworks</t>
  </si>
  <si>
    <t>studentsaspartners gearup collegecounseling collegeready collegeprep gearupworks trioworks</t>
  </si>
  <si>
    <t>youngleader youngleaders mcnairscholar firstgeneration openhouse peermentor firstgen trioworks ekunova</t>
  </si>
  <si>
    <t>modernart gravação take doublebass studio doublebassist fishmanpickups ampegsvt musicaddict musica</t>
  </si>
  <si>
    <t>psychology philosophy biology mcnair trumanstate trioworks iammcnair research gradschool distinctbydesign</t>
  </si>
  <si>
    <t>popquiz trio ets meettheteam trioworks uw</t>
  </si>
  <si>
    <t>floridasouthern creatingmemories teamtrio makingfriends buildingrelationships trioworks</t>
  </si>
  <si>
    <t>Top Words in Tweet by Count</t>
  </si>
  <si>
    <t>trio amp programs program coe college learn more here s</t>
  </si>
  <si>
    <t>drones w neiu ccas_neiu morton201 chipubschools amazing 4 flying autonomous</t>
  </si>
  <si>
    <t>ccbcmd ucatonsville scholars baltcops day washingtondc enjoy intlspymuseum learning summer</t>
  </si>
  <si>
    <t>trio coe thanks caucus co chair alumna repgwenmoore championing historic</t>
  </si>
  <si>
    <t>students #nslc2021 amp special thanks patrick senator johncornyn 's office</t>
  </si>
  <si>
    <t>research still dissertation 5 years very proud _maburnett poster below</t>
  </si>
  <si>
    <t>very proud _maburnett research poster below still remains within cheopunc</t>
  </si>
  <si>
    <t>ccbcmd ucatonsville learning scholars summer academy baltcops basic americanasl added</t>
  </si>
  <si>
    <t>ccbcmd ucatonsville scholars learning summer academy baltcops transitioning one activity</t>
  </si>
  <si>
    <t>lewis amp lead life purpose john taught shine light even</t>
  </si>
  <si>
    <t>new please consider work pds event cencal towards #sapros amp</t>
  </si>
  <si>
    <t>speaker good trouble book club next amp final national series</t>
  </si>
  <si>
    <t>happy student leadership day registered #aeee44 shout out new jersey</t>
  </si>
  <si>
    <t>ccbcmd ucatonsville scholars washingtondc baltcops enjoy day visiting famous intlspymuseum</t>
  </si>
  <si>
    <t>great more #upwardbound #ub #ubsjc time iflyhouston way learn bit</t>
  </si>
  <si>
    <t>coe thanks repbonamici highlighting trio programs during today's edlaborcmte hearing</t>
  </si>
  <si>
    <t>shout out new jersey trio programs stakeholders scholars families happy</t>
  </si>
  <si>
    <t>5 years ago today presented first independent research project mcnairunc</t>
  </si>
  <si>
    <t>today speaking virtual over year now continue wayne state university</t>
  </si>
  <si>
    <t>coetalk thank much</t>
  </si>
  <si>
    <t>_maburnett didn t mcnair precollege educational talent search years college</t>
  </si>
  <si>
    <t>6 years working trio student support services</t>
  </si>
  <si>
    <t>students montanagearup excited see love student stories amplified listen learn</t>
  </si>
  <si>
    <t>trio program join coetalk summer book club good trouble programs</t>
  </si>
  <si>
    <t>#ekunova #firstgen program meet kentucky #peermentor nova junior favorite rowan</t>
  </si>
  <si>
    <t>#mcnair #trumanstate #iammcnair #research #gradschool #distinctbydesign scholar truman majoring working</t>
  </si>
  <si>
    <t>31 years ago americans disabilities act established #triosssmur #miamiohregionals</t>
  </si>
  <si>
    <t>bonus tip talent search program great job assisting students #college</t>
  </si>
  <si>
    <t>yes mcnair _maburnett mcnairunc thanks marketa changed life scholar university</t>
  </si>
  <si>
    <t>application help students planning transfer spring 2022 semester csus filing</t>
  </si>
  <si>
    <t>#fafsa</t>
  </si>
  <si>
    <t>state york fair heating up find memorial hall east near</t>
  </si>
  <si>
    <t>s club little late posting thank repgwenmoore participating coe #goodtrouble</t>
  </si>
  <si>
    <t>#uw #popquiz answer think correct #trio #ets #meettheteam dina ibarra</t>
  </si>
  <si>
    <t>fiu_sss discussing love reconciliation two last chapters good trouble joe</t>
  </si>
  <si>
    <t>summer component coming end please jot dates down read carefully</t>
  </si>
  <si>
    <t>college tour fl capstone project trio students university florida tampa</t>
  </si>
  <si>
    <t>Top Words in Tweet by Salience</t>
  </si>
  <si>
    <t>amp first program lewis lead life purpose nevada senators programs</t>
  </si>
  <si>
    <t>drones amazing 4 flying autonomous programming building 21st century workforce</t>
  </si>
  <si>
    <t>learning intlspymuseum enjoy summer academy day washingtondc facilitator mrs sicily</t>
  </si>
  <si>
    <t>amp special thanks patrick senator johncornyn 's office taking time</t>
  </si>
  <si>
    <t>5 years very proud _maburnett poster below remains within cheopunc</t>
  </si>
  <si>
    <t>learning basic americanasl added language enrichment facilitator mrs sicily faulkner</t>
  </si>
  <si>
    <t>learning scholars summer academy baltcops transitioning one activity another basic</t>
  </si>
  <si>
    <t>amp professional lewis lead life purpose submitting workshop proposal 2021</t>
  </si>
  <si>
    <t>shout out new jersey trio programs stakeholders scholars families #nationalnewjerseyday</t>
  </si>
  <si>
    <t>intlspymuseum enjoyed going different monuments sites enjoy day visiting famous</t>
  </si>
  <si>
    <t>great time iflyhouston way learn bit physics indoor skydiving #stem</t>
  </si>
  <si>
    <t>rowan house program advisors #youngleader public health pre part #youngleaders</t>
  </si>
  <si>
    <t>take #modernart #gravação frevo bicudo theme comp na housemusicbr bom</t>
  </si>
  <si>
    <t>mcnair scholar research biology stephanie next state university creative writing</t>
  </si>
  <si>
    <t>#popquiz answer think correct #trio #ets #meettheteam dina ibarra #uw</t>
  </si>
  <si>
    <t>mr trio college tour ms students fl capstone project university</t>
  </si>
  <si>
    <t>Top Word Pairs in Tweet by Count</t>
  </si>
  <si>
    <t>trio,programs  learn,more  here,#trioworks  coe,thanks  trio,alumna  more,here  good,trouble  u,s  first,generation  lead,life</t>
  </si>
  <si>
    <t>drones,4  4,flying  flying,w  w,autonomous  autonomous,programming  programming,building  building,21st  21st,century  century,workforce  workforce,readiness</t>
  </si>
  <si>
    <t>ccbcmd,ucatonsville  ucatonsville,scholars  baltcops,#trioworks  scholars,enjoy  enjoy,day  day,washingtondc  washingtondc,intlspymuseum  intlspymuseum,baltcops  summer,academy  academy,facilitator</t>
  </si>
  <si>
    <t>coe,thanks  thanks,trio  trio,caucus  caucus,co  co,chair  chair,trio  trio,alumna  alumna,repgwenmoore  repgwenmoore,championing  championing,historic</t>
  </si>
  <si>
    <t>special,thanks  thanks,patrick  patrick,senator  senator,johncornyn  johncornyn,'s  's,office  office,taking  taking,time  time,meet  meet,trio</t>
  </si>
  <si>
    <t>5,years  very,proud  proud,_maburnett  _maburnett,research  research,poster  poster,below  below,still  still,remains  remains,within  within,cheopunc</t>
  </si>
  <si>
    <t>very,proud  proud,_maburnett  _maburnett,research  research,poster  poster,below  below,still  still,remains  remains,within  within,cheopunc  cheopunc,office</t>
  </si>
  <si>
    <t>ccbcmd,ucatonsville  ucatonsville,scholars  summer,academy  baltcops,#trioworks  scholars,learning  learning,basic  basic,americanasl  americanasl,added  added,language  language,enrichment</t>
  </si>
  <si>
    <t>ccbcmd,ucatonsville  ucatonsville,scholars  summer,academy  baltcops,#trioworks  transitioning,one  one,activity  activity,another  another,ccbcmd  ucatonsville,#trioworks  scholars,learning</t>
  </si>
  <si>
    <t>lead,life  life,purpose  john,lewis  lewis,taught  taught,shine  shine,light  light,amp  amp,lead  purpose,even  even,means</t>
  </si>
  <si>
    <t>please,consider  consider,submitting  submitting,workshop  workshop,proposal  proposal,2021  2021,annual  annual,pds  pds,event  event,sponsored  sponsored,cencal</t>
  </si>
  <si>
    <t>good,trouble  trouble,book  book,club  club,next  next,amp  amp,final  final,speaker  speaker,national  national,speaker  speaker,series</t>
  </si>
  <si>
    <t>student,leadership  leadership,day  shout,out  out,new  new,jersey  jersey,trio  trio,programs  programs,stakeholders  stakeholders,scholars  scholars,families</t>
  </si>
  <si>
    <t>ccbcmd,ucatonsville  ucatonsville,scholars  baltcops,#trioworks  scholars,enjoy  enjoy,day  day,washingtondc  washingtondc,intlspymuseum  intlspymuseum,baltcops  scholars,enjoyed  enjoyed,visiting</t>
  </si>
  <si>
    <t>great,time  time,iflyhouston  iflyhouston,great  great,way  way,learn  learn,bit  bit,more  more,physics  physics,indoor  indoor,skydiving</t>
  </si>
  <si>
    <t>coe,thanks  thanks,repbonamici  repbonamici,highlighting  highlighting,trio  trio,programs  programs,during  during,today's  today's,edlaborcmte  edlaborcmte,hearing  hearing,#trioworks</t>
  </si>
  <si>
    <t>5,years  years,ago  ago,today  today,presented  presented,first  first,independent  independent,research  research,project  project,mcnairunc  mcnairunc,5</t>
  </si>
  <si>
    <t>speaking,virtual  virtual,over  over,year  year,now  now,today  today,continue  continue,wayne  wayne,state  state,university  university,ub</t>
  </si>
  <si>
    <t>coetalk,thank  thank,much  much,#trioworks</t>
  </si>
  <si>
    <t>_maburnett,#trioworks  #trioworks,didn  didn,t  t,mcnair  mcnair,precollege  precollege,educational  educational,talent  talent,search  search,years  years,college</t>
  </si>
  <si>
    <t>6,years  years,working  working,trio  trio,student  student,support  support,services  services,#trioworks</t>
  </si>
  <si>
    <t>montanagearup,excited  excited,see  see,love  love,student  student,stories  stories,amplified  amplified,listen  listen,students  students,learn  learn,students</t>
  </si>
  <si>
    <t>trio,program  program,join  join,coetalk  coetalk,summer  summer,book  book,club  club,good  good,trouble  trouble,trio  trio,programs</t>
  </si>
  <si>
    <t>#trioworks,#ekunova  #ekunova,#firstgen  #firstgen,#peermentor  kentucky,favorite  #peermentor,#youngleader  public,health  favorite,part  #peermentor,#youngleaders  favorite,aspect  aspect,nova</t>
  </si>
  <si>
    <t>#mcnair,#trumanstate  #trioworks,#iammcnair  #iammcnair,#research  #research,#gradschool  #gradschool,#distinctbydesign  working,dr  #trumanstate,#biology  #biology,#trioworks  senior,truman  truman,mcnair</t>
  </si>
  <si>
    <t>bonus,tip  tip,talent  talent,search  search,program  program,great  great,job  job,assisting  assisting,students  students,#college  #college,#scholarship</t>
  </si>
  <si>
    <t>_maburnett,mcnairunc  mcnairunc,yes  yes,yes  yes,thanks  thanks,marketa  marketa,mcnair  mcnair,changed  changed,life  life,mcnair  mcnair,scholar</t>
  </si>
  <si>
    <t>students,planning  planning,transfer  transfer,spring  spring,2022  2022,semester  semester,csus  csus,application  application,filing  filing,period  period,august</t>
  </si>
  <si>
    <t>#trioworks,#fafsa</t>
  </si>
  <si>
    <t>york,state  state,fair  fair,heating  heating,up  up,find  find,memorial  memorial,hall  hall,east  east,near  near,games</t>
  </si>
  <si>
    <t>little,late  late,posting  posting,thank  thank,repgwenmoore  repgwenmoore,participating  participating,coe  coe,s  s,#goodtrouble  #goodtrouble,book  book,club</t>
  </si>
  <si>
    <t>#popquiz,answer  answer,think  think,correct  correct,#trio  #trio,#trioworks  #trioworks,#uw  #uw,#ets  #meettheteam,dina  dina,ibarra  ibarra,#uw</t>
  </si>
  <si>
    <t>fiu_sss,discussing  discussing,love  love,reconciliation  reconciliation,two  two,last  last,chapters  chapters,good  good,trouble  trouble,joe  joe,saunders</t>
  </si>
  <si>
    <t>summer,component  component,coming  coming,end  end,please  please,jot  jot,dates  dates,down  down,read  read,carefully  carefully,see</t>
  </si>
  <si>
    <t>college,tour  capstone,project  tour,tampa  tampa,fl  fl,visiting  visiting,university  university,south  south,florida  florida,#trioworks  project,trio</t>
  </si>
  <si>
    <t>Top Word Pairs in Tweet by Salience</t>
  </si>
  <si>
    <t>lead,life  life,purpose  trio,programs  learn,more  here,#trioworks  coe,thanks  trio,alumna  more,here  good,trouble  u,s</t>
  </si>
  <si>
    <t>intlspymuseum,baltcops  washingtondc,intlspymuseum  scholars,enjoy  enjoy,day  day,washingtondc  summer,academy  academy,facilitator  facilitator,mrs  mrs,sicily  sicily,faulkner</t>
  </si>
  <si>
    <t>scholars,learning  learning,basic  basic,americanasl  americanasl,added  added,language  language,enrichment  enrichment,summer  academy,facilitator  facilitator,mrs  mrs,sicily</t>
  </si>
  <si>
    <t>ucatonsville,scholars  summer,academy  baltcops,#trioworks  transitioning,one  one,activity  activity,another  another,ccbcmd  ucatonsville,#trioworks  scholars,learning  learning,basic</t>
  </si>
  <si>
    <t>lead,life  life,purpose  consider,submitting  submitting,workshop  workshop,proposal  proposal,2021  2021,annual  annual,pds  pds,event  event,sponsored</t>
  </si>
  <si>
    <t>washingtondc,intlspymuseum  intlspymuseum,baltcops  scholars,enjoyed  enjoyed,visiting  visiting,washingtondc  washingtondc,going  going,different  different,famous  famous,monuments  monuments,baltcops</t>
  </si>
  <si>
    <t>#peermentor,#youngleader  public,health  favorite,part  #peermentor,#youngleaders  favorite,aspect  aspect,nova  nova,program  kentucky,favorite  excited,announce  announce,nova's</t>
  </si>
  <si>
    <t>#studio,#modernart  #modernart,#gravação  frevo,bicudo  bicudo,theme  theme,comp  comp,na  na,housemusicbr  housemusicbr,#fishmanpickups  take,bom  bom,take</t>
  </si>
  <si>
    <t>truman,mcnair  mcnair,scholar  scholar,majoring  majoring,biology  biology,working  dr,stephanie  truman,state  state,university  university,majoring  creative,writing</t>
  </si>
  <si>
    <t>capstone,project  college,tour  tour,tampa  tampa,fl  trio,spirit  fl,visiting  visiting,university  university,south  south,florida  florida,#trioworks</t>
  </si>
  <si>
    <t>Red</t>
  </si>
  <si>
    <t>250, 15, 15</t>
  </si>
  <si>
    <t>244, 35, 35</t>
  </si>
  <si>
    <t>230, 74, 74</t>
  </si>
  <si>
    <t>225, 94, 94</t>
  </si>
  <si>
    <t>218, 113, 113</t>
  </si>
  <si>
    <t>212, 133, 133</t>
  </si>
  <si>
    <t>205, 153, 153</t>
  </si>
  <si>
    <t>199, 172, 172</t>
  </si>
  <si>
    <t>192, 192, 192</t>
  </si>
  <si>
    <t>G1: #trioworks trio amp lewis lead life purpose coetalk book good</t>
  </si>
  <si>
    <t>G2: years 5 #trioworks research still dissertation mcnair mcnairunc changed life</t>
  </si>
  <si>
    <t>G3: ccbcmd ucatonsville #trioworks scholars baltcops washingtondc learning summer academy day</t>
  </si>
  <si>
    <t>G4: drones w #trioworks neiu ccas_neiu morton201 chipubschools amazing</t>
  </si>
  <si>
    <t>G5: #trioworks college tour fl capstone project university trio students working</t>
  </si>
  <si>
    <t>G6: trio #trioworks thanks students #nslc2021 amp</t>
  </si>
  <si>
    <t>G7: doubling pell grant help more students earn degree secure bright</t>
  </si>
  <si>
    <t>G8: #trioworks happy shout out new jersey trio programs stakeholders scholars</t>
  </si>
  <si>
    <t>G9: excited next year cracking good start streets up yall thank</t>
  </si>
  <si>
    <t>G10: great more #upwardbound #ub #ubsjc #trioworks</t>
  </si>
  <si>
    <t>G11: #trioworks #ekunova #firstgen program meet kentucky nova #peermentor junior favorite</t>
  </si>
  <si>
    <t>G13: application help</t>
  </si>
  <si>
    <t>G14: help congratulate incredible kumcnair scholars successful summer undergraduate research discover</t>
  </si>
  <si>
    <t>G15: students #trioworks</t>
  </si>
  <si>
    <t>G16: #doublebassist #fishmanpickups #ampegsvt #musicaddict #musica #bassistsofinstagram #modernjazz #jazztrio #bassguitars #gigs</t>
  </si>
  <si>
    <t>G17: 31 years ago americans disabilities act established #trioworks #triosssmur #miamiohregionals</t>
  </si>
  <si>
    <t>Edge Weight▓1▓11▓0▓True▓Silver▓Red▓▓Edge Weight▓1▓11▓0▓3▓10▓False▓Edge Weight▓1▓11▓0▓40▓20▓False▓▓0▓0▓0▓True▓Black▓Black▓▓Betweenness Centrality▓0▓248▓3▓20▓200▓False▓▓0▓0▓0▓0▓0▓False▓▓0▓0▓0▓0▓0▓False▓▓0▓0▓0▓0▓0▓False</t>
  </si>
  <si>
    <t>Workbook Settings 3</t>
  </si>
  <si>
    <t>Vertices[Listed Count]</t>
  </si>
  <si>
    <t>&lt;?xml version="1.0" encoding="utf-8"?&gt;_x000D_
&lt;configuration&gt;_x000D_
  &lt;configSections&gt;_x000D_
    &lt;sectionGroup name="userSettings" type="System.Configuration.UserSettingsGroup, System, Version=2.0.0.0, Culture=neutral, PublicKeyToken=b77a5c561934e089"&gt;_x000D_
      &lt;section name="DynamicFiltersUserSettings"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 name="MergeDuplicateEdgesUserSettings"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&lt;DynamicFiltersUserSettings&gt;_x000D_
      &lt;setting name="FilterNonNumericCells" serializeAs="String"&gt;_x000D_
        &lt;value&gt;False&lt;/value&gt;_x000D_
      &lt;/setting&gt;_x000D_
      &lt;setting name="FilteredAlpha" serializeAs="String"&gt;_x000D_
        &lt;value&gt;0&lt;/value&gt;_x000D_
      &lt;/setting&gt;_x000D_
    &lt;/DynamicFiltersUserSettings&gt;_x000D_
    &lt;AutoFillUserSettings3&gt;_x000D_
      &lt;setting name="VertexColorDetails" serializeAs="String"&gt;_x000D_
        &lt;value&gt;False	False	0	10	241, 137, 4	46, 7, 195	False	False	True&lt;/value&gt;_x000D_
      &lt;/setting&gt;_x000D_
      &lt;setting name="EdgeLabelSourceColumnName" serializeAs="String"&gt;_x000D_
        &lt;value /&gt;_x000D_
      &lt;/setting&gt;_x000D_
      &lt;setting name="VertexXSourceColumnName" serializeAs="String"&gt;_x000D_
        &lt;value /&gt;_x000D_
      &lt;/setting&gt;_x000D_
      &lt;setting name="VertexLayoutOrderSourceColumnName" serializeAs="String"&gt;_x000D_
        &lt;value&gt;Betweenness Centrality&lt;/value&gt;_x000D_
      &lt;/setting&gt;_x000D_
      &lt;setting name="VertexRadiusSourceColumnName" serializeAs="String"&gt;_x000D_
        &lt;value&gt;Betweenness Centrality&lt;/value&gt;_x000D_
      &lt;/setting&gt;_x000D_
      &lt;setting name="EdgeColorDetails" serializeAs="String"&gt;_x000D_
        &lt;value&gt;False	False	0	0	Silver	Red	True	False	True&lt;/value&gt;_x000D_
      &lt;/setting&gt;_x000D_
      &lt;setting name="VertexLabelFillColorDetails" serializeAs="String"&gt;_x000D_
        &lt;value&gt;False	False	0	10	241, 137, 4	46, 7, 195	False	False	True&lt;/value&gt;_x000D_
      &lt;/setting&gt;_x000D_
      &lt;setting name="VertexShapeSourceColumnName" serializeAs="String"&gt;_x000D_
        &lt;value /&gt;_x000D_
      &lt;/setting&gt;_x000D_
      &lt;setting name="VertexPolarRSourceColumnName" serializeAs="String"&gt;_x000D_
        &lt;value /&gt;_x000D_
      &lt;/setting&gt;_x000D_
      &lt;setting name="EdgeVisibilityDetails" serializeAs="String"&gt;_x000D_
        &lt;value&gt;GreaterThan	0	Show	Skip&lt;/value&gt;_x000D_
      &lt;/setting&gt;_x000D_
      &lt;setting name="VertexAlphaDetails" serializeAs="String"&gt;_x000D_
        &lt;value&gt;False	False	0	100	10	100	False	False&lt;/value&gt;_x000D_
      &lt;/setting&gt;_x000D_
      &lt;setting name="VertexLabelFillColorSourceColumnName" serializeAs="String"&gt;_x000D_
        &lt;value /&gt;_x000D_
      &lt;/setting&gt;_x000D_
      &lt;setting name="GroupCollapsedSourceColumnName" serializeAs="String"&gt;_x000D_
        &lt;value /&gt;_x000D_
      &lt;/setting&gt;_x000D_
      &lt;setting name="VertexLabelPositionDetails" serializeAs="String"&gt;_x000D_
        &lt;value&gt;GreaterThan	0	Bottom Center	Nowhere&lt;/value&gt;_x000D_
      &lt;/setting&gt;_x000D_
      &lt;setting name="VertexShapeDetails" serializeAs="String"&gt;_x000D_
        &lt;value&gt;GreaterThan	0	Solid Square	Disk&lt;/value&gt;_x000D_
      &lt;/setting&gt;_x000D_
      &lt;setting name="GroupCollapsedDetails" serializeAs="String"&gt;_x000D_
        &lt;value&gt;GreaterThan	0	Yes	No&lt;/value&gt;_x000D_
      &lt;/setting&gt;_x000D_
      &lt;setting name="EdgeWidthDetails" serializeAs="String"&gt;_x000D_
        &lt;value&gt;False	False	0	0	3	10	True	False&lt;/value&gt;_x000D_
      &lt;/setting&gt;_x000D_
      &lt;setting name="VertexPolarRDetails" serializeAs="String"&gt;_x000D_
        &lt;value&gt;False	False	0	0	0	1	False	False&lt;/value&gt;_x000D_
      &lt;/setting&gt;_x000D_
      &lt;setting name="VertexAlphaSourceColumnName" serializeAs="String"&gt;_x000D_
        &lt;value /&gt;_x000D_
      &lt;/setting&gt;_x000D_
      &lt;setting name="VertexVisibilitySourceColumnName" serializeAs="String"&gt;_x000D_
        &lt;value /&gt;_x000D_
      &lt;/setting&gt;_x000D_
      &lt;setting name="VertexLabelSourceColumnName" serializeAs="String"&gt;_x000D_
        &lt;value&gt;Vertex&lt;/value&gt;_x000D_
      &lt;/se</t>
  </si>
  <si>
    <t>tting&gt;_x000D_
      &lt;setting name="VertexToolTipSourceColumnName" serializeAs="String"&gt;_x000D_
        &lt;value /&gt;_x000D_
      &lt;/setting&gt;_x000D_
      &lt;setting name="EdgeWidthSourceColumnName" serializeAs="String"&gt;_x000D_
        &lt;value&gt;Edge Weight&lt;/value&gt;_x000D_
      &lt;/setting&gt;_x000D_
      &lt;setting name="EdgeAlphaSourceColumnName" serializeAs="String"&gt;_x000D_
        &lt;value&gt;Edge Weight&lt;/value&gt;_x000D_
      &lt;/setting&gt;_x000D_
      &lt;setting name="VertexPolarAngleSourceColumnName" serializeAs="String"&gt;_x000D_
        &lt;value /&gt;_x000D_
      &lt;/setting&gt;_x000D_
      &lt;setting name="EdgeStyleSourceColumnName" serializeAs="String"&gt;_x000D_
        &lt;value /&gt;_x000D_
      &lt;/setting&gt;_x000D_
      &lt;setting name="EdgeStyleDetails" serializeAs="String"&gt;_x000D_
        &lt;value&gt;GreaterThan	0	Solid	Dash&lt;/value&gt;_x000D_
      &lt;/setting&gt;_x000D_
      &lt;setting name="VertexPolarAngleDetails" serializeAs="String"&gt;_x000D_
        &lt;value&gt;False	False	0	0	0	359	False	False&lt;/value&gt;_x000D_
      &lt;/setting&gt;_x000D_
      &lt;setting name="VertexYSourceColumnName" serializeAs="String"&gt;_x000D_
        &lt;value /&gt;_x000D_
      &lt;/setting&gt;_x000D_
      &lt;setting name="EdgeVisibilitySourceColumnName" serializeAs="String"&gt;_x000D_
        &lt;value /&gt;_x000D_
      &lt;/setting&gt;_x000D_
      &lt;setting name="VertexRadiusDetails" serializeAs="String"&gt;_x000D_
        &lt;value&gt;False	False	0	0	20	200	True	False&lt;/value&gt;_x000D_
      &lt;/setting&gt;_x000D_
      &lt;setting name="EdgeColorSourceColumnName" serializeAs="String"&gt;_x000D_
        &lt;value&gt;Edge Weight&lt;/value&gt;_x000D_
      &lt;/setting&gt;_x000D_
      &lt;setting name="VertexXDetails" serializeAs="String"&gt;_x000D_
        &lt;value&gt;False	False	0	0	0	9999	False	False&lt;/value&gt;_x000D_
      &lt;/setting&gt;_x000D_
      &lt;setting name="GroupLabelSourceColumnName" serializeAs="String"&gt;_x000D_
        &lt;value&gt;Top Words in Tweet&lt;/value&gt;_x000D_
      &lt;/setting&gt;_x000D_
      &lt;setting name="VertexColorSourceColumnName" serializeAs="String"&gt;_x000D_
        &lt;value /&gt;_x000D_
      &lt;/setting&gt;_x000D_
      &lt;setting name="EdgeAlphaDetails" serializeAs="String"&gt;_x000D_
        &lt;value&gt;False	False	0	0	40	20	True	False&lt;/value&gt;_x000D_
      &lt;/setting&gt;_x000D_
      &lt;setting name="VertexLabelPositionSourceColumnName" serializeAs="String"&gt;_x000D_
        &lt;value /&gt;_x000D_
      &lt;/setting&gt;_x000D_
      &lt;setting name="VertexLayoutOrderDetails" serializeAs="String"&gt;_x000D_
        &lt;value&gt;False	False	0	0	1	9999	False	False&lt;/value&gt;_x000D_
      &lt;/setting&gt;_x000D_
      &lt;setting name="VertexVisibilityDetails" serializeAs="String"&gt;_x000D_
        &lt;value&gt;GreaterThan	0	Show if in an Edge	Skip&lt;/value&gt;_x000D_
      &lt;/setting&gt;_x000D_
      &lt;setting name="GroupLabelDetails" serializeAs="String"&gt;_x000D_
        &lt;value&gt;True&lt;/value&gt;_x000D_
      &lt;/setting&gt;_x000D_
      &lt;setting name="VertexYDetails" serializeAs="String"&gt;_x000D_
        &lt;value&gt;False	False	0	0	0	9999	False	False&lt;/value&gt;_x000D_
      &lt;/setting&gt;_x000D_
    &lt;/AutoFillUserSettings3&gt;_x000D_
    &lt;GraphMetricUserSettings&gt;_x000D_
      &lt;setting name="GraphMetricsToCalculate" serializeAs="String"&gt;_x000D_
        &lt;value&gt;TwitterSearchNetworkTopItems&lt;/value&gt;_x000D_
      &lt;/setting&gt;_x000D_
      &lt;setting name="TimeSeriesUserSettings" serializeAs="String"&gt;_x000D_
        &lt;value&gt;TimeColumnName░Relationship Date (UTC)▓TimeSlice░Days▓UniqueEdges░True▓UniqueColumnName░Imported ID&lt;/value&gt;_x000D_
      &lt;/setting&gt;_x000D_
      &lt;setting name="TopNByMetricsToCalculate" serializeAs="Xml"&gt;_x000D_
        &lt;value&gt;_x000D_
          &lt;ArrayOfTopNByMetricUserSettings xmlns:xsd="http://www.w3.org/2001/XMLSchema"_x000D_
            xmlns:xsi="http://www.w3.org/2001/XMLSchema-instance" /&gt;_x000D_
        &lt;/value&gt;_x000D_
      &lt;/setting&gt;_x000D_
    &lt;/GraphMetricUserSettings&gt;_x000D_
    &lt;LayoutUserSettings&gt;_x000D_
      &lt;setting name="Layout" serializeAs="String"&gt;_x000D_
        &lt;value&gt;FruchtermanReingold&lt;/value&gt;_x000D_
      &lt;/setting&gt;_x000D_
      &lt;setting name="FruchtermanReingoldIterations" serializeAs="String"&gt;_x000D_
        &lt;value&gt;10&lt;/value&gt;_x000D_
      &lt;/setting&gt;_x000D_
      &lt;setting name="IntergroupEdgeStyle" serializeAs="String"&gt;_x000D_
        &lt;value&gt;Show&lt;/value&gt;_x000D_
      &lt;/setting&gt;_x000D_
      &lt;setting name="FruchtermanReingoldC" serializeAs="String"&gt;_x000D_
        &lt;value&gt;3&lt;/value&gt;_x000D_
      &lt;/setting&gt;_x000D_
      &lt;setting name="BoxLayoutAlgorithm" serializeAs="String"&gt;_x000D_
        &lt;value&gt;Treemap&lt;/value&gt;_x000D_
      &lt;/setting&gt;_x000D_
      &lt;setting name="ImproveLayoutOfGroups" serializeAs="String"&gt;_x000D_
        &lt;value&gt;False&lt;/value&gt;_x000D_
      &lt;/setting&gt;_x000D_
      &lt;setting name="LayoutStyle" serializeAs="String"&gt;_x000D_
        &lt;value&gt;UseGroups&lt;/value&gt;_x000D_
      &lt;/setting&gt;_x000D_
      &lt;setting name="GroupRectanglePenWidth" serializeAs="String"&gt;_x000D_
        &lt;value&gt;2&lt;/value&gt;_x000D_
      &lt;/setting&gt;_x000D_
      &lt;setting name="Margin" serializeAs="String"&gt;_x000D_
        &lt;value&gt;5&lt;/value&gt;_x000D_
      &lt;/setting&gt;_x000D_
    &lt;/LayoutUserSettings&gt;_x000D_
    &lt;GroupUserSettings&gt;_x000D_
      &lt;setting name="ReadGroups" serializeAs="String"&gt;_x000D_
        &lt;value&gt;True&lt;/value&gt;_x000D_
      &lt;/setting&gt;_x000D_
    &lt;/GroupUserSettings&gt;_x000D_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&lt;ClusterUserSettings&gt;_x000D_
      &lt;setting name="PutNeighborlessVerticesInOneCluster" serializeAs="String"&gt;_x000D_
        &lt;value&gt;True&lt;/value&gt;_x000D_
      &lt;/setting&gt;_x000D_
      &lt;setting name="ClusterAlgorithm" serializeAs="String"&gt;_x000D_
        &lt;value&gt;ClausetNewmanMoore&lt;/value&gt;_x000D_
      &lt;/setting&gt;_x000D_
    &lt;/ClusterUserSettings&gt;_x000D_
    &lt;MergeDuplicateEdgesUserSettings&gt;_x000D_
      &lt;setting name="ThirdColumnNameForDuplicateDetection" serializeAs="String"&gt;_x000D_
        &lt;value /&gt;_x000D_
      &lt;/setting&gt;_x000D_
      &lt;setting name="DeleteDuplicates" serializeAs="String"&gt;_x000D_
        &lt;value&gt;False&lt;/value&gt;_x000D_
      &lt;/setting&gt;_x000D_
      &lt;setting name="CountDuplicates" serializeAs="String"&gt;_x000D_
        &lt;value&gt;True&lt;/value&gt;_x000D_
      &lt;/setting&gt;_x000D_
    &lt;/MergeDuplicateEdgesUserSettings&gt;_x000D_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&lt;value&gt;0.95&lt;/value&gt;_x000D_
      &lt;/setting&gt;_x000D_
    &lt;/GraphZoomAndScaleUserSettings&gt;_x000D_
    &lt;GeneralUse</t>
  </si>
  <si>
    <t>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name="EdgeColor" serializeAs="String"&gt;_x000D_
        &lt;value&gt;0, 128, 255&lt;/value&gt;_x000D_
      &lt;/setting&gt;_x000D_
      &lt;setting name="AxisFont" serializeAs="String"&gt;_x000D_
        &lt;value&gt;Microsoft Sans Serif, 8.25pt&lt;/value&gt;_x000D_
      &lt;/setting&gt;_x000D_
      &lt;setting name="EdgeBezierDisplacementFactor" serializeAs="String"&gt;_x000D_
        &lt;value&gt;0.2&lt;/value&gt;_x000D_
      &lt;/setting&gt;_x000D_
      &lt;setting name="BackgroundImageUri" serializeAs="String"&gt;_x000D_
        &lt;value /&gt;_x000D_
      &lt;/setting&gt;_x000D_
      &lt;setting name="VertexRadius" serializeAs="String"&gt;_x000D_
        &lt;value&gt;1.5&lt;/value&gt;_x000D_
      &lt;/setting&gt;_x000D_
      &lt;setting name="EdgeWidth" serializeAs="String"&gt;_x000D_
        &lt;value&gt;1&lt;/value&gt;_x000D_
      &lt;/setting&gt;_x000D_
      &lt;setting name="RelativeArrowSize" serializeAs="String"&gt;_x000D_
        &lt;value&gt;2&lt;/value&gt;_x000D_
      &lt;/setting&gt;_x000D_
      &lt;setting name="VertexEffect" serializeAs="String"&gt;_x000D_
        &lt;value&gt;None&lt;/value&gt;_x000D_
      &lt;/setting&gt;_x000D_
      &lt;setting name="VertexRelativeOuterGlowSize" serializeAs="String"&gt;_x000D_
        &lt;value&gt;3&lt;/value&gt;_x000D_
      &lt;/setting&gt;_x000D_
      &lt;setting name="VertexColor" serializeAs="String"&gt;_x000D_
        &lt;value&gt;Black&lt;/value&gt;_x000D_
      &lt;/setting&gt;_x000D_
      &lt;setting name="VertexAlpha" serializeAs="String"&gt;_x000D_
        &lt;value&gt;100&lt;/value&gt;_x000D_
      &lt;/setting&gt;_x000D_
      &lt;setting name="LabelUserSettings" serializeAs="String"&gt;_x000D_
        &lt;value&gt;Microsoft Sans Serif, 8.25pt	White	BottomCenter	2147483647	2147483647	Black	True	200	Black	86	MiddleCenter	Microsoft Sans Serif, 8.25pt	Microsoft Sans Serif, 14.25pt&lt;/value&gt;_x000D_
      &lt;/setting&gt;_x000D_
      &lt;setting name="SelectedVertexColor" serializeAs="String"&gt;_x000D_
        &lt;value&gt;Red&lt;/value&gt;_x000D_
      &lt;/setting&gt;_x000D_
      &lt;setting name="BackColor" serializeAs="String"&gt;_x000D_
        &lt;value&gt;White&lt;/value&gt;_x000D_
      &lt;/setting&gt;_x000D_
      &lt;setting name="AutoSelect" serializeAs="String"&gt;_x000D_
        &lt;value&gt;True&lt;/value&gt;_x000D_
      &lt;/setting&gt;_x000D_
      &lt;setting name="EdgeAlpha" serializeAs="String"&gt;_x000D_
        &lt;value&gt;100&lt;/value&gt;_x000D_
      &lt;/setting&gt;_x000D_
      &lt;setting name="AutoReadWorkbook" serializeAs="String"&gt;_x000D_
        &lt;value&gt;True&lt;/value&gt;_x000D_
      &lt;/setting&gt;_x000D_
      &lt;setting name="EdgeBundlerStraightening" serializeAs="String"&gt;_x000D_
        &lt;value&gt;0.15&lt;/value&gt;_x000D_
      &lt;/setting&gt;_x000D_
      &lt;setting name="VertexImageSize" serializeAs="String"&gt;_x000D_
        &lt;value&gt;100&lt;/value&gt;_x000D_
      &lt;/setting&gt;_x000D_
      &lt;setting name="SelectedEdgeColor" serializeAs="String"&gt;_x000D_
        &lt;value&gt;Red&lt;/value&gt;_x000D_
      &lt;/setting&gt;_x000D_
      &lt;setting name="VertexShape" serializeAs="String"&gt;_x000D_
        &lt;value&gt;Disk&lt;/value&gt;_x000D_
      &lt;/setting&gt;_x000D_
      &lt;setting name="EdgeCurveStyle" serializeAs="String"&gt;_x000D_
        &lt;value&gt;Straight&lt;/value&gt;_x000D_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</si>
</sst>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8" formatCode="&quot;$&quot;#,##0.00_);[Red]\(&quot;$&quot;#,##0.00\)"/>
    <numFmt numFmtId="164" formatCode="0.0"/>
    <numFmt numFmtId="165" formatCode="#,##0.0"/>
    <numFmt numFmtId="166" formatCode="#,##0.000"/>
    <numFmt numFmtId="167" formatCode="0.000"/>
  </numFmts>
  <fonts count="15"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
      <u/>
      <sz val="11"/>
      <color rgb="FF0070C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40">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Alignment="1"/>
    <xf numFmtId="0" fontId="13" fillId="0" borderId="0" xfId="9" applyFill="1" applyAlignment="1"/>
    <xf numFmtId="0" fontId="0" fillId="0" borderId="0" xfId="0" quotePrefix="1" applyAlignment="1"/>
    <xf numFmtId="0" fontId="0" fillId="0" borderId="0" xfId="0" quotePrefix="1" applyFill="1" applyAlignment="1"/>
    <xf numFmtId="14" fontId="0" fillId="0" borderId="0" xfId="0" applyNumberFormat="1" applyAlignment="1"/>
    <xf numFmtId="14" fontId="0" fillId="0" borderId="0" xfId="0" applyNumberFormat="1"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0" fontId="0" fillId="0" borderId="0" xfId="2" applyNumberFormat="1" applyFont="1" applyBorder="1" applyAlignment="1"/>
    <xf numFmtId="0" fontId="13" fillId="5" borderId="1" xfId="9" applyNumberFormat="1" applyFill="1" applyBorder="1" applyAlignment="1"/>
    <xf numFmtId="0" fontId="11" fillId="5" borderId="11" xfId="4" applyNumberFormat="1" applyFont="1" applyBorder="1" applyAlignment="1"/>
    <xf numFmtId="0" fontId="11" fillId="2" borderId="11" xfId="1" applyNumberFormat="1" applyFont="1" applyBorder="1" applyAlignment="1"/>
    <xf numFmtId="0" fontId="0" fillId="0" borderId="0" xfId="0" applyFill="1" applyBorder="1" applyAlignment="1"/>
    <xf numFmtId="22" fontId="0" fillId="0" borderId="0" xfId="0" applyNumberFormat="1" applyFill="1" applyBorder="1" applyAlignment="1"/>
    <xf numFmtId="0" fontId="0" fillId="0" borderId="0" xfId="0" quotePrefix="1" applyFill="1" applyBorder="1" applyAlignment="1"/>
    <xf numFmtId="0" fontId="13" fillId="0" borderId="0" xfId="9" applyFill="1" applyBorder="1" applyAlignment="1"/>
    <xf numFmtId="14" fontId="0" fillId="0" borderId="0" xfId="0" applyNumberFormat="1" applyFill="1" applyBorder="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8" fontId="0" fillId="0" borderId="0" xfId="3" applyNumberFormat="1" applyFont="1" applyAlignment="1"/>
    <xf numFmtId="0" fontId="11" fillId="5" borderId="1" xfId="4" applyNumberFormat="1" applyFont="1"/>
    <xf numFmtId="0" fontId="11" fillId="2" borderId="1" xfId="1" applyNumberFormat="1" applyFont="1"/>
    <xf numFmtId="49" fontId="0" fillId="0" borderId="7" xfId="3" applyNumberFormat="1" applyFont="1" applyBorder="1" applyAlignment="1"/>
    <xf numFmtId="0" fontId="11" fillId="5" borderId="1" xfId="4" applyNumberFormat="1" applyFont="1" applyBorder="1"/>
    <xf numFmtId="0" fontId="11" fillId="5" borderId="11" xfId="4" applyNumberFormat="1" applyFont="1" applyBorder="1"/>
    <xf numFmtId="0" fontId="0" fillId="5" borderId="11" xfId="4" applyNumberFormat="1" applyFont="1" applyBorder="1"/>
    <xf numFmtId="49" fontId="6" fillId="6" borderId="11" xfId="6" applyNumberFormat="1" applyBorder="1"/>
    <xf numFmtId="0" fontId="0" fillId="3" borderId="11" xfId="7" applyNumberFormat="1" applyFont="1" applyBorder="1"/>
    <xf numFmtId="0" fontId="11" fillId="2" borderId="11" xfId="1" applyNumberFormat="1" applyFont="1" applyBorder="1"/>
    <xf numFmtId="0" fontId="0" fillId="2" borderId="11" xfId="1" applyNumberFormat="1" applyFont="1" applyBorder="1"/>
    <xf numFmtId="0" fontId="0" fillId="0" borderId="0" xfId="3" applyFont="1" applyAlignment="1"/>
    <xf numFmtId="0" fontId="0" fillId="0" borderId="0" xfId="3" applyFont="1" applyAlignment="1">
      <alignment wrapText="1"/>
    </xf>
    <xf numFmtId="0" fontId="5" fillId="4" borderId="1" xfId="5" applyNumberFormat="1" applyAlignment="1">
      <alignment wrapText="1"/>
    </xf>
    <xf numFmtId="0" fontId="5" fillId="5" borderId="1" xfId="8" applyNumberFormat="1" applyAlignment="1"/>
    <xf numFmtId="164" fontId="0" fillId="5" borderId="1" xfId="4" applyNumberFormat="1" applyFont="1" applyBorder="1" applyAlignment="1"/>
    <xf numFmtId="0" fontId="11" fillId="5" borderId="1" xfId="4" applyNumberFormat="1" applyFont="1" applyBorder="1" applyAlignment="1"/>
    <xf numFmtId="49" fontId="6" fillId="6" borderId="1" xfId="6" applyNumberFormat="1" applyBorder="1" applyAlignment="1"/>
    <xf numFmtId="0" fontId="11" fillId="2" borderId="1" xfId="1" applyNumberFormat="1" applyFont="1" applyBorder="1" applyAlignment="1"/>
    <xf numFmtId="0" fontId="0" fillId="2" borderId="1" xfId="1" applyNumberFormat="1" applyFont="1" applyBorder="1"/>
    <xf numFmtId="0" fontId="0" fillId="0" borderId="7" xfId="3" applyFont="1" applyBorder="1" applyAlignment="1"/>
    <xf numFmtId="0" fontId="0" fillId="0" borderId="0" xfId="3" applyFont="1" applyBorder="1" applyAlignment="1"/>
    <xf numFmtId="0" fontId="0" fillId="0" borderId="0" xfId="0" pivotButton="1"/>
    <xf numFmtId="0" fontId="0" fillId="0" borderId="0" xfId="0" applyAlignment="1">
      <alignment horizontal="left"/>
    </xf>
    <xf numFmtId="0" fontId="0" fillId="0" borderId="0" xfId="0" applyAlignment="1">
      <alignment horizontal="left" indent="1"/>
    </xf>
    <xf numFmtId="22" fontId="0" fillId="0" borderId="0" xfId="0" applyNumberFormat="1" applyAlignment="1">
      <alignment horizontal="left" indent="2"/>
    </xf>
    <xf numFmtId="49" fontId="0" fillId="0" borderId="0" xfId="0" applyNumberFormat="1" applyAlignment="1"/>
    <xf numFmtId="49" fontId="0" fillId="0" borderId="0" xfId="0" applyNumberFormat="1" applyFill="1" applyAlignment="1"/>
    <xf numFmtId="49" fontId="5" fillId="4" borderId="1" xfId="5" applyNumberFormat="1" applyAlignment="1">
      <alignment wrapText="1"/>
    </xf>
    <xf numFmtId="1" fontId="5" fillId="4" borderId="1" xfId="5" quotePrefix="1" applyNumberFormat="1" applyAlignment="1"/>
    <xf numFmtId="0" fontId="14" fillId="0" borderId="0" xfId="9" applyFont="1" applyAlignment="1"/>
    <xf numFmtId="0" fontId="14" fillId="0" borderId="0" xfId="9" applyFont="1" applyFill="1" applyAlignment="1"/>
  </cellXfs>
  <cellStyles count="10">
    <cellStyle name="Hyperlink" xfId="9" builtinId="8"/>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442">
    <dxf>
      <alignment horizontal="general" vertical="bottom" textRotation="0" wrapText="0" indent="0" justifyLastLine="0" shrinkToFit="0" readingOrder="0"/>
    </dxf>
    <dxf>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outline="0">
        <left/>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dxf>
    <dxf>
      <numFmt numFmtId="30" formatCode="@"/>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0" formatCode="General"/>
      <border outline="0">
        <right style="thin">
          <color theme="0"/>
        </right>
      </border>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border outline="0">
        <left style="thin">
          <color theme="0"/>
        </left>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30" formatCode="@"/>
      <alignment horizontal="general" vertical="bottom" textRotation="0" wrapText="0" indent="0" justifyLastLine="0" shrinkToFit="0" readingOrder="0"/>
      <border outline="0">
        <right style="thin">
          <color theme="0"/>
        </right>
      </border>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left style="thin">
          <color theme="0"/>
        </left>
        <right style="thin">
          <color theme="0"/>
        </righ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right style="thin">
          <color theme="0"/>
        </right>
      </border>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border outline="0">
        <right style="thin">
          <color theme="0"/>
        </right>
      </border>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xr9:uid="{00000000-0011-0000-FFFF-FFFF00000000}">
      <tableStyleElement type="wholeTable" dxfId="441"/>
      <tableStyleElement type="headerRow" dxfId="440"/>
    </tableStyle>
    <tableStyle name="NodeXL Table" pivot="0" count="1" xr9:uid="{00000000-0011-0000-FFFF-FFFF01000000}">
      <tableStyleElement type="headerRow" dxfId="43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0875-4E9E-A773-E2BD29A0C7D9}"/>
            </c:ext>
          </c:extLst>
        </c:ser>
        <c:dLbls>
          <c:showLegendKey val="0"/>
          <c:showVal val="0"/>
          <c:showCatName val="0"/>
          <c:showSerName val="0"/>
          <c:showPercent val="0"/>
          <c:showBubbleSize val="0"/>
        </c:dLbls>
        <c:gapWidth val="0"/>
        <c:axId val="1490199200"/>
        <c:axId val="1490191584"/>
      </c:barChart>
      <c:catAx>
        <c:axId val="1490199200"/>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490191584"/>
        <c:crosses val="autoZero"/>
        <c:auto val="1"/>
        <c:lblAlgn val="ctr"/>
        <c:lblOffset val="100"/>
        <c:noMultiLvlLbl val="0"/>
      </c:catAx>
      <c:valAx>
        <c:axId val="14901915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92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[TRIOworksJuly2021.xlsx]Time Series!TimeSeries</c:name>
    <c:fmtId val="0"/>
  </c:pivotSource>
  <c:chart>
    <c:title>
      <c:tx>
        <c:rich>
          <a:bodyPr/>
          <a:lstStyle/>
          <a:p>
            <a:pPr>
              <a:defRPr/>
            </a:pPr>
            <a:r>
              <a:rPr lang="en-US"/>
              <a:t>#TRIOworks from NodeXL Twitter Search Network</a:t>
            </a:r>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'Time Series'!$B$25</c:f>
              <c:strCache>
                <c:ptCount val="1"/>
                <c:pt idx="0">
                  <c:v>Total</c:v>
                </c:pt>
              </c:strCache>
            </c:strRef>
          </c:tx>
          <c:invertIfNegative val="0"/>
          <c:cat>
            <c:multiLvlStrRef>
              <c:f>'Time Series'!$A$26:$A$40</c:f>
              <c:multiLvlStrCache>
                <c:ptCount val="11"/>
                <c:lvl>
                  <c:pt idx="0">
                    <c:v>12-Jul</c:v>
                  </c:pt>
                  <c:pt idx="1">
                    <c:v>23-Jul</c:v>
                  </c:pt>
                  <c:pt idx="2">
                    <c:v>24-Jul</c:v>
                  </c:pt>
                  <c:pt idx="3">
                    <c:v>25-Jul</c:v>
                  </c:pt>
                  <c:pt idx="4">
                    <c:v>26-Jul</c:v>
                  </c:pt>
                  <c:pt idx="5">
                    <c:v>27-Jul</c:v>
                  </c:pt>
                  <c:pt idx="6">
                    <c:v>28-Jul</c:v>
                  </c:pt>
                  <c:pt idx="7">
                    <c:v>29-Jul</c:v>
                  </c:pt>
                  <c:pt idx="8">
                    <c:v>30-Jul</c:v>
                  </c:pt>
                  <c:pt idx="9">
                    <c:v>31-Jul</c:v>
                  </c:pt>
                  <c:pt idx="10">
                    <c:v>1-Aug</c:v>
                  </c:pt>
                </c:lvl>
                <c:lvl>
                  <c:pt idx="0">
                    <c:v>Jul</c:v>
                  </c:pt>
                  <c:pt idx="10">
                    <c:v>Aug</c:v>
                  </c:pt>
                </c:lvl>
                <c:lvl>
                  <c:pt idx="0">
                    <c:v>2021</c:v>
                  </c:pt>
                </c:lvl>
              </c:multiLvlStrCache>
            </c:multiLvlStrRef>
          </c:cat>
          <c:val>
            <c:numRef>
              <c:f>'Time Series'!$B$26:$B$40</c:f>
              <c:numCache>
                <c:formatCode>General</c:formatCode>
                <c:ptCount val="11"/>
                <c:pt idx="0">
                  <c:v>3</c:v>
                </c:pt>
                <c:pt idx="1">
                  <c:v>2</c:v>
                </c:pt>
                <c:pt idx="2">
                  <c:v>5</c:v>
                </c:pt>
                <c:pt idx="3">
                  <c:v>1</c:v>
                </c:pt>
                <c:pt idx="4">
                  <c:v>11</c:v>
                </c:pt>
                <c:pt idx="5">
                  <c:v>30</c:v>
                </c:pt>
                <c:pt idx="6">
                  <c:v>31</c:v>
                </c:pt>
                <c:pt idx="7">
                  <c:v>47</c:v>
                </c:pt>
                <c:pt idx="8">
                  <c:v>38</c:v>
                </c:pt>
                <c:pt idx="9">
                  <c:v>7</c:v>
                </c:pt>
                <c:pt idx="10">
                  <c:v>1</c:v>
                </c:pt>
              </c:numCache>
            </c:numRef>
          </c:val>
          <c:extLst>
            <c:ext xmlns:c16="http://schemas.microsoft.com/office/drawing/2014/chart" uri="{C3380CC4-5D6E-409C-BE32-E72D297353CC}">
              <c16:uniqueId val="{00000000-7DB5-41C6-BB50-72A75C2862F3}"/>
            </c:ext>
          </c:extLst>
        </c:ser>
        <c:dLbls>
          <c:showLegendKey val="0"/>
          <c:showVal val="0"/>
          <c:showCatName val="0"/>
          <c:showSerName val="0"/>
          <c:showPercent val="0"/>
          <c:showBubbleSize val="0"/>
        </c:dLbls>
        <c:gapWidth val="150"/>
        <c:axId val="27959535"/>
        <c:axId val="26359535"/>
      </c:barChart>
      <c:catAx>
        <c:axId val="27959535"/>
        <c:scaling>
          <c:orientation val="minMax"/>
        </c:scaling>
        <c:delete val="0"/>
        <c:axPos val="b"/>
        <c:numFmt formatCode="General" sourceLinked="1"/>
        <c:majorTickMark val="out"/>
        <c:minorTickMark val="none"/>
        <c:tickLblPos val="nextTo"/>
        <c:crossAx val="26359535"/>
        <c:crosses val="autoZero"/>
        <c:auto val="1"/>
        <c:lblAlgn val="ctr"/>
        <c:lblOffset val="100"/>
        <c:noMultiLvlLbl val="0"/>
      </c:catAx>
      <c:valAx>
        <c:axId val="26359535"/>
        <c:scaling>
          <c:orientation val="minMax"/>
        </c:scaling>
        <c:delete val="0"/>
        <c:axPos val="l"/>
        <c:majorGridlines/>
        <c:numFmt formatCode="General" sourceLinked="1"/>
        <c:majorTickMark val="out"/>
        <c:minorTickMark val="none"/>
        <c:tickLblPos val="nextTo"/>
        <c:crossAx val="27959535"/>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55</c:v>
                </c:pt>
              </c:strCache>
            </c:strRef>
          </c:tx>
          <c:spPr>
            <a:solidFill>
              <a:schemeClr val="accent1"/>
            </a:solidFill>
          </c:spPr>
          <c:invertIfNegative val="0"/>
          <c:cat>
            <c:numRef>
              <c:f>'Overall Metrics'!$F$2:$F$41</c:f>
              <c:numCache>
                <c:formatCode>#,##0.00</c:formatCode>
                <c:ptCount val="40"/>
                <c:pt idx="0">
                  <c:v>0</c:v>
                </c:pt>
                <c:pt idx="1">
                  <c:v>0.91176470588235292</c:v>
                </c:pt>
                <c:pt idx="2">
                  <c:v>1.8235294117647058</c:v>
                </c:pt>
                <c:pt idx="3">
                  <c:v>2.7352941176470589</c:v>
                </c:pt>
                <c:pt idx="4">
                  <c:v>3.6470588235294117</c:v>
                </c:pt>
                <c:pt idx="5">
                  <c:v>4.5588235294117645</c:v>
                </c:pt>
                <c:pt idx="6">
                  <c:v>5.4705882352941178</c:v>
                </c:pt>
                <c:pt idx="7">
                  <c:v>6.382352941176471</c:v>
                </c:pt>
                <c:pt idx="8">
                  <c:v>7.2941176470588243</c:v>
                </c:pt>
                <c:pt idx="9">
                  <c:v>8.2058823529411775</c:v>
                </c:pt>
                <c:pt idx="10">
                  <c:v>9.1176470588235308</c:v>
                </c:pt>
                <c:pt idx="11">
                  <c:v>10.029411764705884</c:v>
                </c:pt>
                <c:pt idx="12">
                  <c:v>10.941176470588237</c:v>
                </c:pt>
                <c:pt idx="13">
                  <c:v>11.852941176470591</c:v>
                </c:pt>
                <c:pt idx="14">
                  <c:v>12.764705882352944</c:v>
                </c:pt>
                <c:pt idx="15">
                  <c:v>13.676470588235297</c:v>
                </c:pt>
                <c:pt idx="16">
                  <c:v>14.58823529411765</c:v>
                </c:pt>
                <c:pt idx="17">
                  <c:v>15.500000000000004</c:v>
                </c:pt>
                <c:pt idx="18">
                  <c:v>16.411764705882355</c:v>
                </c:pt>
                <c:pt idx="19">
                  <c:v>17.323529411764707</c:v>
                </c:pt>
                <c:pt idx="20">
                  <c:v>18.235294117647058</c:v>
                </c:pt>
                <c:pt idx="21">
                  <c:v>19.147058823529409</c:v>
                </c:pt>
                <c:pt idx="22">
                  <c:v>20.058823529411761</c:v>
                </c:pt>
                <c:pt idx="23">
                  <c:v>20.970588235294112</c:v>
                </c:pt>
                <c:pt idx="24">
                  <c:v>21.882352941176464</c:v>
                </c:pt>
                <c:pt idx="25">
                  <c:v>22.794117647058815</c:v>
                </c:pt>
                <c:pt idx="26">
                  <c:v>23.705882352941167</c:v>
                </c:pt>
                <c:pt idx="27">
                  <c:v>24.617647058823518</c:v>
                </c:pt>
                <c:pt idx="28">
                  <c:v>25.52941176470587</c:v>
                </c:pt>
                <c:pt idx="29">
                  <c:v>26.441176470588221</c:v>
                </c:pt>
                <c:pt idx="30">
                  <c:v>27.352941176470573</c:v>
                </c:pt>
                <c:pt idx="31">
                  <c:v>28.264705882352924</c:v>
                </c:pt>
                <c:pt idx="32">
                  <c:v>29.176470588235276</c:v>
                </c:pt>
                <c:pt idx="33">
                  <c:v>30.088235294117627</c:v>
                </c:pt>
                <c:pt idx="34">
                  <c:v>31</c:v>
                </c:pt>
              </c:numCache>
            </c:numRef>
          </c:cat>
          <c:val>
            <c:numRef>
              <c:f>'Overall Metrics'!$G$2:$G$41</c:f>
              <c:numCache>
                <c:formatCode>General</c:formatCode>
                <c:ptCount val="40"/>
                <c:pt idx="0">
                  <c:v>55</c:v>
                </c:pt>
                <c:pt idx="1">
                  <c:v>40</c:v>
                </c:pt>
                <c:pt idx="2">
                  <c:v>11</c:v>
                </c:pt>
                <c:pt idx="3">
                  <c:v>4</c:v>
                </c:pt>
                <c:pt idx="4">
                  <c:v>3</c:v>
                </c:pt>
                <c:pt idx="5">
                  <c:v>3</c:v>
                </c:pt>
                <c:pt idx="6">
                  <c:v>1</c:v>
                </c:pt>
                <c:pt idx="7">
                  <c:v>0</c:v>
                </c:pt>
                <c:pt idx="8">
                  <c:v>0</c:v>
                </c:pt>
                <c:pt idx="9">
                  <c:v>0</c:v>
                </c:pt>
                <c:pt idx="10">
                  <c:v>1</c:v>
                </c:pt>
                <c:pt idx="11">
                  <c:v>0</c:v>
                </c:pt>
                <c:pt idx="12">
                  <c:v>0</c:v>
                </c:pt>
                <c:pt idx="13">
                  <c:v>0</c:v>
                </c:pt>
                <c:pt idx="14">
                  <c:v>0</c:v>
                </c:pt>
                <c:pt idx="15">
                  <c:v>0</c:v>
                </c:pt>
                <c:pt idx="16">
                  <c:v>1</c:v>
                </c:pt>
                <c:pt idx="17">
                  <c:v>0</c:v>
                </c:pt>
                <c:pt idx="18">
                  <c:v>0</c:v>
                </c:pt>
                <c:pt idx="19">
                  <c:v>0</c:v>
                </c:pt>
                <c:pt idx="20">
                  <c:v>0</c:v>
                </c:pt>
                <c:pt idx="21">
                  <c:v>0</c:v>
                </c:pt>
                <c:pt idx="22">
                  <c:v>0</c:v>
                </c:pt>
                <c:pt idx="23">
                  <c:v>1</c:v>
                </c:pt>
                <c:pt idx="24">
                  <c:v>1</c:v>
                </c:pt>
                <c:pt idx="25">
                  <c:v>0</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F046-4D23-BDE3-B1B8F930F791}"/>
            </c:ext>
          </c:extLst>
        </c:ser>
        <c:dLbls>
          <c:showLegendKey val="0"/>
          <c:showVal val="0"/>
          <c:showCatName val="0"/>
          <c:showSerName val="0"/>
          <c:showPercent val="0"/>
          <c:showBubbleSize val="0"/>
        </c:dLbls>
        <c:gapWidth val="0"/>
        <c:axId val="1490188320"/>
        <c:axId val="1490192128"/>
      </c:barChart>
      <c:catAx>
        <c:axId val="1490188320"/>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490192128"/>
        <c:crosses val="autoZero"/>
        <c:auto val="1"/>
        <c:lblAlgn val="ctr"/>
        <c:lblOffset val="100"/>
        <c:noMultiLvlLbl val="0"/>
      </c:catAx>
      <c:valAx>
        <c:axId val="14901921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88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38</c:v>
                </c:pt>
              </c:strCache>
            </c:strRef>
          </c:tx>
          <c:spPr>
            <a:solidFill>
              <a:schemeClr val="accent1"/>
            </a:solidFill>
          </c:spPr>
          <c:invertIfNegative val="0"/>
          <c:cat>
            <c:numRef>
              <c:f>'Overall Metrics'!$H$2:$H$41</c:f>
              <c:numCache>
                <c:formatCode>#,##0.00</c:formatCode>
                <c:ptCount val="40"/>
                <c:pt idx="0">
                  <c:v>0</c:v>
                </c:pt>
                <c:pt idx="1">
                  <c:v>0.29411764705882354</c:v>
                </c:pt>
                <c:pt idx="2">
                  <c:v>0.58823529411764708</c:v>
                </c:pt>
                <c:pt idx="3">
                  <c:v>0.88235294117647056</c:v>
                </c:pt>
                <c:pt idx="4">
                  <c:v>1.1764705882352942</c:v>
                </c:pt>
                <c:pt idx="5">
                  <c:v>1.4705882352941178</c:v>
                </c:pt>
                <c:pt idx="6">
                  <c:v>1.7647058823529413</c:v>
                </c:pt>
                <c:pt idx="7">
                  <c:v>2.0588235294117649</c:v>
                </c:pt>
                <c:pt idx="8">
                  <c:v>2.3529411764705883</c:v>
                </c:pt>
                <c:pt idx="9">
                  <c:v>2.6470588235294117</c:v>
                </c:pt>
                <c:pt idx="10">
                  <c:v>2.9411764705882351</c:v>
                </c:pt>
                <c:pt idx="11">
                  <c:v>3.2352941176470584</c:v>
                </c:pt>
                <c:pt idx="12">
                  <c:v>3.5294117647058818</c:v>
                </c:pt>
                <c:pt idx="13">
                  <c:v>3.8235294117647052</c:v>
                </c:pt>
                <c:pt idx="14">
                  <c:v>4.117647058823529</c:v>
                </c:pt>
                <c:pt idx="15">
                  <c:v>4.4117647058823524</c:v>
                </c:pt>
                <c:pt idx="16">
                  <c:v>4.7058823529411757</c:v>
                </c:pt>
                <c:pt idx="17">
                  <c:v>4.9999999999999991</c:v>
                </c:pt>
                <c:pt idx="18">
                  <c:v>5.2941176470588225</c:v>
                </c:pt>
                <c:pt idx="19">
                  <c:v>5.5882352941176459</c:v>
                </c:pt>
                <c:pt idx="20">
                  <c:v>5.8823529411764692</c:v>
                </c:pt>
                <c:pt idx="21">
                  <c:v>6.1764705882352926</c:v>
                </c:pt>
                <c:pt idx="22">
                  <c:v>6.470588235294116</c:v>
                </c:pt>
                <c:pt idx="23">
                  <c:v>6.7647058823529393</c:v>
                </c:pt>
                <c:pt idx="24">
                  <c:v>7.0588235294117627</c:v>
                </c:pt>
                <c:pt idx="25">
                  <c:v>7.3529411764705861</c:v>
                </c:pt>
                <c:pt idx="26">
                  <c:v>7.6470588235294095</c:v>
                </c:pt>
                <c:pt idx="27">
                  <c:v>7.9411764705882328</c:v>
                </c:pt>
                <c:pt idx="28">
                  <c:v>8.2352941176470562</c:v>
                </c:pt>
                <c:pt idx="29">
                  <c:v>8.5294117647058805</c:v>
                </c:pt>
                <c:pt idx="30">
                  <c:v>8.8235294117647047</c:v>
                </c:pt>
                <c:pt idx="31">
                  <c:v>9.117647058823529</c:v>
                </c:pt>
                <c:pt idx="32">
                  <c:v>9.4117647058823533</c:v>
                </c:pt>
                <c:pt idx="33">
                  <c:v>9.7058823529411775</c:v>
                </c:pt>
                <c:pt idx="34">
                  <c:v>10</c:v>
                </c:pt>
              </c:numCache>
            </c:numRef>
          </c:cat>
          <c:val>
            <c:numRef>
              <c:f>'Overall Metrics'!$I$2:$I$41</c:f>
              <c:numCache>
                <c:formatCode>General</c:formatCode>
                <c:ptCount val="40"/>
                <c:pt idx="0">
                  <c:v>38</c:v>
                </c:pt>
                <c:pt idx="1">
                  <c:v>0</c:v>
                </c:pt>
                <c:pt idx="2">
                  <c:v>0</c:v>
                </c:pt>
                <c:pt idx="3">
                  <c:v>20</c:v>
                </c:pt>
                <c:pt idx="4">
                  <c:v>0</c:v>
                </c:pt>
                <c:pt idx="5">
                  <c:v>0</c:v>
                </c:pt>
                <c:pt idx="6">
                  <c:v>44</c:v>
                </c:pt>
                <c:pt idx="7">
                  <c:v>0</c:v>
                </c:pt>
                <c:pt idx="8">
                  <c:v>0</c:v>
                </c:pt>
                <c:pt idx="9">
                  <c:v>0</c:v>
                </c:pt>
                <c:pt idx="10">
                  <c:v>9</c:v>
                </c:pt>
                <c:pt idx="11">
                  <c:v>0</c:v>
                </c:pt>
                <c:pt idx="12">
                  <c:v>0</c:v>
                </c:pt>
                <c:pt idx="13">
                  <c:v>2</c:v>
                </c:pt>
                <c:pt idx="14">
                  <c:v>0</c:v>
                </c:pt>
                <c:pt idx="15">
                  <c:v>0</c:v>
                </c:pt>
                <c:pt idx="16">
                  <c:v>0</c:v>
                </c:pt>
                <c:pt idx="17">
                  <c:v>3</c:v>
                </c:pt>
                <c:pt idx="18">
                  <c:v>0</c:v>
                </c:pt>
                <c:pt idx="19">
                  <c:v>0</c:v>
                </c:pt>
                <c:pt idx="20">
                  <c:v>0</c:v>
                </c:pt>
                <c:pt idx="21">
                  <c:v>0</c:v>
                </c:pt>
                <c:pt idx="22">
                  <c:v>0</c:v>
                </c:pt>
                <c:pt idx="23">
                  <c:v>3</c:v>
                </c:pt>
                <c:pt idx="24">
                  <c:v>0</c:v>
                </c:pt>
                <c:pt idx="25">
                  <c:v>0</c:v>
                </c:pt>
                <c:pt idx="26">
                  <c:v>0</c:v>
                </c:pt>
                <c:pt idx="27">
                  <c:v>1</c:v>
                </c:pt>
                <c:pt idx="28">
                  <c:v>0</c:v>
                </c:pt>
                <c:pt idx="29">
                  <c:v>0</c:v>
                </c:pt>
                <c:pt idx="30">
                  <c:v>1</c:v>
                </c:pt>
                <c:pt idx="31">
                  <c:v>0</c:v>
                </c:pt>
                <c:pt idx="32">
                  <c:v>0</c:v>
                </c:pt>
                <c:pt idx="33">
                  <c:v>0</c:v>
                </c:pt>
                <c:pt idx="34">
                  <c:v>1</c:v>
                </c:pt>
              </c:numCache>
            </c:numRef>
          </c:val>
          <c:extLst>
            <c:ext xmlns:c16="http://schemas.microsoft.com/office/drawing/2014/chart" uri="{C3380CC4-5D6E-409C-BE32-E72D297353CC}">
              <c16:uniqueId val="{00000000-5BB7-4D41-A49B-087089C63DB9}"/>
            </c:ext>
          </c:extLst>
        </c:ser>
        <c:dLbls>
          <c:showLegendKey val="0"/>
          <c:showVal val="0"/>
          <c:showCatName val="0"/>
          <c:showSerName val="0"/>
          <c:showPercent val="0"/>
          <c:showBubbleSize val="0"/>
        </c:dLbls>
        <c:gapWidth val="0"/>
        <c:axId val="1490200832"/>
        <c:axId val="1490189952"/>
      </c:barChart>
      <c:catAx>
        <c:axId val="149020083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490189952"/>
        <c:crosses val="autoZero"/>
        <c:auto val="1"/>
        <c:lblAlgn val="ctr"/>
        <c:lblOffset val="100"/>
        <c:noMultiLvlLbl val="0"/>
      </c:catAx>
      <c:valAx>
        <c:axId val="1490189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2008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108</c:v>
                </c:pt>
              </c:strCache>
            </c:strRef>
          </c:tx>
          <c:spPr>
            <a:solidFill>
              <a:schemeClr val="accent1"/>
            </a:solidFill>
          </c:spPr>
          <c:invertIfNegative val="0"/>
          <c:cat>
            <c:numRef>
              <c:f>'Overall Metrics'!$J$2:$J$41</c:f>
              <c:numCache>
                <c:formatCode>#,##0.00</c:formatCode>
                <c:ptCount val="40"/>
                <c:pt idx="0">
                  <c:v>0</c:v>
                </c:pt>
                <c:pt idx="1">
                  <c:v>79.319327735294124</c:v>
                </c:pt>
                <c:pt idx="2">
                  <c:v>158.63865547058825</c:v>
                </c:pt>
                <c:pt idx="3">
                  <c:v>237.95798320588239</c:v>
                </c:pt>
                <c:pt idx="4">
                  <c:v>317.27731094117649</c:v>
                </c:pt>
                <c:pt idx="5">
                  <c:v>396.5966386764706</c:v>
                </c:pt>
                <c:pt idx="6">
                  <c:v>475.91596641176471</c:v>
                </c:pt>
                <c:pt idx="7">
                  <c:v>555.23529414705888</c:v>
                </c:pt>
                <c:pt idx="8">
                  <c:v>634.55462188235299</c:v>
                </c:pt>
                <c:pt idx="9">
                  <c:v>713.8739496176471</c:v>
                </c:pt>
                <c:pt idx="10">
                  <c:v>793.19327735294121</c:v>
                </c:pt>
                <c:pt idx="11">
                  <c:v>872.51260508823532</c:v>
                </c:pt>
                <c:pt idx="12">
                  <c:v>951.83193282352943</c:v>
                </c:pt>
                <c:pt idx="13">
                  <c:v>1031.1512605588237</c:v>
                </c:pt>
                <c:pt idx="14">
                  <c:v>1110.4705882941178</c:v>
                </c:pt>
                <c:pt idx="15">
                  <c:v>1189.7899160294119</c:v>
                </c:pt>
                <c:pt idx="16">
                  <c:v>1269.109243764706</c:v>
                </c:pt>
                <c:pt idx="17">
                  <c:v>1348.4285715000001</c:v>
                </c:pt>
                <c:pt idx="18">
                  <c:v>1427.7478992352942</c:v>
                </c:pt>
                <c:pt idx="19">
                  <c:v>1507.0672269705883</c:v>
                </c:pt>
                <c:pt idx="20">
                  <c:v>1586.3865547058824</c:v>
                </c:pt>
                <c:pt idx="21">
                  <c:v>1665.7058824411765</c:v>
                </c:pt>
                <c:pt idx="22">
                  <c:v>1745.0252101764706</c:v>
                </c:pt>
                <c:pt idx="23">
                  <c:v>1824.3445379117647</c:v>
                </c:pt>
                <c:pt idx="24">
                  <c:v>1903.6638656470589</c:v>
                </c:pt>
                <c:pt idx="25">
                  <c:v>1982.983193382353</c:v>
                </c:pt>
                <c:pt idx="26">
                  <c:v>2062.3025211176473</c:v>
                </c:pt>
                <c:pt idx="27">
                  <c:v>2141.6218488529416</c:v>
                </c:pt>
                <c:pt idx="28">
                  <c:v>2220.941176588236</c:v>
                </c:pt>
                <c:pt idx="29">
                  <c:v>2300.2605043235303</c:v>
                </c:pt>
                <c:pt idx="30">
                  <c:v>2379.5798320588246</c:v>
                </c:pt>
                <c:pt idx="31">
                  <c:v>2458.899159794119</c:v>
                </c:pt>
                <c:pt idx="32">
                  <c:v>2538.2184875294133</c:v>
                </c:pt>
                <c:pt idx="33">
                  <c:v>2617.5378152647077</c:v>
                </c:pt>
                <c:pt idx="34">
                  <c:v>2696.8571430000002</c:v>
                </c:pt>
              </c:numCache>
            </c:numRef>
          </c:cat>
          <c:val>
            <c:numRef>
              <c:f>'Overall Metrics'!$K$2:$K$41</c:f>
              <c:numCache>
                <c:formatCode>General</c:formatCode>
                <c:ptCount val="40"/>
                <c:pt idx="0">
                  <c:v>108</c:v>
                </c:pt>
                <c:pt idx="1">
                  <c:v>6</c:v>
                </c:pt>
                <c:pt idx="2">
                  <c:v>2</c:v>
                </c:pt>
                <c:pt idx="3">
                  <c:v>1</c:v>
                </c:pt>
                <c:pt idx="4">
                  <c:v>1</c:v>
                </c:pt>
                <c:pt idx="5">
                  <c:v>2</c:v>
                </c:pt>
                <c:pt idx="6">
                  <c:v>0</c:v>
                </c:pt>
                <c:pt idx="7">
                  <c:v>0</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2090-4B89-83FC-303321251FF3}"/>
            </c:ext>
          </c:extLst>
        </c:ser>
        <c:dLbls>
          <c:showLegendKey val="0"/>
          <c:showVal val="0"/>
          <c:showCatName val="0"/>
          <c:showSerName val="0"/>
          <c:showPercent val="0"/>
          <c:showBubbleSize val="0"/>
        </c:dLbls>
        <c:gapWidth val="0"/>
        <c:axId val="1490188864"/>
        <c:axId val="1490192672"/>
      </c:barChart>
      <c:catAx>
        <c:axId val="149018886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490192672"/>
        <c:crosses val="autoZero"/>
        <c:auto val="1"/>
        <c:lblAlgn val="ctr"/>
        <c:lblOffset val="100"/>
        <c:noMultiLvlLbl val="0"/>
      </c:catAx>
      <c:valAx>
        <c:axId val="1490192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888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89</c:v>
                </c:pt>
              </c:strCache>
            </c:strRef>
          </c:tx>
          <c:spPr>
            <a:solidFill>
              <a:schemeClr val="accent1"/>
            </a:solidFill>
          </c:spPr>
          <c:invertIfNegative val="0"/>
          <c:cat>
            <c:numRef>
              <c:f>'Overall Metrics'!$L$2:$L$41</c:f>
              <c:numCache>
                <c:formatCode>#,##0.00</c:formatCode>
                <c:ptCount val="40"/>
                <c:pt idx="0">
                  <c:v>0</c:v>
                </c:pt>
                <c:pt idx="1">
                  <c:v>2.9411764705882353E-2</c:v>
                </c:pt>
                <c:pt idx="2">
                  <c:v>5.8823529411764705E-2</c:v>
                </c:pt>
                <c:pt idx="3">
                  <c:v>8.8235294117647051E-2</c:v>
                </c:pt>
                <c:pt idx="4">
                  <c:v>0.11764705882352941</c:v>
                </c:pt>
                <c:pt idx="5">
                  <c:v>0.14705882352941177</c:v>
                </c:pt>
                <c:pt idx="6">
                  <c:v>0.17647058823529413</c:v>
                </c:pt>
                <c:pt idx="7">
                  <c:v>0.20588235294117649</c:v>
                </c:pt>
                <c:pt idx="8">
                  <c:v>0.23529411764705885</c:v>
                </c:pt>
                <c:pt idx="9">
                  <c:v>0.26470588235294118</c:v>
                </c:pt>
                <c:pt idx="10">
                  <c:v>0.29411764705882354</c:v>
                </c:pt>
                <c:pt idx="11">
                  <c:v>0.3235294117647059</c:v>
                </c:pt>
                <c:pt idx="12">
                  <c:v>0.35294117647058826</c:v>
                </c:pt>
                <c:pt idx="13">
                  <c:v>0.38235294117647062</c:v>
                </c:pt>
                <c:pt idx="14">
                  <c:v>0.41176470588235298</c:v>
                </c:pt>
                <c:pt idx="15">
                  <c:v>0.44117647058823534</c:v>
                </c:pt>
                <c:pt idx="16">
                  <c:v>0.4705882352941177</c:v>
                </c:pt>
                <c:pt idx="17">
                  <c:v>0.5</c:v>
                </c:pt>
                <c:pt idx="18">
                  <c:v>0.52941176470588236</c:v>
                </c:pt>
                <c:pt idx="19">
                  <c:v>0.55882352941176472</c:v>
                </c:pt>
                <c:pt idx="20">
                  <c:v>0.58823529411764708</c:v>
                </c:pt>
                <c:pt idx="21">
                  <c:v>0.61764705882352944</c:v>
                </c:pt>
                <c:pt idx="22">
                  <c:v>0.6470588235294118</c:v>
                </c:pt>
                <c:pt idx="23">
                  <c:v>0.67647058823529416</c:v>
                </c:pt>
                <c:pt idx="24">
                  <c:v>0.70588235294117652</c:v>
                </c:pt>
                <c:pt idx="25">
                  <c:v>0.73529411764705888</c:v>
                </c:pt>
                <c:pt idx="26">
                  <c:v>0.76470588235294124</c:v>
                </c:pt>
                <c:pt idx="27">
                  <c:v>0.79411764705882359</c:v>
                </c:pt>
                <c:pt idx="28">
                  <c:v>0.82352941176470595</c:v>
                </c:pt>
                <c:pt idx="29">
                  <c:v>0.85294117647058831</c:v>
                </c:pt>
                <c:pt idx="30">
                  <c:v>0.88235294117647067</c:v>
                </c:pt>
                <c:pt idx="31">
                  <c:v>0.91176470588235303</c:v>
                </c:pt>
                <c:pt idx="32">
                  <c:v>0.94117647058823539</c:v>
                </c:pt>
                <c:pt idx="33">
                  <c:v>0.97058823529411775</c:v>
                </c:pt>
                <c:pt idx="34">
                  <c:v>1</c:v>
                </c:pt>
              </c:numCache>
            </c:numRef>
          </c:cat>
          <c:val>
            <c:numRef>
              <c:f>'Overall Metrics'!$M$2:$M$41</c:f>
              <c:numCache>
                <c:formatCode>General</c:formatCode>
                <c:ptCount val="40"/>
                <c:pt idx="0">
                  <c:v>89</c:v>
                </c:pt>
                <c:pt idx="1">
                  <c:v>2</c:v>
                </c:pt>
                <c:pt idx="2">
                  <c:v>0</c:v>
                </c:pt>
                <c:pt idx="3">
                  <c:v>0</c:v>
                </c:pt>
                <c:pt idx="4">
                  <c:v>1</c:v>
                </c:pt>
                <c:pt idx="5">
                  <c:v>2</c:v>
                </c:pt>
                <c:pt idx="6">
                  <c:v>5</c:v>
                </c:pt>
                <c:pt idx="7">
                  <c:v>0</c:v>
                </c:pt>
                <c:pt idx="8">
                  <c:v>4</c:v>
                </c:pt>
                <c:pt idx="9">
                  <c:v>0</c:v>
                </c:pt>
                <c:pt idx="10">
                  <c:v>0</c:v>
                </c:pt>
                <c:pt idx="11">
                  <c:v>4</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14</c:v>
                </c:pt>
              </c:numCache>
            </c:numRef>
          </c:val>
          <c:extLst>
            <c:ext xmlns:c16="http://schemas.microsoft.com/office/drawing/2014/chart" uri="{C3380CC4-5D6E-409C-BE32-E72D297353CC}">
              <c16:uniqueId val="{00000000-0C8D-4EF4-8638-8E47B5CD651B}"/>
            </c:ext>
          </c:extLst>
        </c:ser>
        <c:dLbls>
          <c:showLegendKey val="0"/>
          <c:showVal val="0"/>
          <c:showCatName val="0"/>
          <c:showSerName val="0"/>
          <c:showPercent val="0"/>
          <c:showBubbleSize val="0"/>
        </c:dLbls>
        <c:gapWidth val="0"/>
        <c:axId val="1490194848"/>
        <c:axId val="1490201920"/>
      </c:barChart>
      <c:catAx>
        <c:axId val="14901948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490201920"/>
        <c:crosses val="autoZero"/>
        <c:auto val="1"/>
        <c:lblAlgn val="ctr"/>
        <c:lblOffset val="100"/>
        <c:noMultiLvlLbl val="0"/>
      </c:catAx>
      <c:valAx>
        <c:axId val="14902019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48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77</c:v>
                </c:pt>
              </c:strCache>
            </c:strRef>
          </c:tx>
          <c:spPr>
            <a:solidFill>
              <a:schemeClr val="accent1"/>
            </a:solidFill>
          </c:spPr>
          <c:invertIfNegative val="0"/>
          <c:cat>
            <c:numRef>
              <c:f>'Overall Metrics'!$N$2:$N$41</c:f>
              <c:numCache>
                <c:formatCode>#,##0.00</c:formatCode>
                <c:ptCount val="40"/>
                <c:pt idx="0">
                  <c:v>0</c:v>
                </c:pt>
                <c:pt idx="1">
                  <c:v>3.1945588235294119E-3</c:v>
                </c:pt>
                <c:pt idx="2">
                  <c:v>6.3891176470588238E-3</c:v>
                </c:pt>
                <c:pt idx="3">
                  <c:v>9.5836764705882361E-3</c:v>
                </c:pt>
                <c:pt idx="4">
                  <c:v>1.2778235294117648E-2</c:v>
                </c:pt>
                <c:pt idx="5">
                  <c:v>1.5972794117647061E-2</c:v>
                </c:pt>
                <c:pt idx="6">
                  <c:v>1.9167352941176472E-2</c:v>
                </c:pt>
                <c:pt idx="7">
                  <c:v>2.2361911764705884E-2</c:v>
                </c:pt>
                <c:pt idx="8">
                  <c:v>2.5556470588235295E-2</c:v>
                </c:pt>
                <c:pt idx="9">
                  <c:v>2.8751029411764707E-2</c:v>
                </c:pt>
                <c:pt idx="10">
                  <c:v>3.1945588235294121E-2</c:v>
                </c:pt>
                <c:pt idx="11">
                  <c:v>3.5140147058823533E-2</c:v>
                </c:pt>
                <c:pt idx="12">
                  <c:v>3.8334705882352944E-2</c:v>
                </c:pt>
                <c:pt idx="13">
                  <c:v>4.1529264705882356E-2</c:v>
                </c:pt>
                <c:pt idx="14">
                  <c:v>4.4723823529411767E-2</c:v>
                </c:pt>
                <c:pt idx="15">
                  <c:v>4.7918382352941179E-2</c:v>
                </c:pt>
                <c:pt idx="16">
                  <c:v>5.111294117647059E-2</c:v>
                </c:pt>
                <c:pt idx="17">
                  <c:v>5.4307500000000002E-2</c:v>
                </c:pt>
                <c:pt idx="18">
                  <c:v>5.7502058823529413E-2</c:v>
                </c:pt>
                <c:pt idx="19">
                  <c:v>6.0696617647058825E-2</c:v>
                </c:pt>
                <c:pt idx="20">
                  <c:v>6.3891176470588243E-2</c:v>
                </c:pt>
                <c:pt idx="21">
                  <c:v>6.7085735294117654E-2</c:v>
                </c:pt>
                <c:pt idx="22">
                  <c:v>7.0280294117647066E-2</c:v>
                </c:pt>
                <c:pt idx="23">
                  <c:v>7.3474852941176477E-2</c:v>
                </c:pt>
                <c:pt idx="24">
                  <c:v>7.6669411764705889E-2</c:v>
                </c:pt>
                <c:pt idx="25">
                  <c:v>7.98639705882353E-2</c:v>
                </c:pt>
                <c:pt idx="26">
                  <c:v>8.3058529411764712E-2</c:v>
                </c:pt>
                <c:pt idx="27">
                  <c:v>8.6253088235294123E-2</c:v>
                </c:pt>
                <c:pt idx="28">
                  <c:v>8.9447647058823535E-2</c:v>
                </c:pt>
                <c:pt idx="29">
                  <c:v>9.2642205882352946E-2</c:v>
                </c:pt>
                <c:pt idx="30">
                  <c:v>9.5836764705882357E-2</c:v>
                </c:pt>
                <c:pt idx="31">
                  <c:v>9.9031323529411769E-2</c:v>
                </c:pt>
                <c:pt idx="32">
                  <c:v>0.10222588235294118</c:v>
                </c:pt>
                <c:pt idx="33">
                  <c:v>0.10542044117647059</c:v>
                </c:pt>
                <c:pt idx="34">
                  <c:v>0.108615</c:v>
                </c:pt>
              </c:numCache>
            </c:numRef>
          </c:cat>
          <c:val>
            <c:numRef>
              <c:f>'Overall Metrics'!$O$2:$O$41</c:f>
              <c:numCache>
                <c:formatCode>General</c:formatCode>
                <c:ptCount val="40"/>
                <c:pt idx="0">
                  <c:v>77</c:v>
                </c:pt>
                <c:pt idx="1">
                  <c:v>3</c:v>
                </c:pt>
                <c:pt idx="2">
                  <c:v>1</c:v>
                </c:pt>
                <c:pt idx="3">
                  <c:v>1</c:v>
                </c:pt>
                <c:pt idx="4">
                  <c:v>5</c:v>
                </c:pt>
                <c:pt idx="5">
                  <c:v>14</c:v>
                </c:pt>
                <c:pt idx="6">
                  <c:v>11</c:v>
                </c:pt>
                <c:pt idx="7">
                  <c:v>1</c:v>
                </c:pt>
                <c:pt idx="8">
                  <c:v>2</c:v>
                </c:pt>
                <c:pt idx="9">
                  <c:v>3</c:v>
                </c:pt>
                <c:pt idx="10">
                  <c:v>1</c:v>
                </c:pt>
                <c:pt idx="11">
                  <c:v>0</c:v>
                </c:pt>
                <c:pt idx="12">
                  <c:v>1</c:v>
                </c:pt>
                <c:pt idx="13">
                  <c:v>0</c:v>
                </c:pt>
                <c:pt idx="14">
                  <c:v>0</c:v>
                </c:pt>
                <c:pt idx="15">
                  <c:v>0</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E98D-47BF-B099-F89535768A8A}"/>
            </c:ext>
          </c:extLst>
        </c:ser>
        <c:dLbls>
          <c:showLegendKey val="0"/>
          <c:showVal val="0"/>
          <c:showCatName val="0"/>
          <c:showSerName val="0"/>
          <c:showPercent val="0"/>
          <c:showBubbleSize val="0"/>
        </c:dLbls>
        <c:gapWidth val="0"/>
        <c:axId val="1490195936"/>
        <c:axId val="1490202464"/>
      </c:barChart>
      <c:catAx>
        <c:axId val="149019593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490202464"/>
        <c:crosses val="autoZero"/>
        <c:auto val="1"/>
        <c:lblAlgn val="ctr"/>
        <c:lblOffset val="100"/>
        <c:noMultiLvlLbl val="0"/>
      </c:catAx>
      <c:valAx>
        <c:axId val="14902024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593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47</c:v>
                </c:pt>
              </c:strCache>
            </c:strRef>
          </c:tx>
          <c:spPr>
            <a:solidFill>
              <a:schemeClr val="accent1"/>
            </a:solidFill>
          </c:spPr>
          <c:invertIfNegative val="0"/>
          <c:cat>
            <c:numRef>
              <c:f>'Overall Metrics'!$R$2:$R$41</c:f>
              <c:numCache>
                <c:formatCode>#,##0.00</c:formatCode>
                <c:ptCount val="40"/>
                <c:pt idx="0">
                  <c:v>0</c:v>
                </c:pt>
                <c:pt idx="1">
                  <c:v>2.9411764705882353E-2</c:v>
                </c:pt>
                <c:pt idx="2">
                  <c:v>5.8823529411764705E-2</c:v>
                </c:pt>
                <c:pt idx="3">
                  <c:v>8.8235294117647051E-2</c:v>
                </c:pt>
                <c:pt idx="4">
                  <c:v>0.11764705882352941</c:v>
                </c:pt>
                <c:pt idx="5">
                  <c:v>0.14705882352941177</c:v>
                </c:pt>
                <c:pt idx="6">
                  <c:v>0.17647058823529413</c:v>
                </c:pt>
                <c:pt idx="7">
                  <c:v>0.20588235294117649</c:v>
                </c:pt>
                <c:pt idx="8">
                  <c:v>0.23529411764705885</c:v>
                </c:pt>
                <c:pt idx="9">
                  <c:v>0.26470588235294118</c:v>
                </c:pt>
                <c:pt idx="10">
                  <c:v>0.29411764705882354</c:v>
                </c:pt>
                <c:pt idx="11">
                  <c:v>0.3235294117647059</c:v>
                </c:pt>
                <c:pt idx="12">
                  <c:v>0.35294117647058826</c:v>
                </c:pt>
                <c:pt idx="13">
                  <c:v>0.38235294117647062</c:v>
                </c:pt>
                <c:pt idx="14">
                  <c:v>0.41176470588235298</c:v>
                </c:pt>
                <c:pt idx="15">
                  <c:v>0.44117647058823534</c:v>
                </c:pt>
                <c:pt idx="16">
                  <c:v>0.4705882352941177</c:v>
                </c:pt>
                <c:pt idx="17">
                  <c:v>0.5</c:v>
                </c:pt>
                <c:pt idx="18">
                  <c:v>0.52941176470588236</c:v>
                </c:pt>
                <c:pt idx="19">
                  <c:v>0.55882352941176472</c:v>
                </c:pt>
                <c:pt idx="20">
                  <c:v>0.58823529411764708</c:v>
                </c:pt>
                <c:pt idx="21">
                  <c:v>0.61764705882352944</c:v>
                </c:pt>
                <c:pt idx="22">
                  <c:v>0.6470588235294118</c:v>
                </c:pt>
                <c:pt idx="23">
                  <c:v>0.67647058823529416</c:v>
                </c:pt>
                <c:pt idx="24">
                  <c:v>0.70588235294117652</c:v>
                </c:pt>
                <c:pt idx="25">
                  <c:v>0.73529411764705888</c:v>
                </c:pt>
                <c:pt idx="26">
                  <c:v>0.76470588235294124</c:v>
                </c:pt>
                <c:pt idx="27">
                  <c:v>0.79411764705882359</c:v>
                </c:pt>
                <c:pt idx="28">
                  <c:v>0.82352941176470595</c:v>
                </c:pt>
                <c:pt idx="29">
                  <c:v>0.85294117647058831</c:v>
                </c:pt>
                <c:pt idx="30">
                  <c:v>0.88235294117647067</c:v>
                </c:pt>
                <c:pt idx="31">
                  <c:v>0.91176470588235303</c:v>
                </c:pt>
                <c:pt idx="32">
                  <c:v>0.94117647058823539</c:v>
                </c:pt>
                <c:pt idx="33">
                  <c:v>0.97058823529411775</c:v>
                </c:pt>
                <c:pt idx="34">
                  <c:v>1</c:v>
                </c:pt>
              </c:numCache>
            </c:numRef>
          </c:cat>
          <c:val>
            <c:numRef>
              <c:f>'Overall Metrics'!$S$2:$S$41</c:f>
              <c:numCache>
                <c:formatCode>General</c:formatCode>
                <c:ptCount val="40"/>
                <c:pt idx="0">
                  <c:v>47</c:v>
                </c:pt>
                <c:pt idx="1">
                  <c:v>2</c:v>
                </c:pt>
                <c:pt idx="2">
                  <c:v>1</c:v>
                </c:pt>
                <c:pt idx="3">
                  <c:v>1</c:v>
                </c:pt>
                <c:pt idx="4">
                  <c:v>3</c:v>
                </c:pt>
                <c:pt idx="5">
                  <c:v>3</c:v>
                </c:pt>
                <c:pt idx="6">
                  <c:v>4</c:v>
                </c:pt>
                <c:pt idx="7">
                  <c:v>0</c:v>
                </c:pt>
                <c:pt idx="8">
                  <c:v>3</c:v>
                </c:pt>
                <c:pt idx="9">
                  <c:v>0</c:v>
                </c:pt>
                <c:pt idx="10">
                  <c:v>0</c:v>
                </c:pt>
                <c:pt idx="11">
                  <c:v>10</c:v>
                </c:pt>
                <c:pt idx="12">
                  <c:v>0</c:v>
                </c:pt>
                <c:pt idx="13">
                  <c:v>0</c:v>
                </c:pt>
                <c:pt idx="14">
                  <c:v>1</c:v>
                </c:pt>
                <c:pt idx="15">
                  <c:v>0</c:v>
                </c:pt>
                <c:pt idx="16">
                  <c:v>0</c:v>
                </c:pt>
                <c:pt idx="17">
                  <c:v>12</c:v>
                </c:pt>
                <c:pt idx="18">
                  <c:v>0</c:v>
                </c:pt>
                <c:pt idx="19">
                  <c:v>0</c:v>
                </c:pt>
                <c:pt idx="20">
                  <c:v>0</c:v>
                </c:pt>
                <c:pt idx="21">
                  <c:v>0</c:v>
                </c:pt>
                <c:pt idx="22">
                  <c:v>5</c:v>
                </c:pt>
                <c:pt idx="23">
                  <c:v>0</c:v>
                </c:pt>
                <c:pt idx="24">
                  <c:v>0</c:v>
                </c:pt>
                <c:pt idx="25">
                  <c:v>0</c:v>
                </c:pt>
                <c:pt idx="26">
                  <c:v>0</c:v>
                </c:pt>
                <c:pt idx="27">
                  <c:v>0</c:v>
                </c:pt>
                <c:pt idx="28">
                  <c:v>0</c:v>
                </c:pt>
                <c:pt idx="29">
                  <c:v>0</c:v>
                </c:pt>
                <c:pt idx="30">
                  <c:v>0</c:v>
                </c:pt>
                <c:pt idx="31">
                  <c:v>0</c:v>
                </c:pt>
                <c:pt idx="32">
                  <c:v>0</c:v>
                </c:pt>
                <c:pt idx="33">
                  <c:v>0</c:v>
                </c:pt>
                <c:pt idx="34">
                  <c:v>30</c:v>
                </c:pt>
              </c:numCache>
            </c:numRef>
          </c:val>
          <c:extLst>
            <c:ext xmlns:c16="http://schemas.microsoft.com/office/drawing/2014/chart" uri="{C3380CC4-5D6E-409C-BE32-E72D297353CC}">
              <c16:uniqueId val="{00000000-F909-4D94-AC51-4727FBCD2173}"/>
            </c:ext>
          </c:extLst>
        </c:ser>
        <c:dLbls>
          <c:showLegendKey val="0"/>
          <c:showVal val="0"/>
          <c:showCatName val="0"/>
          <c:showSerName val="0"/>
          <c:showPercent val="0"/>
          <c:showBubbleSize val="0"/>
        </c:dLbls>
        <c:gapWidth val="0"/>
        <c:axId val="1490193216"/>
        <c:axId val="1490198112"/>
      </c:barChart>
      <c:catAx>
        <c:axId val="1490193216"/>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490198112"/>
        <c:crosses val="autoZero"/>
        <c:auto val="1"/>
        <c:lblAlgn val="ctr"/>
        <c:lblOffset val="100"/>
        <c:noMultiLvlLbl val="0"/>
      </c:catAx>
      <c:valAx>
        <c:axId val="14901981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32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35</c:v>
                </c:pt>
              </c:strCache>
            </c:strRef>
          </c:tx>
          <c:spPr>
            <a:solidFill>
              <a:schemeClr val="accent1"/>
            </a:solidFill>
          </c:spPr>
          <c:invertIfNegative val="0"/>
          <c:cat>
            <c:numRef>
              <c:f>'Overall Metrics'!$R$2:$R$41</c:f>
              <c:numCache>
                <c:formatCode>#,##0.00</c:formatCode>
                <c:ptCount val="40"/>
                <c:pt idx="0">
                  <c:v>0</c:v>
                </c:pt>
                <c:pt idx="1">
                  <c:v>2.9411764705882353E-2</c:v>
                </c:pt>
                <c:pt idx="2">
                  <c:v>5.8823529411764705E-2</c:v>
                </c:pt>
                <c:pt idx="3">
                  <c:v>8.8235294117647051E-2</c:v>
                </c:pt>
                <c:pt idx="4">
                  <c:v>0.11764705882352941</c:v>
                </c:pt>
                <c:pt idx="5">
                  <c:v>0.14705882352941177</c:v>
                </c:pt>
                <c:pt idx="6">
                  <c:v>0.17647058823529413</c:v>
                </c:pt>
                <c:pt idx="7">
                  <c:v>0.20588235294117649</c:v>
                </c:pt>
                <c:pt idx="8">
                  <c:v>0.23529411764705885</c:v>
                </c:pt>
                <c:pt idx="9">
                  <c:v>0.26470588235294118</c:v>
                </c:pt>
                <c:pt idx="10">
                  <c:v>0.29411764705882354</c:v>
                </c:pt>
                <c:pt idx="11">
                  <c:v>0.3235294117647059</c:v>
                </c:pt>
                <c:pt idx="12">
                  <c:v>0.35294117647058826</c:v>
                </c:pt>
                <c:pt idx="13">
                  <c:v>0.38235294117647062</c:v>
                </c:pt>
                <c:pt idx="14">
                  <c:v>0.41176470588235298</c:v>
                </c:pt>
                <c:pt idx="15">
                  <c:v>0.44117647058823534</c:v>
                </c:pt>
                <c:pt idx="16">
                  <c:v>0.4705882352941177</c:v>
                </c:pt>
                <c:pt idx="17">
                  <c:v>0.5</c:v>
                </c:pt>
                <c:pt idx="18">
                  <c:v>0.52941176470588236</c:v>
                </c:pt>
                <c:pt idx="19">
                  <c:v>0.55882352941176472</c:v>
                </c:pt>
                <c:pt idx="20">
                  <c:v>0.58823529411764708</c:v>
                </c:pt>
                <c:pt idx="21">
                  <c:v>0.61764705882352944</c:v>
                </c:pt>
                <c:pt idx="22">
                  <c:v>0.6470588235294118</c:v>
                </c:pt>
                <c:pt idx="23">
                  <c:v>0.67647058823529416</c:v>
                </c:pt>
                <c:pt idx="24">
                  <c:v>0.70588235294117652</c:v>
                </c:pt>
                <c:pt idx="25">
                  <c:v>0.73529411764705888</c:v>
                </c:pt>
                <c:pt idx="26">
                  <c:v>0.76470588235294124</c:v>
                </c:pt>
                <c:pt idx="27">
                  <c:v>0.79411764705882359</c:v>
                </c:pt>
                <c:pt idx="28">
                  <c:v>0.82352941176470595</c:v>
                </c:pt>
                <c:pt idx="29">
                  <c:v>0.85294117647058831</c:v>
                </c:pt>
                <c:pt idx="30">
                  <c:v>0.88235294117647067</c:v>
                </c:pt>
                <c:pt idx="31">
                  <c:v>0.91176470588235303</c:v>
                </c:pt>
                <c:pt idx="32">
                  <c:v>0.94117647058823539</c:v>
                </c:pt>
                <c:pt idx="33">
                  <c:v>0.97058823529411775</c:v>
                </c:pt>
                <c:pt idx="34">
                  <c:v>1</c:v>
                </c:pt>
              </c:numCache>
            </c:numRef>
          </c:cat>
          <c:val>
            <c:numRef>
              <c:f>'Overall Metrics'!$Q$2:$Q$41</c:f>
              <c:numCache>
                <c:formatCode>General</c:formatCode>
                <c:ptCount val="40"/>
                <c:pt idx="0">
                  <c:v>35</c:v>
                </c:pt>
                <c:pt idx="1">
                  <c:v>33</c:v>
                </c:pt>
                <c:pt idx="2">
                  <c:v>29</c:v>
                </c:pt>
                <c:pt idx="3">
                  <c:v>6</c:v>
                </c:pt>
                <c:pt idx="4">
                  <c:v>10</c:v>
                </c:pt>
                <c:pt idx="5">
                  <c:v>0</c:v>
                </c:pt>
                <c:pt idx="6">
                  <c:v>2</c:v>
                </c:pt>
                <c:pt idx="7">
                  <c:v>0</c:v>
                </c:pt>
                <c:pt idx="8">
                  <c:v>1</c:v>
                </c:pt>
                <c:pt idx="9">
                  <c:v>1</c:v>
                </c:pt>
                <c:pt idx="10">
                  <c:v>0</c:v>
                </c:pt>
                <c:pt idx="11">
                  <c:v>0</c:v>
                </c:pt>
                <c:pt idx="12">
                  <c:v>0</c:v>
                </c:pt>
                <c:pt idx="13">
                  <c:v>0</c:v>
                </c:pt>
                <c:pt idx="14">
                  <c:v>1</c:v>
                </c:pt>
                <c:pt idx="15">
                  <c:v>1</c:v>
                </c:pt>
                <c:pt idx="16">
                  <c:v>0</c:v>
                </c:pt>
                <c:pt idx="17">
                  <c:v>0</c:v>
                </c:pt>
                <c:pt idx="18">
                  <c:v>0</c:v>
                </c:pt>
                <c:pt idx="19">
                  <c:v>0</c:v>
                </c:pt>
                <c:pt idx="20">
                  <c:v>1</c:v>
                </c:pt>
                <c:pt idx="21">
                  <c:v>1</c:v>
                </c:pt>
                <c:pt idx="22">
                  <c:v>0</c:v>
                </c:pt>
                <c:pt idx="23">
                  <c:v>0</c:v>
                </c:pt>
                <c:pt idx="24">
                  <c:v>0</c:v>
                </c:pt>
                <c:pt idx="25">
                  <c:v>0</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3AA4-45B3-A7DF-C2DAC4CADA6E}"/>
            </c:ext>
          </c:extLst>
        </c:ser>
        <c:dLbls>
          <c:showLegendKey val="0"/>
          <c:showVal val="0"/>
          <c:showCatName val="0"/>
          <c:showSerName val="0"/>
          <c:showPercent val="0"/>
          <c:showBubbleSize val="0"/>
        </c:dLbls>
        <c:gapWidth val="0"/>
        <c:axId val="1490199744"/>
        <c:axId val="1490197024"/>
      </c:barChart>
      <c:catAx>
        <c:axId val="149019974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490197024"/>
        <c:crosses val="autoZero"/>
        <c:auto val="1"/>
        <c:lblAlgn val="ctr"/>
        <c:lblOffset val="100"/>
        <c:noMultiLvlLbl val="0"/>
      </c:catAx>
      <c:valAx>
        <c:axId val="14901970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97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117</c:v>
                </c:pt>
              </c:strCache>
            </c:strRef>
          </c:tx>
          <c:spPr>
            <a:solidFill>
              <a:schemeClr val="accent1"/>
            </a:solidFill>
          </c:spPr>
          <c:invertIfNegative val="0"/>
          <c:cat>
            <c:numRef>
              <c:f>'Overall Metrics'!$T$2:$T$41</c:f>
              <c:numCache>
                <c:formatCode>#,##0.00</c:formatCode>
                <c:ptCount val="40"/>
                <c:pt idx="0">
                  <c:v>0</c:v>
                </c:pt>
                <c:pt idx="1">
                  <c:v>2332.8529411764707</c:v>
                </c:pt>
                <c:pt idx="2">
                  <c:v>4665.7058823529414</c:v>
                </c:pt>
                <c:pt idx="3">
                  <c:v>6998.5588235294126</c:v>
                </c:pt>
                <c:pt idx="4">
                  <c:v>9331.4117647058829</c:v>
                </c:pt>
                <c:pt idx="5">
                  <c:v>11664.264705882353</c:v>
                </c:pt>
                <c:pt idx="6">
                  <c:v>13997.117647058823</c:v>
                </c:pt>
                <c:pt idx="7">
                  <c:v>16329.970588235294</c:v>
                </c:pt>
                <c:pt idx="8">
                  <c:v>18662.823529411766</c:v>
                </c:pt>
                <c:pt idx="9">
                  <c:v>20995.676470588238</c:v>
                </c:pt>
                <c:pt idx="10">
                  <c:v>23328.52941176471</c:v>
                </c:pt>
                <c:pt idx="11">
                  <c:v>25661.382352941182</c:v>
                </c:pt>
                <c:pt idx="12">
                  <c:v>27994.235294117654</c:v>
                </c:pt>
                <c:pt idx="13">
                  <c:v>30327.088235294126</c:v>
                </c:pt>
                <c:pt idx="14">
                  <c:v>32659.941176470598</c:v>
                </c:pt>
                <c:pt idx="15">
                  <c:v>34992.79411764707</c:v>
                </c:pt>
                <c:pt idx="16">
                  <c:v>37325.647058823539</c:v>
                </c:pt>
                <c:pt idx="17">
                  <c:v>39658.500000000007</c:v>
                </c:pt>
                <c:pt idx="18">
                  <c:v>41991.352941176476</c:v>
                </c:pt>
                <c:pt idx="19">
                  <c:v>44324.205882352944</c:v>
                </c:pt>
                <c:pt idx="20">
                  <c:v>46657.058823529413</c:v>
                </c:pt>
                <c:pt idx="21">
                  <c:v>48989.911764705881</c:v>
                </c:pt>
                <c:pt idx="22">
                  <c:v>51322.76470588235</c:v>
                </c:pt>
                <c:pt idx="23">
                  <c:v>53655.617647058818</c:v>
                </c:pt>
                <c:pt idx="24">
                  <c:v>55988.470588235286</c:v>
                </c:pt>
                <c:pt idx="25">
                  <c:v>58321.323529411755</c:v>
                </c:pt>
                <c:pt idx="26">
                  <c:v>60654.176470588223</c:v>
                </c:pt>
                <c:pt idx="27">
                  <c:v>62987.029411764692</c:v>
                </c:pt>
                <c:pt idx="28">
                  <c:v>65319.88235294116</c:v>
                </c:pt>
                <c:pt idx="29">
                  <c:v>67652.735294117636</c:v>
                </c:pt>
                <c:pt idx="30">
                  <c:v>69985.588235294112</c:v>
                </c:pt>
                <c:pt idx="31">
                  <c:v>72318.441176470587</c:v>
                </c:pt>
                <c:pt idx="32">
                  <c:v>74651.294117647063</c:v>
                </c:pt>
                <c:pt idx="33">
                  <c:v>76984.147058823539</c:v>
                </c:pt>
                <c:pt idx="34">
                  <c:v>79317</c:v>
                </c:pt>
              </c:numCache>
            </c:numRef>
          </c:cat>
          <c:val>
            <c:numRef>
              <c:f>'Overall Metrics'!$U$2:$U$41</c:f>
              <c:numCache>
                <c:formatCode>General</c:formatCode>
                <c:ptCount val="40"/>
                <c:pt idx="0">
                  <c:v>117</c:v>
                </c:pt>
                <c:pt idx="1">
                  <c:v>3</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A4B1-4B91-874F-639DF2951F33}"/>
            </c:ext>
          </c:extLst>
        </c:ser>
        <c:dLbls>
          <c:showLegendKey val="0"/>
          <c:showVal val="0"/>
          <c:showCatName val="0"/>
          <c:showSerName val="0"/>
          <c:showPercent val="0"/>
          <c:showBubbleSize val="0"/>
        </c:dLbls>
        <c:gapWidth val="0"/>
        <c:axId val="1490189408"/>
        <c:axId val="1490190496"/>
      </c:barChart>
      <c:catAx>
        <c:axId val="1490189408"/>
        <c:scaling>
          <c:orientation val="minMax"/>
        </c:scaling>
        <c:delete val="1"/>
        <c:axPos val="b"/>
        <c:numFmt formatCode="#,##0.00" sourceLinked="1"/>
        <c:majorTickMark val="out"/>
        <c:minorTickMark val="none"/>
        <c:tickLblPos val="none"/>
        <c:crossAx val="1490190496"/>
        <c:crosses val="autoZero"/>
        <c:auto val="1"/>
        <c:lblAlgn val="ctr"/>
        <c:lblOffset val="100"/>
        <c:noMultiLvlLbl val="0"/>
      </c:catAx>
      <c:valAx>
        <c:axId val="1490190496"/>
        <c:scaling>
          <c:orientation val="minMax"/>
        </c:scaling>
        <c:delete val="1"/>
        <c:axPos val="l"/>
        <c:numFmt formatCode="General" sourceLinked="1"/>
        <c:majorTickMark val="out"/>
        <c:minorTickMark val="none"/>
        <c:tickLblPos val="none"/>
        <c:crossAx val="1490189408"/>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xdr:colOff>
      <xdr:row>58</xdr:row>
      <xdr:rowOff>38100</xdr:rowOff>
    </xdr:from>
    <xdr:to>
      <xdr:col>1</xdr:col>
      <xdr:colOff>918209</xdr:colOff>
      <xdr:row>65</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72</xdr:row>
      <xdr:rowOff>38100</xdr:rowOff>
    </xdr:from>
    <xdr:to>
      <xdr:col>1</xdr:col>
      <xdr:colOff>918209</xdr:colOff>
      <xdr:row>79</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86</xdr:row>
      <xdr:rowOff>28575</xdr:rowOff>
    </xdr:from>
    <xdr:to>
      <xdr:col>1</xdr:col>
      <xdr:colOff>918209</xdr:colOff>
      <xdr:row>93</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100</xdr:row>
      <xdr:rowOff>9525</xdr:rowOff>
    </xdr:from>
    <xdr:to>
      <xdr:col>1</xdr:col>
      <xdr:colOff>918210</xdr:colOff>
      <xdr:row>107</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114</xdr:row>
      <xdr:rowOff>19050</xdr:rowOff>
    </xdr:from>
    <xdr:to>
      <xdr:col>2</xdr:col>
      <xdr:colOff>0</xdr:colOff>
      <xdr:row>121</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128</xdr:row>
      <xdr:rowOff>19050</xdr:rowOff>
    </xdr:from>
    <xdr:to>
      <xdr:col>1</xdr:col>
      <xdr:colOff>918210</xdr:colOff>
      <xdr:row>135</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156</xdr:row>
      <xdr:rowOff>9525</xdr:rowOff>
    </xdr:from>
    <xdr:to>
      <xdr:col>1</xdr:col>
      <xdr:colOff>918210</xdr:colOff>
      <xdr:row>163</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142</xdr:row>
      <xdr:rowOff>0</xdr:rowOff>
    </xdr:from>
    <xdr:to>
      <xdr:col>1</xdr:col>
      <xdr:colOff>918210</xdr:colOff>
      <xdr:row>149</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127000</xdr:colOff>
      <xdr:row>0</xdr:row>
      <xdr:rowOff>127000</xdr:rowOff>
    </xdr:from>
    <xdr:to>
      <xdr:col>14</xdr:col>
      <xdr:colOff>38100</xdr:colOff>
      <xdr:row>20</xdr:row>
      <xdr:rowOff>127000</xdr:rowOff>
    </xdr:to>
    <xdr:graphicFrame macro="">
      <xdr:nvGraphicFramePr>
        <xdr:cNvPr id="2" name="Chart 1">
          <a:extLst>
            <a:ext uri="{FF2B5EF4-FFF2-40B4-BE49-F238E27FC236}">
              <a16:creationId xmlns:a16="http://schemas.microsoft.com/office/drawing/2014/main" id="{D0813C22-8A3D-4CB3-A1D7-77A6F66EAE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faultProfileUser" refreshedDate="44418.222524884259" createdVersion="3" refreshedVersion="6" minRefreshableVersion="3" recordCount="176" xr:uid="{DD7C0D35-95EF-4C94-95E3-1D6CACD782B9}">
  <cacheSource type="worksheet">
    <worksheetSource ref="A2:BE178" sheet="Time Series Edges"/>
  </cacheSource>
  <cacheFields count="59">
    <cacheField name="Vertex 1" numFmtId="49">
      <sharedItems count="84">
        <s v="irbound"/>
        <s v="ucatonsville"/>
        <s v="ms_tabu"/>
        <s v="tabuwinslow"/>
        <s v="letsplayballan1"/>
        <s v="edabipi"/>
        <s v="mycencalwestop"/>
        <s v="eku_nova"/>
        <s v="tsumcnair"/>
        <s v="jamillimabass"/>
        <s v="uwtalentsearch"/>
        <s v="coetalk"/>
        <s v="aaron_cortes"/>
        <s v="_maburnett"/>
        <s v="uncpsych"/>
        <s v="txwesub"/>
        <s v="ub_trio_sjc"/>
        <s v="tseoc_psu"/>
        <s v="triosssmur"/>
        <s v="muhlibrary"/>
        <s v="trioperks"/>
        <s v="aeeetrio"/>
        <s v="strwisescholar"/>
        <s v="grodriguezlemus"/>
        <s v="adriela95"/>
        <s v="success_prints"/>
        <s v="swasaptrio"/>
        <s v="jackashawiley"/>
        <s v="sssivytechfw"/>
        <s v="indianatrio"/>
        <s v="barneskhalid321"/>
        <s v="mizbosslady82"/>
        <s v="shirley10090505"/>
        <s v="suemanning6"/>
        <s v="julieworley14"/>
        <s v="danadlaurens"/>
        <s v="perla_51"/>
        <s v="tlharnisch"/>
        <s v="msn100ms46"/>
        <s v="444sai"/>
        <s v="nikolasvision"/>
        <s v="rader_trader"/>
        <s v="jkkahlden"/>
        <s v="cory_lemay"/>
        <s v="upward_boundesu"/>
        <s v="kjcounsel"/>
        <s v="independantdemo"/>
        <s v="mickeybellet"/>
        <s v="divinelyteressa"/>
        <s v="socanderstacey"/>
        <s v="terryluiken"/>
        <s v="renaissancemars"/>
        <s v="_kamoafo"/>
        <s v="peiferlabunc"/>
        <s v="blkingradschool"/>
        <s v="beecyoung"/>
        <s v="kaydontplay_12"/>
        <s v="miajanai_"/>
        <s v="monieelovee_"/>
        <s v="logangin"/>
        <s v="lamarrichards_"/>
        <s v="blasiangoddessx"/>
        <s v="jbookthacrook"/>
        <s v="nike_bass95"/>
        <s v="alitebrand"/>
        <s v="lotsofsassblog"/>
        <s v="a_r_palmer"/>
        <s v="ecsuhonors"/>
        <s v="adamkirkedge"/>
        <s v="clcphd2004"/>
        <s v="ceopmedia"/>
        <s v="ess_kstate"/>
        <s v="aceducation"/>
        <s v="jonriskindatace"/>
        <s v="keyofe_pro"/>
        <s v="janetadamsspeak"/>
        <s v="trio_sss_mc"/>
        <s v="fiuferre"/>
        <s v="fceatrio"/>
        <s v="pisancheznyc"/>
        <s v="seccardona"/>
        <s v="mcnairunc"/>
        <s v="kumcnair"/>
        <s v="252trinnettec"/>
      </sharedItems>
    </cacheField>
    <cacheField name="Vertex 2" numFmtId="0">
      <sharedItems/>
    </cacheField>
    <cacheField name="Color" numFmtId="0">
      <sharedItems containsNonDate="0" containsString="0" containsBlank="1"/>
    </cacheField>
    <cacheField name="Width" numFmtId="164">
      <sharedItems containsNonDate="0" containsString="0" containsBlank="1"/>
    </cacheField>
    <cacheField name="Style" numFmtId="0">
      <sharedItems containsNonDate="0" containsString="0" containsBlank="1"/>
    </cacheField>
    <cacheField name="Opacity" numFmtId="1">
      <sharedItems containsNonDate="0" containsString="0" containsBlank="1"/>
    </cacheField>
    <cacheField name="Visibility" numFmtId="0">
      <sharedItems containsNonDate="0" containsString="0" containsBlank="1"/>
    </cacheField>
    <cacheField name="Label" numFmtId="49">
      <sharedItems containsNonDate="0" containsString="0" containsBlank="1"/>
    </cacheField>
    <cacheField name="Label Text Color" numFmtId="0">
      <sharedItems containsNonDate="0" containsString="0" containsBlank="1"/>
    </cacheField>
    <cacheField name="Label Font Size" numFmtId="0">
      <sharedItems containsNonDate="0" containsString="0" containsBlank="1"/>
    </cacheField>
    <cacheField name="Reciprocated?" numFmtId="0">
      <sharedItems/>
    </cacheField>
    <cacheField name="ID" numFmtId="0">
      <sharedItems containsSemiMixedTypes="0" containsString="0" containsNumber="1" containsInteger="1" minValue="3" maxValue="343"/>
    </cacheField>
    <cacheField name="Dynamic Filter" numFmtId="0">
      <sharedItems containsNonDate="0" containsString="0" containsBlank="1"/>
    </cacheField>
    <cacheField name="Add Your Own Columns Here" numFmtId="0">
      <sharedItems containsNonDate="0" containsString="0" containsBlank="1"/>
    </cacheField>
    <cacheField name="Relationship" numFmtId="0">
      <sharedItems count="5">
        <s v="Tweet"/>
        <s v="Mentions"/>
        <s v="Replies to"/>
        <s v="MentionsInRetweet"/>
        <s v="Retweet"/>
      </sharedItems>
    </cacheField>
    <cacheField name="Relationship Date (UTC)" numFmtId="22">
      <sharedItems containsSemiMixedTypes="0" containsNonDate="0" containsDate="1" containsString="0" minDate="2021-07-12T22:11:32" maxDate="2021-08-01T20:23:00" count="176">
        <d v="2021-07-25T16:14:10"/>
        <d v="2021-07-30T15:16:26"/>
        <d v="2021-07-30T15:22:48"/>
        <d v="2021-07-30T15:31:02"/>
        <d v="2021-07-30T15:57:36"/>
        <d v="2021-07-30T16:08:56"/>
        <d v="2021-07-30T16:39:32"/>
        <d v="2021-07-30T16:45:19"/>
        <d v="2021-07-30T16:52:03"/>
        <d v="2021-07-30T18:22:30"/>
        <d v="2021-07-30T18:25:26"/>
        <d v="2021-07-30T18:41:29"/>
        <d v="2021-07-30T18:46:52"/>
        <d v="2021-07-30T18:59:45"/>
        <d v="2021-07-30T19:24:40"/>
        <d v="2021-07-30T21:10:55"/>
        <d v="2021-07-30T21:16:32"/>
        <d v="2021-07-30T21:21:57"/>
        <d v="2021-07-30T21:25:39"/>
        <d v="2021-07-30T21:32:59"/>
        <d v="2021-07-30T21:57:26"/>
        <d v="2021-07-30T22:09:50"/>
        <d v="2021-07-12T22:11:32"/>
        <d v="2021-07-12T22:16:56"/>
        <d v="2021-07-12T22:21:26"/>
        <d v="2021-07-26T20:37:58"/>
        <d v="2021-07-27T14:43:59"/>
        <d v="2021-07-27T14:44:58"/>
        <d v="2021-07-28T23:35:29"/>
        <d v="2021-07-28T23:37:02"/>
        <d v="2021-07-28T23:38:19"/>
        <d v="2021-07-28T23:39:00"/>
        <d v="2021-07-28T23:40:12"/>
        <d v="2021-07-28T23:40:38"/>
        <d v="2021-07-28T23:42:40"/>
        <d v="2021-07-28T23:56:22"/>
        <d v="2021-07-29T15:01:31"/>
        <d v="2021-07-30T18:25:14"/>
        <d v="2021-07-29T15:04:47"/>
        <d v="2021-07-29T15:04:53"/>
        <d v="2021-07-29T15:06:01"/>
        <d v="2021-07-29T15:06:06"/>
        <d v="2021-07-29T15:06:10"/>
        <d v="2021-07-29T15:18:57"/>
        <d v="2021-07-29T15:06:55"/>
        <d v="2021-07-29T15:07:11"/>
        <d v="2021-07-29T15:08:05"/>
        <d v="2021-07-29T15:08:12"/>
        <d v="2021-07-29T15:08:15"/>
        <d v="2021-07-29T15:08:56"/>
        <d v="2021-07-29T15:09:09"/>
        <d v="2021-07-29T15:10:01"/>
        <d v="2021-07-29T15:10:07"/>
        <d v="2021-07-29T15:10:10"/>
        <d v="2021-07-29T03:53:27"/>
        <d v="2021-07-29T03:53:32"/>
        <d v="2021-07-30T17:28:17"/>
        <d v="2021-07-24T18:18:00"/>
        <d v="2021-07-26T15:59:00"/>
        <d v="2021-07-28T19:19:00"/>
        <d v="2021-07-28T21:16:37"/>
        <d v="2021-07-31T22:27:31"/>
        <d v="2021-08-01T20:23:00"/>
        <d v="2021-07-24T16:00:43"/>
        <d v="2021-07-26T16:01:45"/>
        <d v="2021-07-27T16:01:59"/>
        <d v="2021-07-29T16:01:38"/>
        <d v="2021-07-30T16:01:16"/>
        <d v="2021-07-31T16:00:37"/>
        <d v="2021-07-26T17:13:50"/>
        <d v="2021-07-27T18:37:29"/>
        <d v="2021-07-28T19:01:00"/>
        <d v="2021-07-29T22:44:43"/>
        <d v="2021-07-30T19:33:48"/>
        <d v="2021-07-31T20:07:58"/>
        <d v="2021-07-31T20:09:06"/>
        <d v="2021-07-31T20:09:23"/>
        <d v="2021-07-31T20:10:00"/>
        <d v="2021-07-29T19:00:43"/>
        <d v="2021-07-30T18:40:02"/>
        <d v="2021-07-29T21:35:03"/>
        <d v="2021-07-29T22:18:16"/>
        <d v="2021-07-29T01:45:07"/>
        <d v="2021-07-29T01:45:08"/>
        <d v="2021-07-30T17:31:22"/>
        <d v="2021-07-30T17:31:23"/>
        <d v="2021-07-28T00:01:06"/>
        <d v="2021-07-28T00:11:49"/>
        <d v="2021-07-27T20:09:47"/>
        <d v="2021-07-27T20:56:03"/>
        <d v="2021-07-28T12:44:07"/>
        <d v="2021-07-28T12:44:36"/>
        <d v="2021-07-27T16:50:02"/>
        <d v="2021-07-28T13:50:03"/>
        <d v="2021-07-30T13:43:17"/>
        <d v="2021-07-30T19:30:00"/>
        <d v="2021-07-30T17:36:20"/>
        <d v="2021-07-30T17:54:37"/>
        <d v="2021-07-27T20:11:20"/>
        <d v="2021-07-28T13:29:32"/>
        <d v="2021-07-26T18:00:15"/>
        <d v="2021-07-26T20:21:00"/>
        <d v="2021-07-27T14:20:59"/>
        <d v="2021-07-27T02:19:02"/>
        <d v="2021-07-27T16:16:23"/>
        <d v="2021-07-27T00:09:23"/>
        <d v="2021-07-27T02:01:05"/>
        <d v="2021-07-27T04:37:03"/>
        <d v="2021-07-30T15:45:30"/>
        <d v="2021-07-27T15:39:47"/>
        <d v="2021-07-27T17:45:50"/>
        <d v="2021-07-29T23:07:18"/>
        <d v="2021-07-27T20:09:39"/>
        <d v="2021-07-29T19:29:08"/>
        <d v="2021-07-29T22:18:09"/>
        <d v="2021-07-29T22:18:19"/>
        <d v="2021-07-29T22:20:57"/>
        <d v="2021-07-29T22:22:55"/>
        <d v="2021-07-29T22:26:18"/>
        <d v="2021-07-29T22:44:16"/>
        <d v="2021-07-29T22:51:46"/>
        <d v="2021-07-29T23:11:37"/>
        <d v="2021-07-30T15:31:00"/>
        <d v="2021-07-30T18:27:57"/>
        <d v="2021-07-30T21:27:53"/>
        <d v="2021-07-27T15:27:25"/>
        <d v="2021-07-29T04:23:02"/>
        <d v="2021-07-29T04:23:34"/>
        <d v="2021-07-29T14:16:09"/>
        <d v="2021-07-29T22:37:09"/>
        <d v="2021-07-29T22:49:06"/>
        <d v="2021-07-29T22:53:31"/>
        <d v="2021-07-29T23:41:15"/>
        <d v="2021-07-30T02:18:49"/>
        <d v="2021-07-30T22:10:53"/>
        <d v="2021-07-27T13:25:00"/>
        <d v="2021-07-31T20:08:25"/>
        <d v="2021-07-29T20:46:29"/>
        <d v="2021-07-27T20:15:49"/>
        <d v="2021-07-27T20:25:40"/>
        <d v="2021-07-27T20:52:01"/>
        <d v="2021-07-27T20:59:01"/>
        <d v="2021-07-27T22:40:43"/>
        <d v="2021-07-27T23:27:55"/>
        <d v="2021-07-27T23:42:24"/>
        <d v="2021-07-28T00:07:26"/>
        <d v="2021-07-28T01:02:49"/>
        <d v="2021-07-28T02:10:04"/>
        <d v="2021-07-28T02:18:28"/>
        <d v="2021-07-28T02:50:33"/>
        <d v="2021-07-28T04:15:35"/>
        <d v="2021-07-28T05:04:26"/>
        <d v="2021-07-28T10:11:55"/>
        <d v="2021-07-28T11:32:56"/>
        <d v="2021-07-28T11:52:02"/>
        <d v="2021-07-28T12:05:46"/>
        <d v="2021-07-28T15:22:33"/>
        <d v="2021-07-23T21:35:47"/>
        <d v="2021-07-23T17:04:35"/>
        <d v="2021-07-24T17:52:42"/>
        <d v="2021-07-24T17:58:06"/>
        <d v="2021-07-27T15:40:22"/>
        <d v="2021-07-26T13:21:41"/>
        <d v="2021-07-26T14:21:05"/>
        <d v="2021-07-29T15:46:38"/>
        <d v="2021-07-26T16:31:12"/>
        <d v="2021-07-29T21:19:03"/>
        <d v="2021-07-26T14:44:41"/>
        <d v="2021-07-26T22:10:11"/>
        <d v="2021-07-28T16:02:22"/>
        <d v="2021-07-27T23:53:24"/>
        <d v="2021-07-29T22:18:00"/>
        <d v="2021-07-27T20:49:05"/>
        <d v="2021-07-24T19:15:57"/>
        <d v="2021-07-28T22:58:26"/>
        <d v="2021-07-27T20:25:06"/>
      </sharedItems>
      <fieldGroup par="58" base="15">
        <rangePr groupBy="days" startDate="2021-07-12T22:11:32" endDate="2021-08-01T20:23:00"/>
        <groupItems count="368">
          <s v="&lt;7/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1/2021"/>
        </groupItems>
      </fieldGroup>
    </cacheField>
    <cacheField name="Tweet" numFmtId="0">
      <sharedItems count="105" longText="1">
        <s v="TRIO Splash Summer Academy Pool Party. Thank you, Terius Williams, life guard (TRIO student) for taking good care of us while at the pool swimming. #makingfriends #buildingrelationships_x000a_#TRIOworks https://t.co/j0PaFr4eQz"/>
        <s v="Capstone Project: Great job to our student emcee, Tyler Ross and Aleria Lester on the welcome. You're  amazing, looking forward to big things from both of you. Director Smith and Coordinator Idlette also spoke at the Showcase. _x000a_#TRIOworks https://t.co/VzA9q1Wyf8"/>
        <s v="Capstone Project: TRIO has spirit, yes we do! TRIO has spirit, how about you? _x000a_#TRIOworks https://t.co/rzjRAWOqPv"/>
        <s v="Thank you to our amazingly talented TRIO UB Instructional and Support Staff! Instructional Coaches- Ms. Browning, Ms Eliacin, Ms Hodges, Mr Hewitt, Mr Sanchez, Staff- Mr Gonzalez, Miss Outler and Mr Roberts!  #TRIOworks https://t.co/kcxP5XQ5tZ"/>
        <s v="Capstone Project: TRIO Steppers showed up and showed out!!_x000a_#TRIOworks https://t.co/ILKFYxtIYe"/>
        <s v="Capstone Project: The Drone Expo was very impressive!  #Trioworks https://t.co/xM5aAIdVSD"/>
        <s v="Capstone Project: kudos to our parent and community support! It was a packed house! I always say it takes a village, we have one! Let's change the world together! _x000a_#TRIOworks https://t.co/RSBncIgdLc"/>
        <s v="Capstone Project: The musical selection played during the event brought tears, students played &quot;Stand By Me&quot;, it was amazing! I hate to brag, but our students are top notch talented! #TRIOworks https://t.co/jjaADQL30C"/>
        <s v="Capstone Project: The students were very creative, they even included a game segment which included an Oreo challenge, beach ball toss and obstacle course._x000a_#TRIOworks https://t.co/K1XfvZMdpi"/>
        <s v="Capstone Project: TRIO Staff prepared a surprise dance routine for the students. They were so happy! Yes! We know how to turn up too! _x000a_#teamtrio #TRIOworks https://t.co/dsQGAEBKrc"/>
        <s v="Capstone Project: STEM Teams compete in a robotics competition.  Both groups were outstanding! Go Big Blue! Go Gold! _x000a_#TRIOworks https://t.co/MV2cjqKIHa"/>
        <s v="College Tour 2021: After a fabulous Summer Academy Program, we attended a 5 day road trip which consisted of college visits, cultural experiences, food and fun! Students were required to write about their journey in their Journey Book.  #TRIOworks https://t.co/iJPb0LfFkB"/>
        <s v="College Tour: University of Central FL Tour_x000a_#TRIOworks https://t.co/O8exFh63BV"/>
        <s v="College Tour: Movies at City Walk in Orlando, FL. Private viewing of &quot;In the Heights&quot;. They also enjoyed their snacks, popcorn, candy, and an icee! #creatingmemories _x000a_#TRIOworks https://t.co/zR4E4ogSP2"/>
        <s v="College Tour: Bethune Cookman University tour, the day we visited was Mary McLeod Bethune's birthday. Nice HBCU college campus! _x000a_#TRIOworks https://t.co/ViOLsQXPny"/>
        <s v="College Tour: Tampa, FL - Visiting the University of South Florida_x000a_#TRIOworks https://t.co/8rp82QrrqK"/>
        <s v="College Tour: Tampa, FL - Visiting the University of South Florida_x000a_#TRIOworks https://t.co/iU5QNW84FC"/>
        <s v="College Tour: Tampa, FL - Visiting the University of South Florida_x000a_#TRIOworks https://t.co/l3aqjXywsZ"/>
        <s v="College Tour: Tampa, FL - Busch Gardens_x000a_#TRIOworks https://t.co/A8yRXYWMPV"/>
        <s v="College Tour: St Pete Beach, FL _x000a_#TRIOworks https://t.co/hN8cTqlE7g"/>
        <s v="College Tour: A big thank you to Florida Southern College in Lakeland, FL! They went above and beyond providing an outstanding guided tour of their campus to our students! It was very informative, and engaging! #floridasouthern #TRIOworks https://t.co/rJB1wbzBc1"/>
        <s v="College Tour: The last supper was served at Harry's Seafood Restaurant in Lakeland, Fl before returning home. It was delicious! _x000a_#TRIOworks https://t.co/45Sx1Cwh4e"/>
        <s v="Gardening @CCBCMD @UCatonsville Summer Academy #TRIOworks https://t.co/Ik6c8xqpfp"/>
        <s v="Transitioning to one activity to another @CCBCMD @UCatonsville #Trioworks https://t.co/qS91QFFrhQ"/>
        <s v="Transitioning to one activity to another @CCBCMD @UCatonsville #Trioworks https://t.co/FqwuGtpmW2"/>
        <s v="@CCBCMD @UCatonsville scholars enjoyed their day learning about the history of Hampton Mason today. #TRIOworks https://t.co/Y9K7E0pgKe"/>
        <s v="Our @CCBCMD @UCatonsville scholars are learning Basic @AmericanASL as an added language enrichment for our Summer Academy. Our facilitator is Mrs. Sicily Faulkner. We are having an awesome time learning #ASL. @YouTube video: https://t.co/JScCEA0fvj @BaltCoPS #TRIOworks @COETalk https://t.co/S4TvYwYbrz"/>
        <s v="Our @CCBCMD @UCatonsville scholars are learning Basic @AmericanASL as an added language enrichment for our Summer Academy. Our facilitator is Mrs. Sicily Faulkner. We are having an awesome time learning #ASL. @YouTube video: https://t.co/AYZfDR309g… @BaltCoPS #TRIOworks @COETalk"/>
        <s v="@CCBCMD @UCatonsville Scholars enjoy our day @washingtondc @IntlSpyMuseum  #Trioworks @BaltCoPS https://t.co/Lj66PRaSzf"/>
        <s v="@CCBCMD @UCatonsville Scholars enjoy our day @washingtondc @IntlSpyMuseum @BaltCoPS #Trioworks https://t.co/t55YpVvz6k"/>
        <s v="@CCBCMD @UCatonsville Scholars enjoy our day @washingtondc @IntlSpyMuseum @BaltCoPS #Trioworks https://t.co/vm4cENOfDP"/>
        <s v="@CCBCMD @UCatonsville Scholars enjoy our day @washingtondc @IntlSpyMuseum @BaltCoPS #Trioworks https://t.co/e7EeSKlgFU"/>
        <s v="@CCBCMD @UCatonsville Scholars enjoy our day @washingtondc @IntlSpyMuseum @BaltCoPS #Trioworks https://t.co/anN2BuwqgN"/>
        <s v="@CCBCMD @UCatonsville Scholars enjoy our day @washingtondc @IntlSpyMuseum @BaltCoPS #Trioworks https://t.co/BWEtleGFHf"/>
        <s v="@CCBCMD @UCatonsville Scholars enjoy our day @washingtondc @IntlSpyMuseum and one of our students was able to hold on for almost 60 seconds. Great job, Kamari. @BaltCoPS #Trioworks https://t.co/nPdLHTC1wI"/>
        <s v="@CCBCMD @UCatonsville Scholars enjoy our day @washingtondc visiting famous sites @BaltCoPS #Trioworks https://t.co/Pf8S4nlOZM"/>
        <s v="Our @CCBCMD @UCatonsville scholars enjoyed visiting @washingtondc and going to different famous monuments. @BaltCoPS #TRIOworks https://t.co/Vinr9Ksy80"/>
        <s v="⁦@CCBCMD⁩ ⁦@UCatonsville⁩ student, Fridosse Adams, showing her ⁦@AmericansignL⁩ skills from our Summer Academy. Facilitator is Mrs. Sicily Faulkner. #TRIOworks  https://t.co/2z5nQvMrgm"/>
        <s v="Deadline is almost here! Please consider submitting a workshop proposal for the 2021 annual PDS event, sponsored by the CenCal chapter of WESTOP. Theme: Climbing towards Success: Navigating our new work environment ahead. #TRIOWorks #SAPro #SAPros #studentaffairs https://t.co/ATuHIm1exU"/>
        <s v="CenCal is proud to announce the development of our first pre-con to occur right before #CenCalPDS21 on Oct. 5th. This event is geared towards new student service professionals under 2 years of professional experience. Only $100 Open to all #SApros in California! #TRIOworks https://t.co/nPgStfE1en"/>
        <s v="Only 10 days left! Please consider submitting a workshop proposal for the 2021 annual PDS event, sponsored by the CenCal chapter of WESTOP. Theme: Climbing towards Success: Navigating our new work environment ahead. #TRIOWorks #SAPro #SAPros #studentaffairs"/>
        <s v="ARTICLE: The Edge: New Takes on College Access, Rural Students, and Transfer_x000a__x000a_https://t.co/WKr0gEwvNd_x000a__x000a_#Rural #Comm_College #trioworks"/>
        <s v="Our Education &amp;amp; Legislation Liaison @_estefannyyyy_  and our President @0svaldolavalle are busy working, on a Saturday afternoon, on the inaugural New Professional Institute (NPI) for this fall’s Professional Development Seminar (PDS) to be held on October 5th #TRIOWorks https://t.co/KdnoeGoMnf"/>
        <s v="Only 5 days left! Please consider submitting a workshop proposal for the 2021 annual PDS event, sponsored by the CenCal chapter of WESTOP. Theme: Climbing towards Success: Navigating our new work environment ahead. #TRIOWorks #SAPro #SAPros #studentaffairs https://t.co/GFQej9zGIl"/>
        <s v="Meet Kera Flynn!_x000a__x000a_📚 Junior: Broadcast &amp;amp; Electronic Media_x000a_🏡 Somerset, Kentucky_x000a_❤️ My favorite aspect of the NOVA Program is the love and joy spread throughout the program._x000a__x000a_#trioworks #ekunova #firstgen #peermentor #youngleader https://t.co/d1Dwaxzdvz"/>
        <s v="The NOVA Open House is just a couple weeks away! Stop by and enjoy a catered meal and team games. We can't wait to see our NOVAs, new and old, on the beautiful Turley House Lawn. #trioworks #firstgeneration #ekunova #openhouse https://t.co/YCkAMVFgDG"/>
        <s v="Meet Ricki Brown!_x000a__x000a_📚 Sophomore: Public Health_x000a_🏡 Morgantown, Kentucky_x000a_❤️ My favorite part about NOVA is the advisors and my friends!_x000a__x000a_#trioworks #ekunova #firstgen #peermentor #youngleader https://t.co/0k2BKZ4ree"/>
        <s v="Meet Maddie Harbison! _x000a__x000a_📚 Junior: Pre-ASL Interpreter Training Program: Special Education_x000a_🏡 Louisville, Kentucky_x000a_❤️ I love NOVA because it gave me a huge support system and brought me many new friendships  _x000a__x000a_#trioworks #ekunova #firstgen #peermentor #youngleader https://t.co/H5vE3yBVuR"/>
        <s v="Meet Destanie Feltner!_x000a__x000a_📚 Junior: Social Work: Sociology &amp;amp; Child and Infant Care _x000a_🏡 Manchester, Kentucky_x000a_❤️ My favorite aspect of the NOVA Program is the close community and amazing advisors._x000a__x000a_#trioworks #ekunova #firstgen #peermentor #youngleaders https://t.co/rnY6s1YF7x"/>
        <s v="Meet Haley Tackett!_x000a__x000a_📚 Junior: Biomedical science: Pre-med_x000a_🏡 Teaberry, Kentucky_x000a_❤️ My favorite part of the program is the relationships we build with our advisors and the leadership opportunities the program presents! _x000a__x000a_#trioworks #ekunova #firstgen #peermentor #youngleaders https://t.co/jRm4JQjxYy"/>
        <s v="Christina's research aims to add to the literature on the impacts of social determinants on individuals' health and wellbeing by using the current andemic as a platform to explore this. #mcnair #trumanstate #biology #trioworks #iammcnair #research #gradschool #distinctbydesign"/>
        <s v="Next up is Kim Ramos, a senior at Truman State University majoring in Philosophy &amp;amp; Religion and Creative Writing and working with Dr. Chad Mohler!_x000a__x000a_#mcnair #trumanstate #philosophy #trioworks #iammcnair #research #gradschool #distinctbydesign https://t.co/TYz2YvtBgy"/>
        <s v="Zane Siebeneck is a senior Truman McNair Scholar majoring in Biology and working with Dr. Stephanie Foré._x000a__x000a_#mcnair #trumanstate #biology #trioworks #iammcnair #research #gradschool #distinctbydesign https://t.co/zbbYX8FVlR"/>
        <s v="Our next Scholar is Ashley Taylor, a senior at Truman State University majoring in Psychology and Creative Writing and working with Dr. Sarah Mohler!_x000a__x000a_#mcnair #trumanstate #psychology #trioworks #iammcnair #research #gradschool #distinctbydesign https://t.co/ChH6UY7i6A"/>
        <s v="Our last Scholar participating in the 2021 McNair Summer Research Internship is Tre'Andice Williams, a Truman McNair Scholar majoring in Biology and working with Dr. Stephanie Maiden. #mcnair #trumanstate #biology #trioworks #iammcnair #research #gradschool #distinctbydesign https://t.co/c4KamUFyYn"/>
        <s v="📹 Sesc Belenzinho 2019 #fishmanpickups #doublebassist #ampegsvt #musicaddict #musica #bassistsofinstagram #modernjazz #doublebassist #jazztrio #bassguitars #gigs #doublebassplaye #trioworks #fishmanpreamp #studio #modernart #gravação... https://t.co/HyfE4Z7hDM"/>
        <s v="📷 Bass solo #fishmanpickups #doublebassist #ampegsvt #musicaddict #musica #bassistsofinstagram #modernjazz #doublebassist #jazztrio #bassguitars #gigs #doublebassplaye #trioworks #fishmanpreamp #studio #modernart #gravação #doublebass... https://t.co/bS9GK9DblB"/>
        <s v="📷 Voltando aos poucos!!!!!!! Getting back!!!!!!!!!!!!!!! #fishmanpickups #doublebassist #ampegsvt #musicaddict #musica #bassistsofinstagram #modernjazz #doublebassist #jazztrio #bassguitars #gigs #doublebassplaye #trioworks #fishmanpreamp... https://t.co/pCz1F44Zbc"/>
        <s v="📷 Take bom! When the take was good!! #fishmanpickups #doublebassist #ampegsvt #musicaddict #musica #bassistsofinstagram #modernjazz #doublebassist #jazztrio #bassguitars #gigs #doublebassplaye #trioworks #take #fishmanpreamp #studio... https://t.co/eoA4rUcn2t"/>
        <s v="#MeetTheTeam Dina Ibarra!!! #uw #TrioWorks https://t.co/S6L1CaQORI"/>
        <s v="#PopQuiz Which answer do you think is correct 🤔🤔 #TRIO #TRIOWORKS #uw #ets https://t.co/gDlrMj7McW"/>
        <s v="Did your TRIO program join the @COETalk summer book club &quot;Good Trouble?!&quot; 📕 TRIO programs that participated could tune in today to hear the U.S. Secretary of Education @SecCardona! #TRIOWorks https://t.co/55rgIQHXCy"/>
        <s v="John Lewis taught us to shine our light &amp;amp; lead a life of purpose – even if that means getting into a little “good trouble.” _x000a__x000a_Today, I joined in a discussion with @COETalk on Congressman Lewis’ book &amp;amp; how each student intends to lead a life of purpose. #TRIOWorks https://t.co/LVs9ZqyeBL"/>
        <s v="COE thanks TRIO Caucus Co-Chair and TRIO Alumna @repgwenmoore for championing this historic $200.8M increase in TRIO funding. #TRIOWorks https://t.co/lz5Glnp9ux"/>
        <s v=". @RepGwenMoore: “I rise in strong support of this legislation... I'm particularly appreciative for the increased investments in #TRIO. I would mention that's a bipartisan initiative.” #TRIOWorks https://t.co/YYnP2o6Rbz"/>
        <s v="COE thanks @RepBonamici for highlighting TRIO programs during today's @EdLaborCmte hearing! #TRIOWorks https://t.co/IUtNcW7ro8"/>
        <s v=". @RepBonamici: &quot;This is why I support TRIO, Gear Up, &amp;amp; programs that help with retention, particularly for first-generation college students.” #TRIOWorks #CelebrateFirstGen https://t.co/hcyMBwPxGb"/>
        <s v="Drones are 4 flying w/autonomous programming. Building 21st century workforce readiness. #MyStudentsAreTheBomb #TRIOworks_x000a_Inmersos en Vivero Del Software evento #DevoxxKids Talleres drones #TerritorioSTEM+H @AlcaldiadeMed @NEIU @CCAS_NEIU @TRIOUBMS_NEIU @Morton201 @ChiPubSchools https://t.co/2eEYOnOIWx"/>
        <s v="Another amazing STEAM Academy Spring 2020 Saturday session at @NEIUElCentro w @ChiPubSchools and @Morton201 high school students. Amazing Physics class by the one and only @McaplanMarcelo #NewtonsLaws #STEM #GoogleClassrooms #TRIOworks @CCAS_NEIU @NEIU @COETalk https://t.co/MQqo1LVCRX"/>
        <s v="5 years ago today, I presented my first independent research project with @McNairUNC. _x000a__x000a_5 years later and I’m still chasing those future directions I mentioned but in my dissertation. 🤯 I say it all the time but McNair TRULY changed my life. #TrioWorks https://t.co/AjicC7DZfX"/>
        <s v="We are very proud of you, @_MABurnett!_x000a__x000a_The research poster below still remains within the @CHEOPUNC Office. When you finish the dissertation, please stop by and sign it &quot;Dr. Burnett,&quot; so we can celebrate your perseverance full circle. #TrioWorks https://t.co/GnXF9cxhzM"/>
        <s v="U.S. Senators Susan Collins, Jon Tester, &amp;amp; Tammy Baldwin led a bipartisan group of 56 Senators in pushing for continued funding for Federal TRIO Programs in the Labor, Health &amp;amp; Human Services, &amp;amp; Education Appropriations bill. Learn more here:_x000a_https://t.co/DBhiXq9rxN _x000a_#TRIOworks"/>
        <s v="The University of Nevada plans to simulate their Dean’s Future Scholars Program across the state as the Nevada First-Gen Network, a program dedicated to serving first generation, low income students. Learn more about their efforts here: _x000a_https://t.co/IgW2uMTZck _x000a_#TRIOworks"/>
        <s v="As we begin planning for #CelebrateFirstGen Day on Nov. 8th, this fall, please consider some of these great activities to conduct on your campus. Thanks to @FirstgenCenter and @COETalk for putting the list together. #TRIOWorks _x000a_https://t.co/7nC6vFOdjW"/>
        <s v="We are happy to see so many @USCongress members highlighting the great work that we in TRIO do on behalf of students, both high school and college. #TRIOWorks https://t.co/Sll2UwMmog"/>
        <s v="The Summer Component is coming to an end. Please jot these dates down and read carefully! See you soon! #ubsummer #summercomponent #trioworks https://t.co/GDA4fjfygW"/>
        <s v="More @txtreeventures pics! UB tram building is so much fun, even if we are melting!_x000a__x000a_#upwardbound #ubsjc #ub #trioworks #channelviewhighschool #galenaparkhighschool #cvhs #gphs https://t.co/GAm4L29o0O"/>
        <s v="The York State Fair is heating up 🔥and you can find us in Memorial Hall East (near the 🚂 ) for games, prizes and to learn more about the Penn State Educational Opportunity Center.  #TRIOWORKS https://t.co/sucFDqgJ4E"/>
        <s v="31 years ago the Americans with Disabilities Act was established. _x000a__x000a_#TrioWorks #TrioSSSMUR #MiamiOHRegionals https://t.co/cx3jA6O4pV"/>
        <s v="#trioworks #fafsa https://t.co/MTtFJVxTqQ"/>
        <s v="We are exactly 1 week away from our Student Leadership Day! We are happy to introduce you all to our 'Opening Edutainment' |  @TrillorNotTrill is ready to get us going! If you're registered, info will be hitting your inbox tomorrow! _x000a_https://t.co/VIC3bN3TVo_x000a_#TRIOworks #AEEE44"/>
        <s v="I am so excited to get this next year cracking of to a good start. The streets is all up in this yall. Thank you @TheRealEligio for being willing to support me with this fellowship. #streetwisescholar #scholarhomies #fromthahoodtogettinghooded #TRIOWORKS #mtsac #communitycolleges https://t.co/slYUHcoA1U"/>
        <s v="August newsletter drops Mon Aug 2. Highlights include an opportunity to be part of fall research study &amp;amp; receive free games. Sign up today to not miss a thing: https://t.co/6zAoL9WEjQ _x000a_#collegecounseling #collegeready #collegeprep #TRiOworks #GEARUPworks https://t.co/Uptn20TvsR"/>
        <s v="Thank you @SenTomCotton staff member Matt Murphy for meeting with NSLC students! #TheChallengeofChange #NSLC2021 #TRIOworks https://t.co/oah4rjjWW5"/>
        <s v="Shout out to all our New Jersey TRIO Programs, Stakeholders, Scholars, and their Families | Happy #NationalNewJerseyDay #TRIOworks @SenBooker @SenatorMenendez @JackashaWiley"/>
        <s v="📕“Good Trouble” Book Club!📕 Next &amp;amp; final speaker of the National Speaker series is @SecCardona! 🏫 As many as possible join LIVE at 2:45 pm EST on Thurs, July 29! Check your Ivy Tech email or contact us for the link. #TRIOWorks #GoodTrouble @COETalk @EdOpAssoc @indianatrio https://t.co/QA7Racagbz"/>
        <s v="A little late posting but THANK YOU @RepGwenMoore for participating in COE’s #GoodTrouble book club! The students from Montana Tech’s UB Club were mesmerized by your message! #TRIOWORKS!"/>
        <s v="COE would like to congratulate Pierina Sanchez on her recent victory in the primary for New York City Council's 14th District! @PiSanchezNYC is an Upward Bound TRIO Alumna of the Bronx Community College program. Learn more about her here:  _x000a_https://t.co/YnDkoNpkly _x000a_#TRIOworks"/>
        <s v="📹 Frevo Bicudo Theme /Comp @na.housemusicbr #fishmanpickups #doublebassist #ampegsvt #musicaddict #musica #bassistsofinstagram #modernjazz #doublebassist #jazztrio #bassguitars #gigs #doublebassplaye #trioworks #fishmanpreamp #studio... https://t.co/7BJ4VG2dTI"/>
        <s v="@MontanaGEARUP So excited to see this. Love when student stories are amplified. Listen to Students. Learn from Students. Lead with Students. #StudentsAsPartners #GEARUP #TRIOworks"/>
        <s v="@_MABurnett @McNairUNC Yes. Yes. Thanks, Marketa. McNair also changed my life. McNair Scholar at the University of Wyoming 1997-1999, Winner 2014 National Trio Achievers Award #TrioWorks"/>
        <s v="Help us congratulate these incredible @KUMcNair Scholars on a successful summer of undergraduate research!_x000a__x000a_Discover. Build. Rise. _x000a_#TRIOworks https://t.co/sNVcXhDvmQ"/>
        <s v="Doubling the Pell Grant would help more students earn a degree and secure a bright future. This has bipartisan support. Take action at https://t.co/8zMvVCARhm #doublepell #TRIOworks @KStateOFGS @KStateSuccess https://t.co/zz7D3jGcsa"/>
        <s v="Special thanks to Patrick with Senator @JohnCornyn 's office for taking time to meet with the TRIO students participating in #NSLC2021. Had a great convo about college prep &amp;amp; how to learn more about govt &amp;amp; careers in politics. #TRIOWORKS https://t.co/ZyF0gTvKJW"/>
        <s v="6 years working with Trio Student Support Services #TrioWorks 💪🏾🙏🏾"/>
        <s v="I have been speaking virtual for over a year now and today I continue with Wayne State University UB!_x000a__x000a_Today it is all about entrepreneurship! Students will learn how to take their ideas and turn it into a #business. _x000a__x000a_#Entrepreneurship #FinancialLiteracy #TRiOWorks #Speaker https://t.co/BA8wFwhd17"/>
        <s v="Initiative from the #IndianaTRIO Research &amp;amp; Evaluation Committee to actively promote the Educational Opportunity Association (EOA) Best Practices Clearinghouse: https://t.co/rKBPqJUDot_x000a_✔️ Together, we make sure #TRIOWorks! ✨ https://t.co/yW6UGEyIix"/>
        <s v="We had a great time at @iflyhouston _x000a_Great way to learn a bit more about physics while indoor skydiving #stem_x000a__x000a_#upwardbound #ub #ubsjc #trioworks https://t.co/U0bu3DbjWC"/>
        <s v="Students planning to transfer Spring 2022 semester to CSUs, the Application filing period is August 1-31 , 2021. If you need help with your application, please contact TRIO Counselors ASAP! We are here to help 🙂_x000a_@go2MissionSC _x000a_#TeamTRIO #TRIO #TRIOWorks #WeAreMission https://t.co/R4SXncPJ3C"/>
        <s v="@FIU_SSS will be discussing LOVE and RECONCILIATION, the two last chapters of Good Trouble, with Joe Saunders and Dr. Miguel Cardona tomorrow and on Thursday. Join us in SASC 220 or via zoom: https://t.co/jDolrDYhrU #FIU_SSS #IamTRIO #TRIOworks https://t.co/lSMPTh9Xs3"/>
        <s v="💡Bonus Tip:_x000a__x000a_Our Talent Search program does a great job at assisting students with #college and #scholarship applications! 📝🎓_x000a__x000a_Click here to sign up today! ↙️_x000a_ 🔗https://t.co/it1FJTzboz_x000a__x000a_#highschool #talentsearch #upwardbound #UBMS #trio #trioworks #collegetips #trioprogram https://t.co/6n9vExXJC9"/>
        <s v="We are excited to announce that NOVA's own, Rowan Harvey, has been accepted by @EKUMcNair! Rowan hopes to study public health accessibility for minority populations. Congratulations Rowan! _x000a__x000a_#trioworks #mcnairscholar #firstgen #ekunova https://t.co/54iJh5KWYw"/>
        <s v="@COETalk Thank you so much!!! #TRIOWorks"/>
        <s v="Registered for #AEEE44 or our Student Leadership Day? You should have received an email with information regarding the conference! Check your spam if you need to! #TRIOworks"/>
        <s v="@_MABurnett #TRIOWorks I didn’t do McNair but precollege I was in Educational Talent Search for years and all while in college Student Support Services 🙏🏾"/>
      </sharedItems>
    </cacheField>
    <cacheField name="URLs in Tweet" numFmtId="0">
      <sharedItems containsBlank="1" count="24">
        <m/>
        <s v="https://www.youtube.com/shorts/qku6RAs0B3k?feature=share"/>
        <s v="https://youtube.com/shorts/qku6RAs"/>
        <s v="https://youtu.be/AblrrbQT5AE"/>
        <s v="https://www.chronicle.com/newsletter/the-edge/2021-07-28"/>
        <s v="https://jamillimabass.tumblr.com/post/658256249154060288/sesc-belenzinho-2019-fishmanpickups#_=_"/>
        <s v="https://jamillimabass.tumblr.com/post/658256319949750272/bass-solo-fishmanpickups-doublebassist#_=_"/>
        <s v="https://jamillimabass.tumblr.com/post/658256337825873920/voltando-aos-poucos-getting#_=_"/>
        <s v="https://jamillimabass.tumblr.com/post/658256376297078784/take-bom-when-the-take-was-good#_=_"/>
        <s v="https://twitter.com/SSSIvyTechFW/status/1420826156031414278"/>
        <s v="https://twitter.com/_MABurnett/status/1420114213658402821"/>
        <s v="https://www.collins.senate.gov/newsroom/collins-tester-baldwin-lead-push-trio-program-funding-assist-first-generation-low-income"/>
        <s v="https://thenevadaindependent.com/article/new-funding-gives-boost-to-programs-serving-future-first-generation-college-students"/>
        <s v="https://firstgen.naspa.org/blog/101-ways-to-celebrate-on-nov-8"/>
        <s v="https://twitter.com/coetalk/status/1421161509527474187"/>
        <s v="https://twitter.com/AtlTechCollege/status/1419761172425973767"/>
        <s v="https://www.youtube.com/watch?v=a9yZSmT6fwM&amp;feature=youtu.be"/>
        <s v="https://successprints.shop/"/>
        <s v="https://latinovictory.us/latino-victory-fund-congratulates-new-york-city-council-candidates-for-winning-democratic-primary-election/"/>
        <s v="https://jamillimabass.tumblr.com/post/658256277007384576/frevo-bicudo-theme-comp-nahousemusicbr#_=_"/>
        <s v="https://doublepell.org/take-action/"/>
        <s v="https://besteducationpractices.squarespace.com/"/>
        <s v="https://go.fiu.edu/sssgoodtrouble"/>
        <s v="https://familycentered.jotform.com/211244643290045?"/>
      </sharedItems>
    </cacheField>
    <cacheField name="Domains in Tweet" numFmtId="0">
      <sharedItems containsBlank="1" count="15">
        <m/>
        <s v="youtube.com"/>
        <s v="youtu.be"/>
        <s v="chronicle.com"/>
        <s v="tumblr.com"/>
        <s v="twitter.com"/>
        <s v="senate.gov"/>
        <s v="thenevadaindependent.com"/>
        <s v="naspa.org"/>
        <s v="successprints.shop"/>
        <s v="latinovictory.us"/>
        <s v="doublepell.org"/>
        <s v="squarespace.com"/>
        <s v="fiu.edu"/>
        <s v="jotform.com"/>
      </sharedItems>
    </cacheField>
    <cacheField name="Hashtags in Tweet" numFmtId="0">
      <sharedItems count="49">
        <s v="makingfriends buildingrelationships trioworks"/>
        <s v="trioworks"/>
        <s v="teamtrio trioworks"/>
        <s v="creatingmemories trioworks"/>
        <s v="floridasouthern trioworks"/>
        <s v="asl trioworks"/>
        <s v="trioworks sapro sapros studentaffairs"/>
        <s v="cencalpds21 sapros trioworks"/>
        <s v="rural comm_college trioworks"/>
        <s v="trioworks ekunova firstgen peermentor youngleader"/>
        <s v="trioworks firstgeneration ekunova openhouse"/>
        <s v="trioworks ekunova firstgen peermentor youngleaders"/>
        <s v="mcnair trumanstate biology trioworks iammcnair research gradschool distinctbydesign"/>
        <s v="mcnair trumanstate philosophy trioworks iammcnair research gradschool distinctbydesign"/>
        <s v="mcnair trumanstate psychology trioworks iammcnair research gradschool distinctbydesign"/>
        <s v="fishmanpickups doublebassist ampegsvt musicaddict musica bassistsofinstagram modernjazz doublebassist jazztrio bassguitars gigs doublebassplaye trioworks fishmanpreamp studio modernart gravação"/>
        <s v="fishmanpickups doublebassist ampegsvt musicaddict musica bassistsofinstagram modernjazz doublebassist jazztrio bassguitars gigs doublebassplaye trioworks fishmanpreamp studio modernart gravação doublebass"/>
        <s v="fishmanpickups doublebassist ampegsvt musicaddict musica bassistsofinstagram modernjazz doublebassist jazztrio bassguitars gigs doublebassplaye trioworks fishmanpreamp"/>
        <s v="fishmanpickups doublebassist ampegsvt musicaddict musica bassistsofinstagram modernjazz doublebassist jazztrio bassguitars gigs doublebassplaye trioworks take fishmanpreamp studio"/>
        <s v="meettheteam uw trioworks"/>
        <s v="popquiz trio trioworks uw ets"/>
        <s v="trio trioworks"/>
        <s v="trioworks celebratefirstgen"/>
        <s v="mystudentsarethebomb trioworks devoxxkids territoriostem"/>
        <s v="newtonslaws stem googleclassrooms trioworks"/>
        <s v="celebratefirstgen trioworks"/>
        <s v="ubsummer summercomponent trioworks"/>
        <s v="upwardbound ubsjc ub trioworks channelviewhighschool galenaparkhighschool cvhs gphs"/>
        <s v="trioworks triosssmur miamiohregionals"/>
        <s v="trioworks fafsa"/>
        <s v="trioworks aeee44"/>
        <s v="streetwisescholar scholarhomies fromthahoodtogettinghooded trioworks mtsac communitycolleges"/>
        <s v="collegecounseling collegeready collegeprep trioworks gearupworks"/>
        <s v="thechallengeofchange nslc2021 trioworks"/>
        <s v="nationalnewjerseyday trioworks"/>
        <s v="trioworks goodtrouble"/>
        <s v="goodtrouble trioworks"/>
        <s v="fishmanpickups doublebassist ampegsvt musicaddict musica bassistsofinstagram modernjazz doublebassist jazztrio bassguitars gigs doublebassplaye trioworks fishmanpreamp studio"/>
        <s v="studentsaspartners gearup trioworks"/>
        <s v="doublepell trioworks"/>
        <s v="nslc2021 trioworks"/>
        <s v="business entrepreneurship financialliteracy trioworks speaker"/>
        <s v="indianatrio trioworks"/>
        <s v="stem upwardbound ub ubsjc trioworks"/>
        <s v="teamtrio trio trioworks wearemission"/>
        <s v="fiu_sss iamtrio trioworks"/>
        <s v="college scholarship highschool talentsearch upwardbound ubms trio trioworks collegetips trioprogram"/>
        <s v="trioworks mcnairscholar firstgen ekunova"/>
        <s v="aeee44 trioworks"/>
      </sharedItems>
    </cacheField>
    <cacheField name="Media in Tweet" numFmtId="0">
      <sharedItems containsBlank="1" count="79">
        <s v="https://pbs.twimg.com/media/E7J5O47WEAIbSxX.jpg"/>
        <s v="https://pbs.twimg.com/media/E7jb-EJXoAABi_h.jpg"/>
        <s v="https://pbs.twimg.com/media/E7jdbYxWUAM1zkS.jpg"/>
        <s v="https://pbs.twimg.com/media/E7jfT4hWEAQGREC.jpg"/>
        <s v="https://pbs.twimg.com/media/E7jlZPvX0AUCbs2.jpg"/>
        <s v="https://pbs.twimg.com/ext_tw_video_thumb/1421140714084343810/pu/img/y5htx6H7_Yt3dMRi.jpg"/>
        <s v="https://pbs.twimg.com/media/E7ju_jMWQAIQq8n.jpg"/>
        <s v="https://pbs.twimg.com/media/E7jwUrEX0AEe_Lp.jpg"/>
        <s v="https://pbs.twimg.com/media/E7jx2jfWEAMfj6Q.jpg"/>
        <s v="https://pbs.twimg.com/media/E7kGj0RXoAAfhsR.jpg"/>
        <s v="https://pbs.twimg.com/media/E7kHOELX0AYLu8P.jpg"/>
        <s v="https://pbs.twimg.com/media/E7kK560XIAQ4BKO.jpg"/>
        <s v="https://pbs.twimg.com/media/E7kMIzcXEAcu9j6.jpg"/>
        <s v="https://pbs.twimg.com/media/E7kPEzLWYAcyUg0.jpg"/>
        <s v="https://pbs.twimg.com/media/E7kUyDWX0AAAydB.jpg"/>
        <s v="https://pbs.twimg.com/media/E7ktGcvXMAUpYAr.jpg"/>
        <s v="https://pbs.twimg.com/ext_tw_video_thumb/1421218088586989568/pu/img/3POwVEePskrryj3Z.jpg"/>
        <s v="https://pbs.twimg.com/media/E7kvnvZWQAIsBoi.jpg"/>
        <s v="https://pbs.twimg.com/media/E7kwe7QWUAM0LsI.jpg"/>
        <s v="https://pbs.twimg.com/ext_tw_video_thumb/1421222270018666498/pu/img/m88XJMA3hsFqJPLl.jpg"/>
        <s v="https://pbs.twimg.com/media/E7k3v88WUAEaaVZ.jpg"/>
        <s v="https://pbs.twimg.com/ext_tw_video_thumb/1421231504928219139/pu/img/6GnYrXL7LDZIE5lX.jpg"/>
        <s v="https://pbs.twimg.com/media/E6IOXacX0AIO80c.jpg"/>
        <s v="https://pbs.twimg.com/media/E6IPmASXMAAHX-l.jpg"/>
        <s v="https://pbs.twimg.com/media/E6IQoc-XIAIEHeV.jpg"/>
        <s v="https://pbs.twimg.com/media/E7P_L-xXoAQ6N18.jpg"/>
        <s v="https://pbs.twimg.com/media/E7T3xyJWQAYfYP3.jpg"/>
        <m/>
        <s v="https://pbs.twimg.com/media/E7a7A6jX0AQDEwY.jpg"/>
        <s v="https://pbs.twimg.com/media/E7a7XzIWQAAyDbT.jpg"/>
        <s v="https://pbs.twimg.com/media/E7a7qL-X0AEub4f.jpg"/>
        <s v="https://pbs.twimg.com/media/E7a70a7XEAQb9EK.jpg"/>
        <s v="https://pbs.twimg.com/media/E7a8GjlXoAg2YCs.jpg"/>
        <s v="https://pbs.twimg.com/media/E7a8M1bXEAQWb44.jpg"/>
        <s v="https://pbs.twimg.com/media/E7a8qbhWYAAJ_Pp.jpg"/>
        <s v="https://pbs.twimg.com/media/E7a_y_LXIAEIoB-.jpg"/>
        <s v="https://pbs.twimg.com/media/E7eO9zIVUAEjK-g.jpg"/>
        <s v="https://pbs.twimg.com/media/E4LuRbFVEAEufsH.jpg"/>
        <s v="https://pbs.twimg.com/media/E3-Sw9gVoAAcici.jpg"/>
        <s v="https://pbs.twimg.com/media/E7qIOzGUcAIUR57.jpg"/>
        <s v="https://pbs.twimg.com/media/E4LvUzaUcAEHgb7.jpg"/>
        <s v="https://pbs.twimg.com/media/E7Esk3aWYA4vnC7.jpg"/>
        <s v="https://pbs.twimg.com/media/E7O__amWUAMQeQ-.jpg"/>
        <s v="https://pbs.twimg.com/media/E7UJofHWEAsy7PW.jpg"/>
        <s v="https://pbs.twimg.com/media/E7ecu-oXIAU5Dle.jpg"/>
        <s v="https://pbs.twimg.com/media/E7jmPVIXMAA1JPV.jpg"/>
        <s v="https://pbs.twimg.com/media/E7ovroxWQAUPcgl.jpg"/>
        <s v="https://pbs.twimg.com/media/E7UtFX0WQAshlmE.jpg"/>
        <s v="https://pbs.twimg.com/media/E7Z8MeKVoAUkXVj.jpg"/>
        <s v="https://pbs.twimg.com/media/E7f46aUUcAMEQhY.jpg"/>
        <s v="https://pbs.twimg.com/media/E7kWvKLWQAQG51H.jpg"/>
        <s v="https://pbs.twimg.com/media/E7fFuFWXsAAEEMj.jpg"/>
        <s v="https://pbs.twimg.com/media/E7kKlIpWQAQtR0W.jpg"/>
        <s v="https://pbs.twimg.com/media/E7fhzF6XsAAoddH.jpg"/>
        <s v="https://pbs.twimg.com/ext_tw_video_thumb/1420560954690088965/pu/img/mw30pB3lQf5fmFQ8.jpg"/>
        <s v="https://pbs.twimg.com/media/E7bYsmDXMAUgC38.jpg"/>
        <s v="https://pbs.twimg.com/ext_tw_video_thumb/1421161154945093639/pu/img/tbrT6qcfoLxlpRkV.jpg"/>
        <s v="https://pbs.twimg.com/media/E7j61e5WUAE3ZKk.jpg"/>
        <s v="https://pbs.twimg.com/ext_tw_video_thumb/1165283058448252928/pu/img/pTNEY01XgvTHzPju.jpg"/>
        <s v="https://pbs.twimg.com/media/EQ1_Rq-WsAE6FpH.jpg"/>
        <s v="https://pbs.twimg.com/media/E7VCWcGXMAQx84B.jpg"/>
        <s v="https://pbs.twimg.com/media/E7VCrqgXsAMPfkw.jpg"/>
        <s v="https://pbs.twimg.com/media/E7YwUeiXEAY8jJj.jpg"/>
        <s v="https://pbs.twimg.com/media/E7PbHPkX0AMYcaV.jpg"/>
        <s v="https://pbs.twimg.com/media/E7P7VAlXMAQHTSU.jpg"/>
        <s v="https://pbs.twimg.com/media/E7QvmeIVIAA-Iqk.jpg"/>
        <s v="https://pbs.twimg.com/media/E7jioWZVoAgYW8D.jpg"/>
        <s v="https://pbs.twimg.com/media/E4HAellVcAI99lO.jpg"/>
        <s v="https://pbs.twimg.com/media/E7VBXq_XMAAMbtc.jpg"/>
        <s v="https://pbs.twimg.com/media/E7AvFTuWEAIxRbr.jpg"/>
        <s v="https://pbs.twimg.com/media/E6_v8_lWUAoUB-Q.jpg"/>
        <s v="https://pbs.twimg.com/media/E4GT9sbXwAckPlC.jpg"/>
        <s v="https://pbs.twimg.com/media/E7Oo8tBWYAQa1p-.jpg"/>
        <s v="https://pbs.twimg.com/media/E7eZM2FWEAAk4p5.jpg"/>
        <s v="https://pbs.twimg.com/media/E7PGuLqXEAAocXy.jpg"/>
        <s v="https://pbs.twimg.com/media/E7flQVGUUAETJfT.jpg"/>
        <s v="https://pbs.twimg.com/media/E7Os9FjX0AAJ6GO.jpg"/>
        <s v="https://pbs.twimg.com/ext_tw_video_thumb/1419782084458131459/pu/img/pI-K0wFjdCwZGDfw.jpg"/>
        <s v="https://pbs.twimg.com/media/E7ZTTvjX0AIZwC0.jpg"/>
      </sharedItems>
    </cacheField>
    <cacheField name="Tweet Image File" numFmtId="0">
      <sharedItems/>
    </cacheField>
    <cacheField name="Tweet Date (UTC)" numFmtId="22">
      <sharedItems containsSemiMixedTypes="0" containsNonDate="0" containsDate="1" containsString="0" minDate="2021-07-12T22:11:32" maxDate="2021-08-01T20:23:00"/>
    </cacheField>
    <cacheField name="Date" numFmtId="14">
      <sharedItems containsSemiMixedTypes="0" containsNonDate="0" containsDate="1" containsString="0" minDate="2021-07-12T00:00:00" maxDate="2021-08-02T00:00:00"/>
    </cacheField>
    <cacheField name="Time" numFmtId="0">
      <sharedItems/>
    </cacheField>
    <cacheField name="Twitter Page for Tweet" numFmtId="0">
      <sharedItems/>
    </cacheField>
    <cacheField name="Latitude" numFmtId="0">
      <sharedItems containsNonDate="0" containsString="0" containsBlank="1"/>
    </cacheField>
    <cacheField name="Longitude" numFmtId="0">
      <sharedItems containsNonDate="0" containsString="0" containsBlank="1"/>
    </cacheField>
    <cacheField name="Imported ID" numFmtId="0">
      <sharedItems/>
    </cacheField>
    <cacheField name="In-Reply-To Tweet ID" numFmtId="0">
      <sharedItems containsBlank="1"/>
    </cacheField>
    <cacheField name="Favorited" numFmtId="0">
      <sharedItems/>
    </cacheField>
    <cacheField name="Favorite Count" numFmtId="0">
      <sharedItems containsSemiMixedTypes="0" containsString="0" containsNumber="1" containsInteger="1" minValue="0" maxValue="337"/>
    </cacheField>
    <cacheField name="In-Reply-To User ID" numFmtId="0">
      <sharedItems/>
    </cacheField>
    <cacheField name="Is Quote Status" numFmtId="0">
      <sharedItems/>
    </cacheField>
    <cacheField name="Language" numFmtId="0">
      <sharedItems/>
    </cacheField>
    <cacheField name="Possibly Sensitive" numFmtId="0">
      <sharedItems containsNonDate="0" containsString="0" containsBlank="1"/>
    </cacheField>
    <cacheField name="Quoted Status ID" numFmtId="0">
      <sharedItems/>
    </cacheField>
    <cacheField name="Retweeted" numFmtId="0">
      <sharedItems count="1">
        <b v="0"/>
      </sharedItems>
    </cacheField>
    <cacheField name="Retweet Count" numFmtId="0">
      <sharedItems containsSemiMixedTypes="0" containsString="0" containsNumber="1" containsInteger="1" minValue="0" maxValue="21"/>
    </cacheField>
    <cacheField name="Retweet ID" numFmtId="0">
      <sharedItems/>
    </cacheField>
    <cacheField name="Source" numFmtId="0">
      <sharedItems/>
    </cacheField>
    <cacheField name="Truncated" numFmtId="0">
      <sharedItems/>
    </cacheField>
    <cacheField name="Unified Twitter ID" numFmtId="0">
      <sharedItems/>
    </cacheField>
    <cacheField name="Imported Tweet Type" numFmtId="0">
      <sharedItems/>
    </cacheField>
    <cacheField name="Added By Extended Analysis" numFmtId="0">
      <sharedItems containsSemiMixedTypes="0" containsString="0" containsNumber="1" containsInteger="1" minValue="0" maxValue="0"/>
    </cacheField>
    <cacheField name="Corrected By Extended Analysis" numFmtId="0">
      <sharedItems containsSemiMixedTypes="0" containsString="0" containsNumber="1" containsInteger="1" minValue="0" maxValue="0"/>
    </cacheField>
    <cacheField name="Place Bounding Box" numFmtId="0">
      <sharedItems containsBlank="1"/>
    </cacheField>
    <cacheField name="Place Country" numFmtId="0">
      <sharedItems containsBlank="1" count="2">
        <m/>
        <s v="United States"/>
      </sharedItems>
    </cacheField>
    <cacheField name="Place Country Code" numFmtId="0">
      <sharedItems containsBlank="1" count="2">
        <m/>
        <s v="US"/>
      </sharedItems>
    </cacheField>
    <cacheField name="Place Full Name" numFmtId="0">
      <sharedItems containsBlank="1" count="11">
        <m/>
        <s v="Gifford, FL"/>
        <s v="Vero Beach, FL"/>
        <s v="Orlando, FL"/>
        <s v="CCBC Catonsville - College Services Center (CSRV)"/>
        <s v="CCBC Catonsville Student Life J-200"/>
        <s v="Baltimore, MD"/>
        <s v="Student Services Center - CCBC Catonsville"/>
        <s v="International Spy Museum"/>
        <s v="Lincoln Memorial"/>
        <s v="Starbucks"/>
      </sharedItems>
    </cacheField>
    <cacheField name="Place ID" numFmtId="0">
      <sharedItems containsBlank="1"/>
    </cacheField>
    <cacheField name="Place Name" numFmtId="0">
      <sharedItems containsBlank="1" count="11">
        <m/>
        <s v="Gifford"/>
        <s v="Vero Beach"/>
        <s v="Orlando"/>
        <s v="CCBC Catonsville - College Services Center (CSRV)"/>
        <s v="CCBC Catonsville Student Life J-200"/>
        <s v="Baltimore"/>
        <s v="Student Services Center - CCBC Catonsville"/>
        <s v="International Spy Museum"/>
        <s v="Lincoln Memorial"/>
        <s v="Starbucks"/>
      </sharedItems>
    </cacheField>
    <cacheField name="Place Type" numFmtId="0">
      <sharedItems containsBlank="1"/>
    </cacheField>
    <cacheField name="Place URL" numFmtId="0">
      <sharedItems containsBlank="1"/>
    </cacheField>
    <cacheField name="Edge Weight" numFmtId="0">
      <sharedItems containsSemiMixedTypes="0" containsString="0" containsNumber="1" containsInteger="1" minValue="1" maxValue="22"/>
    </cacheField>
    <cacheField name="Vertex 1 Group" numFmtId="0">
      <sharedItems/>
    </cacheField>
    <cacheField name="Vertex 2 Group" numFmtId="0">
      <sharedItems/>
    </cacheField>
    <cacheField name="Months" numFmtId="0" databaseField="0">
      <fieldGroup base="15">
        <rangePr groupBy="months" startDate="2021-07-12T22:11:32" endDate="2021-08-01T20:23:00"/>
        <groupItems count="14">
          <s v="&lt;7/12/2021"/>
          <s v="Jan"/>
          <s v="Feb"/>
          <s v="Mar"/>
          <s v="Apr"/>
          <s v="May"/>
          <s v="Jun"/>
          <s v="Jul"/>
          <s v="Aug"/>
          <s v="Sep"/>
          <s v="Oct"/>
          <s v="Nov"/>
          <s v="Dec"/>
          <s v="&gt;8/1/2021"/>
        </groupItems>
      </fieldGroup>
    </cacheField>
    <cacheField name="Years" numFmtId="0" databaseField="0">
      <fieldGroup base="15">
        <rangePr groupBy="years" startDate="2021-07-12T22:11:32" endDate="2021-08-01T20:23:00"/>
        <groupItems count="3">
          <s v="&lt;7/12/2021"/>
          <s v="2021"/>
          <s v="&gt;8/1/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
  <r>
    <x v="0"/>
    <s v="irbound"/>
    <m/>
    <m/>
    <m/>
    <m/>
    <m/>
    <m/>
    <m/>
    <m/>
    <s v="No"/>
    <n v="3"/>
    <m/>
    <m/>
    <x v="0"/>
    <x v="0"/>
    <x v="0"/>
    <x v="0"/>
    <x v="0"/>
    <x v="0"/>
    <x v="0"/>
    <s v="https://pbs.twimg.com/media/E7J5O47WEAIbSxX.jpg"/>
    <d v="2021-07-25T16:14:10"/>
    <d v="2021-07-25T00:00:00"/>
    <s v="16:14:10"/>
    <s v="https://twitter.com/irbound/status/1419330140891385860"/>
    <m/>
    <m/>
    <s v="1419330140891385860"/>
    <m/>
    <b v="0"/>
    <n v="0"/>
    <s v=""/>
    <b v="0"/>
    <s v="en"/>
    <m/>
    <s v=""/>
    <x v="0"/>
    <n v="0"/>
    <s v=""/>
    <s v="Twitter for Android"/>
    <b v="0"/>
    <s v="1419330140891385860"/>
    <s v="Tweet"/>
    <n v="0"/>
    <n v="0"/>
    <m/>
    <x v="0"/>
    <x v="0"/>
    <x v="0"/>
    <m/>
    <x v="0"/>
    <m/>
    <m/>
    <n v="22"/>
    <s v="5"/>
    <s v="5"/>
  </r>
  <r>
    <x v="0"/>
    <s v="irbound"/>
    <m/>
    <m/>
    <m/>
    <m/>
    <m/>
    <m/>
    <m/>
    <m/>
    <s v="No"/>
    <n v="4"/>
    <m/>
    <m/>
    <x v="0"/>
    <x v="1"/>
    <x v="1"/>
    <x v="0"/>
    <x v="0"/>
    <x v="1"/>
    <x v="1"/>
    <s v="https://pbs.twimg.com/media/E7jb-EJXoAABi_h.jpg"/>
    <d v="2021-07-30T15:16:26"/>
    <d v="2021-07-30T00:00:00"/>
    <s v="15:16:26"/>
    <s v="https://twitter.com/irbound/status/1421127552438054913"/>
    <m/>
    <m/>
    <s v="1421127552438054913"/>
    <m/>
    <b v="0"/>
    <n v="1"/>
    <s v=""/>
    <b v="0"/>
    <s v="en"/>
    <m/>
    <s v=""/>
    <x v="0"/>
    <n v="0"/>
    <s v=""/>
    <s v="Twitter for Android"/>
    <b v="0"/>
    <s v="1421127552438054913"/>
    <s v="Tweet"/>
    <n v="0"/>
    <n v="0"/>
    <m/>
    <x v="0"/>
    <x v="0"/>
    <x v="0"/>
    <m/>
    <x v="0"/>
    <m/>
    <m/>
    <n v="22"/>
    <s v="5"/>
    <s v="5"/>
  </r>
  <r>
    <x v="0"/>
    <s v="irbound"/>
    <m/>
    <m/>
    <m/>
    <m/>
    <m/>
    <m/>
    <m/>
    <m/>
    <s v="No"/>
    <n v="5"/>
    <m/>
    <m/>
    <x v="0"/>
    <x v="2"/>
    <x v="2"/>
    <x v="0"/>
    <x v="0"/>
    <x v="1"/>
    <x v="2"/>
    <s v="https://pbs.twimg.com/media/E7jdbYxWUAM1zkS.jpg"/>
    <d v="2021-07-30T15:22:48"/>
    <d v="2021-07-30T00:00:00"/>
    <s v="15:22:48"/>
    <s v="https://twitter.com/irbound/status/1421129156234973191"/>
    <m/>
    <m/>
    <s v="1421129156234973191"/>
    <m/>
    <b v="0"/>
    <n v="1"/>
    <s v=""/>
    <b v="0"/>
    <s v="en"/>
    <m/>
    <s v=""/>
    <x v="0"/>
    <n v="0"/>
    <s v=""/>
    <s v="Twitter for Android"/>
    <b v="0"/>
    <s v="1421129156234973191"/>
    <s v="Tweet"/>
    <n v="0"/>
    <n v="0"/>
    <m/>
    <x v="0"/>
    <x v="0"/>
    <x v="0"/>
    <m/>
    <x v="0"/>
    <m/>
    <m/>
    <n v="22"/>
    <s v="5"/>
    <s v="5"/>
  </r>
  <r>
    <x v="0"/>
    <s v="irbound"/>
    <m/>
    <m/>
    <m/>
    <m/>
    <m/>
    <m/>
    <m/>
    <m/>
    <s v="No"/>
    <n v="6"/>
    <m/>
    <m/>
    <x v="0"/>
    <x v="3"/>
    <x v="3"/>
    <x v="0"/>
    <x v="0"/>
    <x v="1"/>
    <x v="3"/>
    <s v="https://pbs.twimg.com/media/E7jfT4hWEAQGREC.jpg"/>
    <d v="2021-07-30T15:31:02"/>
    <d v="2021-07-30T00:00:00"/>
    <s v="15:31:02"/>
    <s v="https://twitter.com/irbound/status/1421131227323682823"/>
    <m/>
    <m/>
    <s v="1421131227323682823"/>
    <m/>
    <b v="0"/>
    <n v="1"/>
    <s v=""/>
    <b v="0"/>
    <s v="en"/>
    <m/>
    <s v=""/>
    <x v="0"/>
    <n v="0"/>
    <s v=""/>
    <s v="Twitter for Android"/>
    <b v="0"/>
    <s v="1421131227323682823"/>
    <s v="Tweet"/>
    <n v="0"/>
    <n v="0"/>
    <m/>
    <x v="0"/>
    <x v="0"/>
    <x v="0"/>
    <m/>
    <x v="0"/>
    <m/>
    <m/>
    <n v="22"/>
    <s v="5"/>
    <s v="5"/>
  </r>
  <r>
    <x v="0"/>
    <s v="irbound"/>
    <m/>
    <m/>
    <m/>
    <m/>
    <m/>
    <m/>
    <m/>
    <m/>
    <s v="No"/>
    <n v="7"/>
    <m/>
    <m/>
    <x v="0"/>
    <x v="4"/>
    <x v="4"/>
    <x v="0"/>
    <x v="0"/>
    <x v="1"/>
    <x v="4"/>
    <s v="https://pbs.twimg.com/media/E7jlZPvX0AUCbs2.jpg"/>
    <d v="2021-07-30T15:57:36"/>
    <d v="2021-07-30T00:00:00"/>
    <s v="15:57:36"/>
    <s v="https://twitter.com/irbound/status/1421137914348679183"/>
    <m/>
    <m/>
    <s v="1421137914348679183"/>
    <m/>
    <b v="0"/>
    <n v="0"/>
    <s v=""/>
    <b v="0"/>
    <s v="en"/>
    <m/>
    <s v=""/>
    <x v="0"/>
    <n v="0"/>
    <s v=""/>
    <s v="Twitter for Android"/>
    <b v="0"/>
    <s v="1421137914348679183"/>
    <s v="Tweet"/>
    <n v="0"/>
    <n v="0"/>
    <s v="-80.463058,27.6491165 _x000a_-80.383135,27.6491165 _x000a_-80.383135,27.696888 _x000a_-80.463058,27.696888"/>
    <x v="1"/>
    <x v="1"/>
    <x v="1"/>
    <s v="b2acf3dee65e2eaa"/>
    <x v="1"/>
    <s v="city"/>
    <s v="https://api.twitter.com/1.1/geo/id/b2acf3dee65e2eaa.json"/>
    <n v="22"/>
    <s v="5"/>
    <s v="5"/>
  </r>
  <r>
    <x v="0"/>
    <s v="irbound"/>
    <m/>
    <m/>
    <m/>
    <m/>
    <m/>
    <m/>
    <m/>
    <m/>
    <s v="No"/>
    <n v="8"/>
    <m/>
    <m/>
    <x v="0"/>
    <x v="5"/>
    <x v="5"/>
    <x v="0"/>
    <x v="0"/>
    <x v="1"/>
    <x v="5"/>
    <s v="https://pbs.twimg.com/ext_tw_video_thumb/1421140714084343810/pu/img/y5htx6H7_Yt3dMRi.jpg"/>
    <d v="2021-07-30T16:08:56"/>
    <d v="2021-07-30T00:00:00"/>
    <s v="16:08:56"/>
    <s v="https://twitter.com/irbound/status/1421140766336901121"/>
    <m/>
    <m/>
    <s v="1421140766336901121"/>
    <m/>
    <b v="0"/>
    <n v="0"/>
    <s v=""/>
    <b v="0"/>
    <s v="en"/>
    <m/>
    <s v=""/>
    <x v="0"/>
    <n v="0"/>
    <s v=""/>
    <s v="Twitter for Android"/>
    <b v="0"/>
    <s v="1421140766336901121"/>
    <s v="Tweet"/>
    <n v="0"/>
    <n v="0"/>
    <s v="-80.463302,27.5870076 _x000a_-80.346166,27.5870076 _x000a_-80.346166,27.674983 _x000a_-80.463302,27.674983"/>
    <x v="1"/>
    <x v="1"/>
    <x v="2"/>
    <s v="3cf05613c1dd6dbd"/>
    <x v="2"/>
    <s v="city"/>
    <s v="https://api.twitter.com/1.1/geo/id/3cf05613c1dd6dbd.json"/>
    <n v="22"/>
    <s v="5"/>
    <s v="5"/>
  </r>
  <r>
    <x v="0"/>
    <s v="irbound"/>
    <m/>
    <m/>
    <m/>
    <m/>
    <m/>
    <m/>
    <m/>
    <m/>
    <s v="No"/>
    <n v="9"/>
    <m/>
    <m/>
    <x v="0"/>
    <x v="6"/>
    <x v="6"/>
    <x v="0"/>
    <x v="0"/>
    <x v="1"/>
    <x v="6"/>
    <s v="https://pbs.twimg.com/media/E7ju_jMWQAIQq8n.jpg"/>
    <d v="2021-07-30T16:39:32"/>
    <d v="2021-07-30T00:00:00"/>
    <s v="16:39:32"/>
    <s v="https://twitter.com/irbound/status/1421148467158786048"/>
    <m/>
    <m/>
    <s v="1421148467158786048"/>
    <m/>
    <b v="0"/>
    <n v="0"/>
    <s v=""/>
    <b v="0"/>
    <s v="en"/>
    <m/>
    <s v=""/>
    <x v="0"/>
    <n v="0"/>
    <s v=""/>
    <s v="Twitter for Android"/>
    <b v="0"/>
    <s v="1421148467158786048"/>
    <s v="Tweet"/>
    <n v="0"/>
    <n v="0"/>
    <s v="-80.463302,27.5870076 _x000a_-80.346166,27.5870076 _x000a_-80.346166,27.674983 _x000a_-80.463302,27.674983"/>
    <x v="1"/>
    <x v="1"/>
    <x v="2"/>
    <s v="3cf05613c1dd6dbd"/>
    <x v="2"/>
    <s v="city"/>
    <s v="https://api.twitter.com/1.1/geo/id/3cf05613c1dd6dbd.json"/>
    <n v="22"/>
    <s v="5"/>
    <s v="5"/>
  </r>
  <r>
    <x v="0"/>
    <s v="irbound"/>
    <m/>
    <m/>
    <m/>
    <m/>
    <m/>
    <m/>
    <m/>
    <m/>
    <s v="No"/>
    <n v="10"/>
    <m/>
    <m/>
    <x v="0"/>
    <x v="7"/>
    <x v="7"/>
    <x v="0"/>
    <x v="0"/>
    <x v="1"/>
    <x v="7"/>
    <s v="https://pbs.twimg.com/media/E7jwUrEX0AEe_Lp.jpg"/>
    <d v="2021-07-30T16:45:19"/>
    <d v="2021-07-30T00:00:00"/>
    <s v="16:45:19"/>
    <s v="https://twitter.com/irbound/status/1421149921986613257"/>
    <m/>
    <m/>
    <s v="1421149921986613257"/>
    <m/>
    <b v="0"/>
    <n v="0"/>
    <s v=""/>
    <b v="0"/>
    <s v="en"/>
    <m/>
    <s v=""/>
    <x v="0"/>
    <n v="0"/>
    <s v=""/>
    <s v="Twitter for Android"/>
    <b v="0"/>
    <s v="1421149921986613257"/>
    <s v="Tweet"/>
    <n v="0"/>
    <n v="0"/>
    <s v="-80.463302,27.5870076 _x000a_-80.346166,27.5870076 _x000a_-80.346166,27.674983 _x000a_-80.463302,27.674983"/>
    <x v="1"/>
    <x v="1"/>
    <x v="2"/>
    <s v="3cf05613c1dd6dbd"/>
    <x v="2"/>
    <s v="city"/>
    <s v="https://api.twitter.com/1.1/geo/id/3cf05613c1dd6dbd.json"/>
    <n v="22"/>
    <s v="5"/>
    <s v="5"/>
  </r>
  <r>
    <x v="0"/>
    <s v="irbound"/>
    <m/>
    <m/>
    <m/>
    <m/>
    <m/>
    <m/>
    <m/>
    <m/>
    <s v="No"/>
    <n v="11"/>
    <m/>
    <m/>
    <x v="0"/>
    <x v="8"/>
    <x v="8"/>
    <x v="0"/>
    <x v="0"/>
    <x v="1"/>
    <x v="8"/>
    <s v="https://pbs.twimg.com/media/E7jx2jfWEAMfj6Q.jpg"/>
    <d v="2021-07-30T16:52:03"/>
    <d v="2021-07-30T00:00:00"/>
    <s v="16:52:03"/>
    <s v="https://twitter.com/irbound/status/1421151614698729476"/>
    <m/>
    <m/>
    <s v="1421151614698729476"/>
    <m/>
    <b v="0"/>
    <n v="0"/>
    <s v=""/>
    <b v="0"/>
    <s v="en"/>
    <m/>
    <s v=""/>
    <x v="0"/>
    <n v="0"/>
    <s v=""/>
    <s v="Twitter for Android"/>
    <b v="0"/>
    <s v="1421151614698729476"/>
    <s v="Tweet"/>
    <n v="0"/>
    <n v="0"/>
    <s v="-80.463302,27.5870076 _x000a_-80.346166,27.5870076 _x000a_-80.346166,27.674983 _x000a_-80.463302,27.674983"/>
    <x v="1"/>
    <x v="1"/>
    <x v="2"/>
    <s v="3cf05613c1dd6dbd"/>
    <x v="2"/>
    <s v="city"/>
    <s v="https://api.twitter.com/1.1/geo/id/3cf05613c1dd6dbd.json"/>
    <n v="22"/>
    <s v="5"/>
    <s v="5"/>
  </r>
  <r>
    <x v="0"/>
    <s v="irbound"/>
    <m/>
    <m/>
    <m/>
    <m/>
    <m/>
    <m/>
    <m/>
    <m/>
    <s v="No"/>
    <n v="12"/>
    <m/>
    <m/>
    <x v="0"/>
    <x v="9"/>
    <x v="9"/>
    <x v="0"/>
    <x v="0"/>
    <x v="2"/>
    <x v="9"/>
    <s v="https://pbs.twimg.com/media/E7kGj0RXoAAfhsR.jpg"/>
    <d v="2021-07-30T18:22:30"/>
    <d v="2021-07-30T00:00:00"/>
    <s v="18:22:30"/>
    <s v="https://twitter.com/irbound/status/1421174378906128387"/>
    <m/>
    <m/>
    <s v="1421174378906128387"/>
    <m/>
    <b v="0"/>
    <n v="0"/>
    <s v=""/>
    <b v="0"/>
    <s v="en"/>
    <m/>
    <s v=""/>
    <x v="0"/>
    <n v="0"/>
    <s v=""/>
    <s v="Twitter for Android"/>
    <b v="0"/>
    <s v="1421174378906128387"/>
    <s v="Tweet"/>
    <n v="0"/>
    <n v="0"/>
    <s v="-80.463302,27.5870076 _x000a_-80.346166,27.5870076 _x000a_-80.346166,27.674983 _x000a_-80.463302,27.674983"/>
    <x v="1"/>
    <x v="1"/>
    <x v="2"/>
    <s v="3cf05613c1dd6dbd"/>
    <x v="2"/>
    <s v="city"/>
    <s v="https://api.twitter.com/1.1/geo/id/3cf05613c1dd6dbd.json"/>
    <n v="22"/>
    <s v="5"/>
    <s v="5"/>
  </r>
  <r>
    <x v="0"/>
    <s v="irbound"/>
    <m/>
    <m/>
    <m/>
    <m/>
    <m/>
    <m/>
    <m/>
    <m/>
    <s v="No"/>
    <n v="13"/>
    <m/>
    <m/>
    <x v="0"/>
    <x v="10"/>
    <x v="10"/>
    <x v="0"/>
    <x v="0"/>
    <x v="1"/>
    <x v="10"/>
    <s v="https://pbs.twimg.com/media/E7kHOELX0AYLu8P.jpg"/>
    <d v="2021-07-30T18:25:26"/>
    <d v="2021-07-30T00:00:00"/>
    <s v="18:25:26"/>
    <s v="https://twitter.com/irbound/status/1421175114599698433"/>
    <m/>
    <m/>
    <s v="1421175114599698433"/>
    <m/>
    <b v="0"/>
    <n v="1"/>
    <s v=""/>
    <b v="0"/>
    <s v="en"/>
    <m/>
    <s v=""/>
    <x v="0"/>
    <n v="0"/>
    <s v=""/>
    <s v="Twitter for Android"/>
    <b v="0"/>
    <s v="1421175114599698433"/>
    <s v="Tweet"/>
    <n v="0"/>
    <n v="0"/>
    <s v="-80.463302,27.5870076 _x000a_-80.346166,27.5870076 _x000a_-80.346166,27.674983 _x000a_-80.463302,27.674983"/>
    <x v="1"/>
    <x v="1"/>
    <x v="2"/>
    <s v="3cf05613c1dd6dbd"/>
    <x v="2"/>
    <s v="city"/>
    <s v="https://api.twitter.com/1.1/geo/id/3cf05613c1dd6dbd.json"/>
    <n v="22"/>
    <s v="5"/>
    <s v="5"/>
  </r>
  <r>
    <x v="0"/>
    <s v="irbound"/>
    <m/>
    <m/>
    <m/>
    <m/>
    <m/>
    <m/>
    <m/>
    <m/>
    <s v="No"/>
    <n v="14"/>
    <m/>
    <m/>
    <x v="0"/>
    <x v="11"/>
    <x v="11"/>
    <x v="0"/>
    <x v="0"/>
    <x v="1"/>
    <x v="11"/>
    <s v="https://pbs.twimg.com/media/E7kK560XIAQ4BKO.jpg"/>
    <d v="2021-07-30T18:41:29"/>
    <d v="2021-07-30T00:00:00"/>
    <s v="18:41:29"/>
    <s v="https://twitter.com/irbound/status/1421179154549051393"/>
    <m/>
    <m/>
    <s v="1421179154549051393"/>
    <m/>
    <b v="0"/>
    <n v="1"/>
    <s v=""/>
    <b v="0"/>
    <s v="en"/>
    <m/>
    <s v=""/>
    <x v="0"/>
    <n v="0"/>
    <s v=""/>
    <s v="Twitter for Android"/>
    <b v="0"/>
    <s v="1421179154549051393"/>
    <s v="Tweet"/>
    <n v="0"/>
    <n v="0"/>
    <s v="-80.463302,27.5870076 _x000a_-80.346166,27.5870076 _x000a_-80.346166,27.674983 _x000a_-80.463302,27.674983"/>
    <x v="1"/>
    <x v="1"/>
    <x v="2"/>
    <s v="3cf05613c1dd6dbd"/>
    <x v="2"/>
    <s v="city"/>
    <s v="https://api.twitter.com/1.1/geo/id/3cf05613c1dd6dbd.json"/>
    <n v="22"/>
    <s v="5"/>
    <s v="5"/>
  </r>
  <r>
    <x v="0"/>
    <s v="irbound"/>
    <m/>
    <m/>
    <m/>
    <m/>
    <m/>
    <m/>
    <m/>
    <m/>
    <s v="No"/>
    <n v="15"/>
    <m/>
    <m/>
    <x v="0"/>
    <x v="12"/>
    <x v="12"/>
    <x v="0"/>
    <x v="0"/>
    <x v="1"/>
    <x v="12"/>
    <s v="https://pbs.twimg.com/media/E7kMIzcXEAcu9j6.jpg"/>
    <d v="2021-07-30T18:46:52"/>
    <d v="2021-07-30T00:00:00"/>
    <s v="18:46:52"/>
    <s v="https://twitter.com/irbound/status/1421180509665832960"/>
    <m/>
    <m/>
    <s v="1421180509665832960"/>
    <m/>
    <b v="0"/>
    <n v="0"/>
    <s v=""/>
    <b v="0"/>
    <s v="en"/>
    <m/>
    <s v=""/>
    <x v="0"/>
    <n v="0"/>
    <s v=""/>
    <s v="Twitter for Android"/>
    <b v="0"/>
    <s v="1421180509665832960"/>
    <s v="Tweet"/>
    <n v="0"/>
    <n v="0"/>
    <s v="-81.507905,28.3882177 _x000a_-81.2276403,28.3882177 _x000a_-81.2276403,28.615139 _x000a_-81.507905,28.615139"/>
    <x v="1"/>
    <x v="1"/>
    <x v="3"/>
    <s v="55b4f9e5c516e0b6"/>
    <x v="3"/>
    <s v="city"/>
    <s v="https://api.twitter.com/1.1/geo/id/55b4f9e5c516e0b6.json"/>
    <n v="22"/>
    <s v="5"/>
    <s v="5"/>
  </r>
  <r>
    <x v="0"/>
    <s v="irbound"/>
    <m/>
    <m/>
    <m/>
    <m/>
    <m/>
    <m/>
    <m/>
    <m/>
    <s v="No"/>
    <n v="16"/>
    <m/>
    <m/>
    <x v="0"/>
    <x v="13"/>
    <x v="13"/>
    <x v="0"/>
    <x v="0"/>
    <x v="3"/>
    <x v="13"/>
    <s v="https://pbs.twimg.com/media/E7kPEzLWYAcyUg0.jpg"/>
    <d v="2021-07-30T18:59:45"/>
    <d v="2021-07-30T00:00:00"/>
    <s v="18:59:45"/>
    <s v="https://twitter.com/irbound/status/1421183750659059718"/>
    <m/>
    <m/>
    <s v="1421183750659059718"/>
    <m/>
    <b v="0"/>
    <n v="0"/>
    <s v=""/>
    <b v="0"/>
    <s v="en"/>
    <m/>
    <s v=""/>
    <x v="0"/>
    <n v="0"/>
    <s v=""/>
    <s v="Twitter for Android"/>
    <b v="0"/>
    <s v="1421183750659059718"/>
    <s v="Tweet"/>
    <n v="0"/>
    <n v="0"/>
    <s v="-81.507905,28.3882177 _x000a_-81.2276403,28.3882177 _x000a_-81.2276403,28.615139 _x000a_-81.507905,28.615139"/>
    <x v="1"/>
    <x v="1"/>
    <x v="3"/>
    <s v="55b4f9e5c516e0b6"/>
    <x v="3"/>
    <s v="city"/>
    <s v="https://api.twitter.com/1.1/geo/id/55b4f9e5c516e0b6.json"/>
    <n v="22"/>
    <s v="5"/>
    <s v="5"/>
  </r>
  <r>
    <x v="0"/>
    <s v="irbound"/>
    <m/>
    <m/>
    <m/>
    <m/>
    <m/>
    <m/>
    <m/>
    <m/>
    <s v="No"/>
    <n v="17"/>
    <m/>
    <m/>
    <x v="0"/>
    <x v="14"/>
    <x v="14"/>
    <x v="0"/>
    <x v="0"/>
    <x v="1"/>
    <x v="14"/>
    <s v="https://pbs.twimg.com/media/E7kUyDWX0AAAydB.jpg"/>
    <d v="2021-07-30T19:24:40"/>
    <d v="2021-07-30T00:00:00"/>
    <s v="19:24:40"/>
    <s v="https://twitter.com/irbound/status/1421190024528375808"/>
    <m/>
    <m/>
    <s v="1421190024528375808"/>
    <m/>
    <b v="0"/>
    <n v="0"/>
    <s v=""/>
    <b v="0"/>
    <s v="en"/>
    <m/>
    <s v=""/>
    <x v="0"/>
    <n v="0"/>
    <s v=""/>
    <s v="Twitter for Android"/>
    <b v="0"/>
    <s v="1421190024528375808"/>
    <s v="Tweet"/>
    <n v="0"/>
    <n v="0"/>
    <m/>
    <x v="0"/>
    <x v="0"/>
    <x v="0"/>
    <m/>
    <x v="0"/>
    <m/>
    <m/>
    <n v="22"/>
    <s v="5"/>
    <s v="5"/>
  </r>
  <r>
    <x v="0"/>
    <s v="irbound"/>
    <m/>
    <m/>
    <m/>
    <m/>
    <m/>
    <m/>
    <m/>
    <m/>
    <s v="No"/>
    <n v="18"/>
    <m/>
    <m/>
    <x v="0"/>
    <x v="15"/>
    <x v="15"/>
    <x v="0"/>
    <x v="0"/>
    <x v="1"/>
    <x v="15"/>
    <s v="https://pbs.twimg.com/media/E7ktGcvXMAUpYAr.jpg"/>
    <d v="2021-07-30T21:10:55"/>
    <d v="2021-07-30T00:00:00"/>
    <s v="21:10:55"/>
    <s v="https://twitter.com/irbound/status/1421216763317047298"/>
    <m/>
    <m/>
    <s v="1421216763317047298"/>
    <m/>
    <b v="0"/>
    <n v="0"/>
    <s v=""/>
    <b v="0"/>
    <s v="en"/>
    <m/>
    <s v=""/>
    <x v="0"/>
    <n v="0"/>
    <s v=""/>
    <s v="Twitter for Android"/>
    <b v="0"/>
    <s v="1421216763317047298"/>
    <s v="Tweet"/>
    <n v="0"/>
    <n v="0"/>
    <m/>
    <x v="0"/>
    <x v="0"/>
    <x v="0"/>
    <m/>
    <x v="0"/>
    <m/>
    <m/>
    <n v="22"/>
    <s v="5"/>
    <s v="5"/>
  </r>
  <r>
    <x v="0"/>
    <s v="irbound"/>
    <m/>
    <m/>
    <m/>
    <m/>
    <m/>
    <m/>
    <m/>
    <m/>
    <s v="No"/>
    <n v="19"/>
    <m/>
    <m/>
    <x v="0"/>
    <x v="16"/>
    <x v="16"/>
    <x v="0"/>
    <x v="0"/>
    <x v="1"/>
    <x v="16"/>
    <s v="https://pbs.twimg.com/ext_tw_video_thumb/1421218088586989568/pu/img/3POwVEePskrryj3Z.jpg"/>
    <d v="2021-07-30T21:16:32"/>
    <d v="2021-07-30T00:00:00"/>
    <s v="21:16:32"/>
    <s v="https://twitter.com/irbound/status/1421218173697810441"/>
    <m/>
    <m/>
    <s v="1421218173697810441"/>
    <m/>
    <b v="0"/>
    <n v="0"/>
    <s v=""/>
    <b v="0"/>
    <s v="en"/>
    <m/>
    <s v=""/>
    <x v="0"/>
    <n v="0"/>
    <s v=""/>
    <s v="Twitter for Android"/>
    <b v="0"/>
    <s v="1421218173697810441"/>
    <s v="Tweet"/>
    <n v="0"/>
    <n v="0"/>
    <m/>
    <x v="0"/>
    <x v="0"/>
    <x v="0"/>
    <m/>
    <x v="0"/>
    <m/>
    <m/>
    <n v="22"/>
    <s v="5"/>
    <s v="5"/>
  </r>
  <r>
    <x v="0"/>
    <s v="irbound"/>
    <m/>
    <m/>
    <m/>
    <m/>
    <m/>
    <m/>
    <m/>
    <m/>
    <s v="No"/>
    <n v="20"/>
    <m/>
    <m/>
    <x v="0"/>
    <x v="17"/>
    <x v="17"/>
    <x v="0"/>
    <x v="0"/>
    <x v="1"/>
    <x v="17"/>
    <s v="https://pbs.twimg.com/media/E7kvnvZWQAIsBoi.jpg"/>
    <d v="2021-07-30T21:21:57"/>
    <d v="2021-07-30T00:00:00"/>
    <s v="21:21:57"/>
    <s v="https://twitter.com/irbound/status/1421219539694534656"/>
    <m/>
    <m/>
    <s v="1421219539694534656"/>
    <m/>
    <b v="0"/>
    <n v="1"/>
    <s v=""/>
    <b v="0"/>
    <s v="en"/>
    <m/>
    <s v=""/>
    <x v="0"/>
    <n v="0"/>
    <s v=""/>
    <s v="Twitter for Android"/>
    <b v="0"/>
    <s v="1421219539694534656"/>
    <s v="Tweet"/>
    <n v="0"/>
    <n v="0"/>
    <m/>
    <x v="0"/>
    <x v="0"/>
    <x v="0"/>
    <m/>
    <x v="0"/>
    <m/>
    <m/>
    <n v="22"/>
    <s v="5"/>
    <s v="5"/>
  </r>
  <r>
    <x v="0"/>
    <s v="irbound"/>
    <m/>
    <m/>
    <m/>
    <m/>
    <m/>
    <m/>
    <m/>
    <m/>
    <s v="No"/>
    <n v="21"/>
    <m/>
    <m/>
    <x v="0"/>
    <x v="18"/>
    <x v="18"/>
    <x v="0"/>
    <x v="0"/>
    <x v="1"/>
    <x v="18"/>
    <s v="https://pbs.twimg.com/media/E7kwe7QWUAM0LsI.jpg"/>
    <d v="2021-07-30T21:25:39"/>
    <d v="2021-07-30T00:00:00"/>
    <s v="21:25:39"/>
    <s v="https://twitter.com/irbound/status/1421220467617193985"/>
    <m/>
    <m/>
    <s v="1421220467617193985"/>
    <m/>
    <b v="0"/>
    <n v="0"/>
    <s v=""/>
    <b v="0"/>
    <s v="de"/>
    <m/>
    <s v=""/>
    <x v="0"/>
    <n v="0"/>
    <s v=""/>
    <s v="Twitter for Android"/>
    <b v="0"/>
    <s v="1421220467617193985"/>
    <s v="Tweet"/>
    <n v="0"/>
    <n v="0"/>
    <m/>
    <x v="0"/>
    <x v="0"/>
    <x v="0"/>
    <m/>
    <x v="0"/>
    <m/>
    <m/>
    <n v="22"/>
    <s v="5"/>
    <s v="5"/>
  </r>
  <r>
    <x v="0"/>
    <s v="irbound"/>
    <m/>
    <m/>
    <m/>
    <m/>
    <m/>
    <m/>
    <m/>
    <m/>
    <s v="No"/>
    <n v="22"/>
    <m/>
    <m/>
    <x v="0"/>
    <x v="19"/>
    <x v="19"/>
    <x v="0"/>
    <x v="0"/>
    <x v="1"/>
    <x v="19"/>
    <s v="https://pbs.twimg.com/ext_tw_video_thumb/1421222270018666498/pu/img/m88XJMA3hsFqJPLl.jpg"/>
    <d v="2021-07-30T21:32:59"/>
    <d v="2021-07-30T00:00:00"/>
    <s v="21:32:59"/>
    <s v="https://twitter.com/irbound/status/1421222315187130369"/>
    <m/>
    <m/>
    <s v="1421222315187130369"/>
    <m/>
    <b v="0"/>
    <n v="0"/>
    <s v=""/>
    <b v="0"/>
    <s v="en"/>
    <m/>
    <s v=""/>
    <x v="0"/>
    <n v="0"/>
    <s v=""/>
    <s v="Twitter for Android"/>
    <b v="0"/>
    <s v="1421222315187130369"/>
    <s v="Tweet"/>
    <n v="0"/>
    <n v="0"/>
    <m/>
    <x v="0"/>
    <x v="0"/>
    <x v="0"/>
    <m/>
    <x v="0"/>
    <m/>
    <m/>
    <n v="22"/>
    <s v="5"/>
    <s v="5"/>
  </r>
  <r>
    <x v="0"/>
    <s v="irbound"/>
    <m/>
    <m/>
    <m/>
    <m/>
    <m/>
    <m/>
    <m/>
    <m/>
    <s v="No"/>
    <n v="23"/>
    <m/>
    <m/>
    <x v="0"/>
    <x v="20"/>
    <x v="20"/>
    <x v="0"/>
    <x v="0"/>
    <x v="4"/>
    <x v="20"/>
    <s v="https://pbs.twimg.com/media/E7k3v88WUAEaaVZ.jpg"/>
    <d v="2021-07-30T21:57:26"/>
    <d v="2021-07-30T00:00:00"/>
    <s v="21:57:26"/>
    <s v="https://twitter.com/irbound/status/1421228468977668102"/>
    <m/>
    <m/>
    <s v="1421228468977668102"/>
    <m/>
    <b v="0"/>
    <n v="0"/>
    <s v=""/>
    <b v="0"/>
    <s v="en"/>
    <m/>
    <s v=""/>
    <x v="0"/>
    <n v="0"/>
    <s v=""/>
    <s v="Twitter for Android"/>
    <b v="0"/>
    <s v="1421228468977668102"/>
    <s v="Tweet"/>
    <n v="0"/>
    <n v="0"/>
    <m/>
    <x v="0"/>
    <x v="0"/>
    <x v="0"/>
    <m/>
    <x v="0"/>
    <m/>
    <m/>
    <n v="22"/>
    <s v="5"/>
    <s v="5"/>
  </r>
  <r>
    <x v="0"/>
    <s v="irbound"/>
    <m/>
    <m/>
    <m/>
    <m/>
    <m/>
    <m/>
    <m/>
    <m/>
    <s v="No"/>
    <n v="24"/>
    <m/>
    <m/>
    <x v="0"/>
    <x v="21"/>
    <x v="21"/>
    <x v="0"/>
    <x v="0"/>
    <x v="1"/>
    <x v="21"/>
    <s v="https://pbs.twimg.com/ext_tw_video_thumb/1421231504928219139/pu/img/6GnYrXL7LDZIE5lX.jpg"/>
    <d v="2021-07-30T22:09:50"/>
    <d v="2021-07-30T00:00:00"/>
    <s v="22:09:50"/>
    <s v="https://twitter.com/irbound/status/1421231589334437896"/>
    <m/>
    <m/>
    <s v="1421231589334437896"/>
    <m/>
    <b v="0"/>
    <n v="0"/>
    <s v=""/>
    <b v="0"/>
    <s v="en"/>
    <m/>
    <s v=""/>
    <x v="0"/>
    <n v="0"/>
    <s v=""/>
    <s v="Twitter for Android"/>
    <b v="0"/>
    <s v="1421231589334437896"/>
    <s v="Tweet"/>
    <n v="0"/>
    <n v="0"/>
    <m/>
    <x v="0"/>
    <x v="0"/>
    <x v="0"/>
    <m/>
    <x v="0"/>
    <m/>
    <m/>
    <n v="22"/>
    <s v="5"/>
    <s v="5"/>
  </r>
  <r>
    <x v="1"/>
    <s v="ccbcmd"/>
    <m/>
    <m/>
    <m/>
    <m/>
    <m/>
    <m/>
    <m/>
    <m/>
    <s v="No"/>
    <n v="25"/>
    <m/>
    <m/>
    <x v="1"/>
    <x v="22"/>
    <x v="22"/>
    <x v="0"/>
    <x v="0"/>
    <x v="1"/>
    <x v="22"/>
    <s v="https://pbs.twimg.com/media/E6IOXacX0AIO80c.jpg"/>
    <d v="2021-07-12T22:11:32"/>
    <d v="2021-07-12T00:00:00"/>
    <s v="22:11:32"/>
    <s v="https://twitter.com/ucatonsville/status/1414709036063338496"/>
    <m/>
    <m/>
    <s v="1414709036063338496"/>
    <m/>
    <b v="0"/>
    <n v="5"/>
    <s v=""/>
    <b v="0"/>
    <s v="en"/>
    <m/>
    <s v=""/>
    <x v="0"/>
    <n v="3"/>
    <s v=""/>
    <s v="Twitter for iPhone"/>
    <b v="0"/>
    <s v="1414709036063338496"/>
    <s v="Retweet"/>
    <n v="0"/>
    <n v="0"/>
    <s v="-76.736044778606,39.25189770795888 _x000a_-76.736044778606,39.25189770795888 _x000a_-76.736044778606,39.25189770795888 _x000a_-76.736044778606,39.25189770795888"/>
    <x v="1"/>
    <x v="1"/>
    <x v="4"/>
    <s v="07d9e7f954086000"/>
    <x v="4"/>
    <s v="poi"/>
    <s v="https://api.twitter.com/1.1/geo/id/07d9e7f954086000.json"/>
    <n v="16"/>
    <s v="3"/>
    <s v="3"/>
  </r>
  <r>
    <x v="1"/>
    <s v="ccbcmd"/>
    <m/>
    <m/>
    <m/>
    <m/>
    <m/>
    <m/>
    <m/>
    <m/>
    <s v="No"/>
    <n v="26"/>
    <m/>
    <m/>
    <x v="1"/>
    <x v="23"/>
    <x v="23"/>
    <x v="0"/>
    <x v="0"/>
    <x v="1"/>
    <x v="23"/>
    <s v="https://pbs.twimg.com/media/E6IPmASXMAAHX-l.jpg"/>
    <d v="2021-07-12T22:16:56"/>
    <d v="2021-07-12T00:00:00"/>
    <s v="22:16:56"/>
    <s v="https://twitter.com/ucatonsville/status/1414710391532306434"/>
    <m/>
    <m/>
    <s v="1414710391532306434"/>
    <m/>
    <b v="0"/>
    <n v="5"/>
    <s v=""/>
    <b v="0"/>
    <s v="en"/>
    <m/>
    <s v=""/>
    <x v="0"/>
    <n v="4"/>
    <s v=""/>
    <s v="Twitter for iPhone"/>
    <b v="0"/>
    <s v="1414710391532306434"/>
    <s v="Retweet"/>
    <n v="0"/>
    <n v="0"/>
    <s v="-76.73544169161167,39.25410478132697 _x000a_-76.73544169161167,39.25410478132697 _x000a_-76.73544169161167,39.25410478132697 _x000a_-76.73544169161167,39.25410478132697"/>
    <x v="1"/>
    <x v="1"/>
    <x v="5"/>
    <s v="07d9f0071a084000"/>
    <x v="5"/>
    <s v="poi"/>
    <s v="https://api.twitter.com/1.1/geo/id/07d9f0071a084000.json"/>
    <n v="16"/>
    <s v="3"/>
    <s v="3"/>
  </r>
  <r>
    <x v="1"/>
    <s v="ccbcmd"/>
    <m/>
    <m/>
    <m/>
    <m/>
    <m/>
    <m/>
    <m/>
    <m/>
    <s v="No"/>
    <n v="27"/>
    <m/>
    <m/>
    <x v="1"/>
    <x v="24"/>
    <x v="24"/>
    <x v="0"/>
    <x v="0"/>
    <x v="1"/>
    <x v="24"/>
    <s v="https://pbs.twimg.com/media/E6IQoc-XIAIEHeV.jpg"/>
    <d v="2021-07-12T22:21:26"/>
    <d v="2021-07-12T00:00:00"/>
    <s v="22:21:26"/>
    <s v="https://twitter.com/ucatonsville/status/1414711527953866752"/>
    <m/>
    <m/>
    <s v="1414711527953866752"/>
    <m/>
    <b v="0"/>
    <n v="5"/>
    <s v=""/>
    <b v="0"/>
    <s v="en"/>
    <m/>
    <s v=""/>
    <x v="0"/>
    <n v="4"/>
    <s v=""/>
    <s v="Twitter for iPhone"/>
    <b v="0"/>
    <s v="1414711527953866752"/>
    <s v="Retweet"/>
    <n v="0"/>
    <n v="0"/>
    <s v="-76.736044778606,39.25189770795888 _x000a_-76.736044778606,39.25189770795888 _x000a_-76.736044778606,39.25189770795888 _x000a_-76.736044778606,39.25189770795888"/>
    <x v="1"/>
    <x v="1"/>
    <x v="4"/>
    <s v="07d9e7f954086000"/>
    <x v="4"/>
    <s v="poi"/>
    <s v="https://api.twitter.com/1.1/geo/id/07d9e7f954086000.json"/>
    <n v="16"/>
    <s v="3"/>
    <s v="3"/>
  </r>
  <r>
    <x v="1"/>
    <s v="ccbcmd"/>
    <m/>
    <m/>
    <m/>
    <m/>
    <m/>
    <m/>
    <m/>
    <m/>
    <s v="No"/>
    <n v="28"/>
    <m/>
    <m/>
    <x v="2"/>
    <x v="25"/>
    <x v="25"/>
    <x v="0"/>
    <x v="0"/>
    <x v="1"/>
    <x v="25"/>
    <s v="https://pbs.twimg.com/media/E7P_L-xXoAQ6N18.jpg"/>
    <d v="2021-07-26T20:37:58"/>
    <d v="2021-07-26T00:00:00"/>
    <s v="20:37:58"/>
    <s v="https://twitter.com/ucatonsville/status/1419758915957444613"/>
    <m/>
    <m/>
    <s v="1419758915957444613"/>
    <m/>
    <b v="0"/>
    <n v="0"/>
    <s v="23104618"/>
    <b v="0"/>
    <s v="en"/>
    <m/>
    <s v=""/>
    <x v="0"/>
    <n v="0"/>
    <s v=""/>
    <s v="Twitter for iPhone"/>
    <b v="0"/>
    <s v="1419758915957444613"/>
    <s v="Tweet"/>
    <n v="0"/>
    <n v="0"/>
    <s v="-76.7115205,39.197211 _x000a_-76.529443,39.197211 _x000a_-76.529443,39.372215 _x000a_-76.7115205,39.372215"/>
    <x v="1"/>
    <x v="1"/>
    <x v="6"/>
    <s v="c0b8e8dc81930292"/>
    <x v="6"/>
    <s v="city"/>
    <s v="https://api.twitter.com/1.1/geo/id/c0b8e8dc81930292.json"/>
    <n v="16"/>
    <s v="3"/>
    <s v="3"/>
  </r>
  <r>
    <x v="1"/>
    <s v="ccbcmd"/>
    <m/>
    <m/>
    <m/>
    <m/>
    <m/>
    <m/>
    <m/>
    <m/>
    <s v="No"/>
    <n v="29"/>
    <m/>
    <m/>
    <x v="1"/>
    <x v="26"/>
    <x v="26"/>
    <x v="1"/>
    <x v="1"/>
    <x v="5"/>
    <x v="26"/>
    <s v="https://pbs.twimg.com/media/E7T3xyJWQAYfYP3.jpg"/>
    <d v="2021-07-27T14:43:59"/>
    <d v="2021-07-27T00:00:00"/>
    <s v="14:43:59"/>
    <s v="https://twitter.com/ucatonsville/status/1420032222283898895"/>
    <m/>
    <m/>
    <s v="1420032222283898895"/>
    <m/>
    <b v="0"/>
    <n v="4"/>
    <s v=""/>
    <b v="0"/>
    <s v="en"/>
    <m/>
    <s v=""/>
    <x v="0"/>
    <n v="3"/>
    <s v=""/>
    <s v="Twitter for iPhone"/>
    <b v="0"/>
    <s v="1420032222283898895"/>
    <s v="Tweet"/>
    <n v="0"/>
    <n v="0"/>
    <s v="-76.73546554122278,39.25298270462267 _x000a_-76.73546554122278,39.25298270462267 _x000a_-76.73546554122278,39.25298270462267 _x000a_-76.73546554122278,39.25298270462267"/>
    <x v="1"/>
    <x v="1"/>
    <x v="7"/>
    <s v="07d9ccb5d1086000"/>
    <x v="7"/>
    <s v="poi"/>
    <s v="https://api.twitter.com/1.1/geo/id/07d9ccb5d1086000.json"/>
    <n v="16"/>
    <s v="3"/>
    <s v="3"/>
  </r>
  <r>
    <x v="1"/>
    <s v="ccbcmd"/>
    <m/>
    <m/>
    <m/>
    <m/>
    <m/>
    <m/>
    <m/>
    <m/>
    <s v="No"/>
    <n v="30"/>
    <m/>
    <m/>
    <x v="1"/>
    <x v="27"/>
    <x v="27"/>
    <x v="2"/>
    <x v="1"/>
    <x v="5"/>
    <x v="27"/>
    <s v="https://pbs.twimg.com/profile_images/1280188684483076097/hDD1guXX_normal.jpg"/>
    <d v="2021-07-27T14:44:58"/>
    <d v="2021-07-27T00:00:00"/>
    <s v="14:44:58"/>
    <s v="https://twitter.com/ucatonsville/status/1420032469043134480"/>
    <m/>
    <m/>
    <s v="1420032469043134480"/>
    <m/>
    <b v="0"/>
    <n v="5"/>
    <s v=""/>
    <b v="0"/>
    <s v="en"/>
    <m/>
    <s v=""/>
    <x v="0"/>
    <n v="3"/>
    <s v=""/>
    <s v="Twitter for iPhone"/>
    <b v="0"/>
    <s v="1420032469043134480"/>
    <s v="Tweet"/>
    <n v="0"/>
    <n v="0"/>
    <s v="-76.73546554122278,39.25298270462267 _x000a_-76.73546554122278,39.25298270462267 _x000a_-76.73546554122278,39.25298270462267 _x000a_-76.73546554122278,39.25298270462267"/>
    <x v="1"/>
    <x v="1"/>
    <x v="7"/>
    <s v="07d9ccb5d1086000"/>
    <x v="7"/>
    <s v="poi"/>
    <s v="https://api.twitter.com/1.1/geo/id/07d9ccb5d1086000.json"/>
    <n v="16"/>
    <s v="3"/>
    <s v="3"/>
  </r>
  <r>
    <x v="1"/>
    <s v="ccbcmd"/>
    <m/>
    <m/>
    <m/>
    <m/>
    <m/>
    <m/>
    <m/>
    <m/>
    <s v="No"/>
    <n v="31"/>
    <m/>
    <m/>
    <x v="2"/>
    <x v="28"/>
    <x v="28"/>
    <x v="0"/>
    <x v="0"/>
    <x v="1"/>
    <x v="28"/>
    <s v="https://pbs.twimg.com/media/E7a7A6jX0AQDEwY.jpg"/>
    <d v="2021-07-28T23:35:29"/>
    <d v="2021-07-28T00:00:00"/>
    <s v="23:35:29"/>
    <s v="https://twitter.com/ucatonsville/status/1420528365354856453"/>
    <m/>
    <m/>
    <s v="1420528365354856453"/>
    <m/>
    <b v="0"/>
    <n v="0"/>
    <s v="23104618"/>
    <b v="0"/>
    <s v="en"/>
    <m/>
    <s v=""/>
    <x v="0"/>
    <n v="0"/>
    <s v=""/>
    <s v="Twitter for iPhone"/>
    <b v="0"/>
    <s v="1420528365354856453"/>
    <s v="Tweet"/>
    <n v="0"/>
    <n v="0"/>
    <s v="-77.025539,38.883895 _x000a_-77.025539,38.883895 _x000a_-77.025539,38.883895 _x000a_-77.025539,38.883895"/>
    <x v="1"/>
    <x v="1"/>
    <x v="8"/>
    <s v="11dca57e8e54e001"/>
    <x v="8"/>
    <s v="poi"/>
    <s v="https://api.twitter.com/1.1/geo/id/11dca57e8e54e001.json"/>
    <n v="16"/>
    <s v="3"/>
    <s v="3"/>
  </r>
  <r>
    <x v="1"/>
    <s v="ccbcmd"/>
    <m/>
    <m/>
    <m/>
    <m/>
    <m/>
    <m/>
    <m/>
    <m/>
    <s v="No"/>
    <n v="32"/>
    <m/>
    <m/>
    <x v="2"/>
    <x v="29"/>
    <x v="29"/>
    <x v="0"/>
    <x v="0"/>
    <x v="1"/>
    <x v="29"/>
    <s v="https://pbs.twimg.com/media/E7a7XzIWQAAyDbT.jpg"/>
    <d v="2021-07-28T23:37:02"/>
    <d v="2021-07-28T00:00:00"/>
    <s v="23:37:02"/>
    <s v="https://twitter.com/ucatonsville/status/1420528757392150530"/>
    <m/>
    <m/>
    <s v="1420528757392150530"/>
    <m/>
    <b v="0"/>
    <n v="0"/>
    <s v="23104618"/>
    <b v="0"/>
    <s v="en"/>
    <m/>
    <s v=""/>
    <x v="0"/>
    <n v="0"/>
    <s v=""/>
    <s v="Twitter for iPhone"/>
    <b v="0"/>
    <s v="1420528757392150530"/>
    <s v="Tweet"/>
    <n v="0"/>
    <n v="0"/>
    <s v="-77.025539,38.883895 _x000a_-77.025539,38.883895 _x000a_-77.025539,38.883895 _x000a_-77.025539,38.883895"/>
    <x v="1"/>
    <x v="1"/>
    <x v="8"/>
    <s v="11dca57e8e54e001"/>
    <x v="8"/>
    <s v="poi"/>
    <s v="https://api.twitter.com/1.1/geo/id/11dca57e8e54e001.json"/>
    <n v="16"/>
    <s v="3"/>
    <s v="3"/>
  </r>
  <r>
    <x v="1"/>
    <s v="ccbcmd"/>
    <m/>
    <m/>
    <m/>
    <m/>
    <m/>
    <m/>
    <m/>
    <m/>
    <s v="No"/>
    <n v="33"/>
    <m/>
    <m/>
    <x v="2"/>
    <x v="30"/>
    <x v="30"/>
    <x v="0"/>
    <x v="0"/>
    <x v="1"/>
    <x v="30"/>
    <s v="https://pbs.twimg.com/media/E7a7qL-X0AEub4f.jpg"/>
    <d v="2021-07-28T23:38:19"/>
    <d v="2021-07-28T00:00:00"/>
    <s v="23:38:19"/>
    <s v="https://twitter.com/ucatonsville/status/1420529079518892034"/>
    <m/>
    <m/>
    <s v="1420529079518892034"/>
    <m/>
    <b v="0"/>
    <n v="1"/>
    <s v="23104618"/>
    <b v="0"/>
    <s v="en"/>
    <m/>
    <s v=""/>
    <x v="0"/>
    <n v="1"/>
    <s v=""/>
    <s v="Twitter for iPhone"/>
    <b v="0"/>
    <s v="1420529079518892034"/>
    <s v="Tweet"/>
    <n v="0"/>
    <n v="0"/>
    <s v="-77.025539,38.883895 _x000a_-77.025539,38.883895 _x000a_-77.025539,38.883895 _x000a_-77.025539,38.883895"/>
    <x v="1"/>
    <x v="1"/>
    <x v="8"/>
    <s v="11dca57e8e54e001"/>
    <x v="8"/>
    <s v="poi"/>
    <s v="https://api.twitter.com/1.1/geo/id/11dca57e8e54e001.json"/>
    <n v="16"/>
    <s v="3"/>
    <s v="3"/>
  </r>
  <r>
    <x v="1"/>
    <s v="ccbcmd"/>
    <m/>
    <m/>
    <m/>
    <m/>
    <m/>
    <m/>
    <m/>
    <m/>
    <s v="No"/>
    <n v="34"/>
    <m/>
    <m/>
    <x v="2"/>
    <x v="31"/>
    <x v="31"/>
    <x v="0"/>
    <x v="0"/>
    <x v="1"/>
    <x v="31"/>
    <s v="https://pbs.twimg.com/media/E7a70a7XEAQb9EK.jpg"/>
    <d v="2021-07-28T23:39:00"/>
    <d v="2021-07-28T00:00:00"/>
    <s v="23:39:00"/>
    <s v="https://twitter.com/ucatonsville/status/1420529251510542348"/>
    <m/>
    <m/>
    <s v="1420529251510542348"/>
    <m/>
    <b v="0"/>
    <n v="0"/>
    <s v="23104618"/>
    <b v="0"/>
    <s v="en"/>
    <m/>
    <s v=""/>
    <x v="0"/>
    <n v="0"/>
    <s v=""/>
    <s v="Twitter for iPhone"/>
    <b v="0"/>
    <s v="1420529251510542348"/>
    <s v="Tweet"/>
    <n v="0"/>
    <n v="0"/>
    <s v="-77.025539,38.883895 _x000a_-77.025539,38.883895 _x000a_-77.025539,38.883895 _x000a_-77.025539,38.883895"/>
    <x v="1"/>
    <x v="1"/>
    <x v="8"/>
    <s v="11dca57e8e54e001"/>
    <x v="8"/>
    <s v="poi"/>
    <s v="https://api.twitter.com/1.1/geo/id/11dca57e8e54e001.json"/>
    <n v="16"/>
    <s v="3"/>
    <s v="3"/>
  </r>
  <r>
    <x v="1"/>
    <s v="ccbcmd"/>
    <m/>
    <m/>
    <m/>
    <m/>
    <m/>
    <m/>
    <m/>
    <m/>
    <s v="No"/>
    <n v="35"/>
    <m/>
    <m/>
    <x v="2"/>
    <x v="32"/>
    <x v="32"/>
    <x v="0"/>
    <x v="0"/>
    <x v="1"/>
    <x v="32"/>
    <s v="https://pbs.twimg.com/media/E7a8GjlXoAg2YCs.jpg"/>
    <d v="2021-07-28T23:40:12"/>
    <d v="2021-07-28T00:00:00"/>
    <s v="23:40:12"/>
    <s v="https://twitter.com/ucatonsville/status/1420529556025380864"/>
    <m/>
    <m/>
    <s v="1420529556025380864"/>
    <m/>
    <b v="0"/>
    <n v="0"/>
    <s v="23104618"/>
    <b v="0"/>
    <s v="en"/>
    <m/>
    <s v=""/>
    <x v="0"/>
    <n v="0"/>
    <s v=""/>
    <s v="Twitter for iPhone"/>
    <b v="0"/>
    <s v="1420529556025380864"/>
    <s v="Tweet"/>
    <n v="0"/>
    <n v="0"/>
    <m/>
    <x v="0"/>
    <x v="0"/>
    <x v="0"/>
    <m/>
    <x v="0"/>
    <m/>
    <m/>
    <n v="16"/>
    <s v="3"/>
    <s v="3"/>
  </r>
  <r>
    <x v="1"/>
    <s v="ccbcmd"/>
    <m/>
    <m/>
    <m/>
    <m/>
    <m/>
    <m/>
    <m/>
    <m/>
    <s v="No"/>
    <n v="36"/>
    <m/>
    <m/>
    <x v="2"/>
    <x v="33"/>
    <x v="33"/>
    <x v="0"/>
    <x v="0"/>
    <x v="1"/>
    <x v="33"/>
    <s v="https://pbs.twimg.com/media/E7a8M1bXEAQWb44.jpg"/>
    <d v="2021-07-28T23:40:38"/>
    <d v="2021-07-28T00:00:00"/>
    <s v="23:40:38"/>
    <s v="https://twitter.com/ucatonsville/status/1420529664280469510"/>
    <m/>
    <m/>
    <s v="1420529664280469510"/>
    <m/>
    <b v="0"/>
    <n v="0"/>
    <s v="23104618"/>
    <b v="0"/>
    <s v="en"/>
    <m/>
    <s v=""/>
    <x v="0"/>
    <n v="0"/>
    <s v=""/>
    <s v="Twitter for iPhone"/>
    <b v="0"/>
    <s v="1420529664280469510"/>
    <s v="Tweet"/>
    <n v="0"/>
    <n v="0"/>
    <m/>
    <x v="0"/>
    <x v="0"/>
    <x v="0"/>
    <m/>
    <x v="0"/>
    <m/>
    <m/>
    <n v="16"/>
    <s v="3"/>
    <s v="3"/>
  </r>
  <r>
    <x v="1"/>
    <s v="ccbcmd"/>
    <m/>
    <m/>
    <m/>
    <m/>
    <m/>
    <m/>
    <m/>
    <m/>
    <s v="No"/>
    <n v="37"/>
    <m/>
    <m/>
    <x v="2"/>
    <x v="34"/>
    <x v="34"/>
    <x v="0"/>
    <x v="0"/>
    <x v="1"/>
    <x v="34"/>
    <s v="https://pbs.twimg.com/media/E7a8qbhWYAAJ_Pp.jpg"/>
    <d v="2021-07-28T23:42:40"/>
    <d v="2021-07-28T00:00:00"/>
    <s v="23:42:40"/>
    <s v="https://twitter.com/ucatonsville/status/1420530173947088905"/>
    <m/>
    <m/>
    <s v="1420530173947088905"/>
    <m/>
    <b v="0"/>
    <n v="0"/>
    <s v="23104618"/>
    <b v="0"/>
    <s v="en"/>
    <m/>
    <s v=""/>
    <x v="0"/>
    <n v="0"/>
    <s v=""/>
    <s v="Twitter for iPhone"/>
    <b v="0"/>
    <s v="1420530173947088905"/>
    <s v="Tweet"/>
    <n v="0"/>
    <n v="0"/>
    <m/>
    <x v="0"/>
    <x v="0"/>
    <x v="0"/>
    <m/>
    <x v="0"/>
    <m/>
    <m/>
    <n v="16"/>
    <s v="3"/>
    <s v="3"/>
  </r>
  <r>
    <x v="1"/>
    <s v="ccbcmd"/>
    <m/>
    <m/>
    <m/>
    <m/>
    <m/>
    <m/>
    <m/>
    <m/>
    <s v="No"/>
    <n v="38"/>
    <m/>
    <m/>
    <x v="2"/>
    <x v="35"/>
    <x v="35"/>
    <x v="0"/>
    <x v="0"/>
    <x v="1"/>
    <x v="35"/>
    <s v="https://pbs.twimg.com/media/E7a_y_LXIAEIoB-.jpg"/>
    <d v="2021-07-28T23:56:22"/>
    <d v="2021-07-28T00:00:00"/>
    <s v="23:56:22"/>
    <s v="https://twitter.com/ucatonsville/status/1420533623971848193"/>
    <m/>
    <m/>
    <s v="1420533623971848193"/>
    <m/>
    <b v="0"/>
    <n v="1"/>
    <s v="23104618"/>
    <b v="0"/>
    <s v="en"/>
    <m/>
    <s v=""/>
    <x v="0"/>
    <n v="1"/>
    <s v=""/>
    <s v="Twitter for iPhone"/>
    <b v="0"/>
    <s v="1420533623971848193"/>
    <s v="Tweet"/>
    <n v="0"/>
    <n v="0"/>
    <s v="-77.050166,38.889267 _x000a_-77.050166,38.889267 _x000a_-77.050166,38.889267 _x000a_-77.050166,38.889267"/>
    <x v="1"/>
    <x v="1"/>
    <x v="9"/>
    <s v="07d9ec6f99488000"/>
    <x v="9"/>
    <s v="poi"/>
    <s v="https://api.twitter.com/1.1/geo/id/07d9ec6f99488000.json"/>
    <n v="16"/>
    <s v="3"/>
    <s v="3"/>
  </r>
  <r>
    <x v="1"/>
    <s v="ccbcmd"/>
    <m/>
    <m/>
    <m/>
    <m/>
    <m/>
    <m/>
    <m/>
    <m/>
    <s v="No"/>
    <n v="39"/>
    <m/>
    <m/>
    <x v="1"/>
    <x v="36"/>
    <x v="36"/>
    <x v="0"/>
    <x v="0"/>
    <x v="1"/>
    <x v="36"/>
    <s v="https://pbs.twimg.com/media/E7eO9zIVUAEjK-g.jpg"/>
    <d v="2021-07-29T15:01:31"/>
    <d v="2021-07-29T00:00:00"/>
    <s v="15:01:31"/>
    <s v="https://twitter.com/ucatonsville/status/1420761412998209539"/>
    <m/>
    <m/>
    <s v="1420761412998209539"/>
    <m/>
    <b v="0"/>
    <n v="6"/>
    <s v=""/>
    <b v="0"/>
    <s v="en"/>
    <m/>
    <s v=""/>
    <x v="0"/>
    <n v="4"/>
    <s v=""/>
    <s v="Twitter for iPhone"/>
    <b v="0"/>
    <s v="1420761412998209539"/>
    <s v="Tweet"/>
    <n v="0"/>
    <n v="0"/>
    <s v="-77.050166,38.889267 _x000a_-77.050166,38.889267 _x000a_-77.050166,38.889267 _x000a_-77.050166,38.889267"/>
    <x v="1"/>
    <x v="1"/>
    <x v="9"/>
    <s v="07d9ec6f99488000"/>
    <x v="9"/>
    <s v="poi"/>
    <s v="https://api.twitter.com/1.1/geo/id/07d9ec6f99488000.json"/>
    <n v="16"/>
    <s v="3"/>
    <s v="3"/>
  </r>
  <r>
    <x v="1"/>
    <s v="ccbcmd"/>
    <m/>
    <m/>
    <m/>
    <m/>
    <m/>
    <m/>
    <m/>
    <m/>
    <s v="No"/>
    <n v="40"/>
    <m/>
    <m/>
    <x v="1"/>
    <x v="37"/>
    <x v="37"/>
    <x v="3"/>
    <x v="2"/>
    <x v="1"/>
    <x v="27"/>
    <s v="https://pbs.twimg.com/profile_images/1280188684483076097/hDD1guXX_normal.jpg"/>
    <d v="2021-07-30T18:25:14"/>
    <d v="2021-07-30T00:00:00"/>
    <s v="18:25:14"/>
    <s v="https://twitter.com/ucatonsville/status/1421175066356850692"/>
    <m/>
    <m/>
    <s v="1421175066356850692"/>
    <m/>
    <b v="0"/>
    <n v="0"/>
    <s v=""/>
    <b v="0"/>
    <s v="en"/>
    <m/>
    <s v=""/>
    <x v="0"/>
    <n v="0"/>
    <s v=""/>
    <s v="Twitter for iPhone"/>
    <b v="0"/>
    <s v="1421175066356850692"/>
    <s v="Tweet"/>
    <n v="0"/>
    <n v="0"/>
    <m/>
    <x v="0"/>
    <x v="0"/>
    <x v="0"/>
    <m/>
    <x v="0"/>
    <m/>
    <m/>
    <n v="16"/>
    <s v="3"/>
    <s v="3"/>
  </r>
  <r>
    <x v="2"/>
    <s v="ucatonsville"/>
    <m/>
    <m/>
    <m/>
    <m/>
    <m/>
    <m/>
    <m/>
    <m/>
    <s v="No"/>
    <n v="41"/>
    <m/>
    <m/>
    <x v="3"/>
    <x v="38"/>
    <x v="27"/>
    <x v="2"/>
    <x v="1"/>
    <x v="5"/>
    <x v="27"/>
    <s v="https://pbs.twimg.com/profile_images/1398299805156360194/2uVusLCs_normal.jpg"/>
    <d v="2021-07-29T15:04:47"/>
    <d v="2021-07-29T00:00:00"/>
    <s v="15:04:47"/>
    <s v="https://twitter.com/ms_tabu/status/1420762232816914432"/>
    <m/>
    <m/>
    <s v="1420762232816914432"/>
    <m/>
    <b v="0"/>
    <n v="0"/>
    <s v=""/>
    <b v="0"/>
    <s v="en"/>
    <m/>
    <s v=""/>
    <x v="0"/>
    <n v="3"/>
    <s v="1420032469043134480"/>
    <s v="Twitter for Android"/>
    <b v="0"/>
    <s v="1420032469043134480"/>
    <s v="Tweet"/>
    <n v="0"/>
    <n v="0"/>
    <m/>
    <x v="0"/>
    <x v="0"/>
    <x v="0"/>
    <m/>
    <x v="0"/>
    <m/>
    <m/>
    <n v="12"/>
    <s v="3"/>
    <s v="3"/>
  </r>
  <r>
    <x v="2"/>
    <s v="ucatonsville"/>
    <m/>
    <m/>
    <m/>
    <m/>
    <m/>
    <m/>
    <m/>
    <m/>
    <s v="No"/>
    <n v="43"/>
    <m/>
    <m/>
    <x v="3"/>
    <x v="39"/>
    <x v="26"/>
    <x v="1"/>
    <x v="1"/>
    <x v="5"/>
    <x v="26"/>
    <s v="https://pbs.twimg.com/media/E7T3xyJWQAYfYP3.jpg"/>
    <d v="2021-07-29T15:04:53"/>
    <d v="2021-07-29T00:00:00"/>
    <s v="15:04:53"/>
    <s v="https://twitter.com/ms_tabu/status/1420762259693973506"/>
    <m/>
    <m/>
    <s v="1420762259693973506"/>
    <m/>
    <b v="0"/>
    <n v="0"/>
    <s v=""/>
    <b v="0"/>
    <s v="en"/>
    <m/>
    <s v=""/>
    <x v="0"/>
    <n v="3"/>
    <s v="1420032222283898895"/>
    <s v="Twitter for Android"/>
    <b v="0"/>
    <s v="1420032222283898895"/>
    <s v="Tweet"/>
    <n v="0"/>
    <n v="0"/>
    <m/>
    <x v="0"/>
    <x v="0"/>
    <x v="0"/>
    <m/>
    <x v="0"/>
    <m/>
    <m/>
    <n v="12"/>
    <s v="3"/>
    <s v="3"/>
  </r>
  <r>
    <x v="2"/>
    <s v="ucatonsville"/>
    <m/>
    <m/>
    <m/>
    <m/>
    <m/>
    <m/>
    <m/>
    <m/>
    <s v="No"/>
    <n v="45"/>
    <m/>
    <m/>
    <x v="3"/>
    <x v="40"/>
    <x v="24"/>
    <x v="0"/>
    <x v="0"/>
    <x v="1"/>
    <x v="24"/>
    <s v="https://pbs.twimg.com/media/E6IQoc-XIAIEHeV.jpg"/>
    <d v="2021-07-29T15:06:01"/>
    <d v="2021-07-29T00:00:00"/>
    <s v="15:06:01"/>
    <s v="https://twitter.com/ms_tabu/status/1420762541416869895"/>
    <m/>
    <m/>
    <s v="1420762541416869895"/>
    <m/>
    <b v="0"/>
    <n v="0"/>
    <s v=""/>
    <b v="0"/>
    <s v="en"/>
    <m/>
    <s v=""/>
    <x v="0"/>
    <n v="4"/>
    <s v="1414711527953866752"/>
    <s v="Twitter for Android"/>
    <b v="0"/>
    <s v="1414711527953866752"/>
    <s v="Tweet"/>
    <n v="0"/>
    <n v="0"/>
    <m/>
    <x v="0"/>
    <x v="0"/>
    <x v="0"/>
    <m/>
    <x v="0"/>
    <m/>
    <m/>
    <n v="12"/>
    <s v="3"/>
    <s v="3"/>
  </r>
  <r>
    <x v="2"/>
    <s v="ucatonsville"/>
    <m/>
    <m/>
    <m/>
    <m/>
    <m/>
    <m/>
    <m/>
    <m/>
    <s v="No"/>
    <n v="47"/>
    <m/>
    <m/>
    <x v="3"/>
    <x v="41"/>
    <x v="23"/>
    <x v="0"/>
    <x v="0"/>
    <x v="1"/>
    <x v="23"/>
    <s v="https://pbs.twimg.com/media/E6IPmASXMAAHX-l.jpg"/>
    <d v="2021-07-29T15:06:06"/>
    <d v="2021-07-29T00:00:00"/>
    <s v="15:06:06"/>
    <s v="https://twitter.com/ms_tabu/status/1420762565572022277"/>
    <m/>
    <m/>
    <s v="1420762565572022277"/>
    <m/>
    <b v="0"/>
    <n v="0"/>
    <s v=""/>
    <b v="0"/>
    <s v="en"/>
    <m/>
    <s v=""/>
    <x v="0"/>
    <n v="4"/>
    <s v="1414710391532306434"/>
    <s v="Twitter for Android"/>
    <b v="0"/>
    <s v="1414710391532306434"/>
    <s v="Tweet"/>
    <n v="0"/>
    <n v="0"/>
    <m/>
    <x v="0"/>
    <x v="0"/>
    <x v="0"/>
    <m/>
    <x v="0"/>
    <m/>
    <m/>
    <n v="12"/>
    <s v="3"/>
    <s v="3"/>
  </r>
  <r>
    <x v="2"/>
    <s v="ucatonsville"/>
    <m/>
    <m/>
    <m/>
    <m/>
    <m/>
    <m/>
    <m/>
    <m/>
    <s v="No"/>
    <n v="49"/>
    <m/>
    <m/>
    <x v="3"/>
    <x v="42"/>
    <x v="22"/>
    <x v="0"/>
    <x v="0"/>
    <x v="1"/>
    <x v="22"/>
    <s v="https://pbs.twimg.com/media/E6IOXacX0AIO80c.jpg"/>
    <d v="2021-07-29T15:06:10"/>
    <d v="2021-07-29T00:00:00"/>
    <s v="15:06:10"/>
    <s v="https://twitter.com/ms_tabu/status/1420762579748724739"/>
    <m/>
    <m/>
    <s v="1420762579748724739"/>
    <m/>
    <b v="0"/>
    <n v="0"/>
    <s v=""/>
    <b v="0"/>
    <s v="en"/>
    <m/>
    <s v=""/>
    <x v="0"/>
    <n v="3"/>
    <s v="1414709036063338496"/>
    <s v="Twitter for Android"/>
    <b v="0"/>
    <s v="1414709036063338496"/>
    <s v="Tweet"/>
    <n v="0"/>
    <n v="0"/>
    <m/>
    <x v="0"/>
    <x v="0"/>
    <x v="0"/>
    <m/>
    <x v="0"/>
    <m/>
    <m/>
    <n v="12"/>
    <s v="3"/>
    <s v="3"/>
  </r>
  <r>
    <x v="2"/>
    <s v="ucatonsville"/>
    <m/>
    <m/>
    <m/>
    <m/>
    <m/>
    <m/>
    <m/>
    <m/>
    <s v="No"/>
    <n v="51"/>
    <m/>
    <m/>
    <x v="3"/>
    <x v="43"/>
    <x v="36"/>
    <x v="0"/>
    <x v="0"/>
    <x v="1"/>
    <x v="36"/>
    <s v="https://pbs.twimg.com/media/E7eO9zIVUAEjK-g.jpg"/>
    <d v="2021-07-29T15:18:57"/>
    <d v="2021-07-29T00:00:00"/>
    <s v="15:18:57"/>
    <s v="https://twitter.com/ms_tabu/status/1420765797316714501"/>
    <m/>
    <m/>
    <s v="1420765797316714501"/>
    <m/>
    <b v="0"/>
    <n v="0"/>
    <s v=""/>
    <b v="0"/>
    <s v="en"/>
    <m/>
    <s v=""/>
    <x v="0"/>
    <n v="4"/>
    <s v="1420761412998209539"/>
    <s v="Twitter for Android"/>
    <b v="0"/>
    <s v="1420761412998209539"/>
    <s v="Tweet"/>
    <n v="0"/>
    <n v="0"/>
    <m/>
    <x v="0"/>
    <x v="0"/>
    <x v="0"/>
    <m/>
    <x v="0"/>
    <m/>
    <m/>
    <n v="12"/>
    <s v="3"/>
    <s v="3"/>
  </r>
  <r>
    <x v="3"/>
    <s v="ucatonsville"/>
    <m/>
    <m/>
    <m/>
    <m/>
    <m/>
    <m/>
    <m/>
    <m/>
    <s v="No"/>
    <n v="64"/>
    <m/>
    <m/>
    <x v="3"/>
    <x v="44"/>
    <x v="36"/>
    <x v="0"/>
    <x v="0"/>
    <x v="1"/>
    <x v="36"/>
    <s v="https://pbs.twimg.com/media/E7eO9zIVUAEjK-g.jpg"/>
    <d v="2021-07-29T15:06:55"/>
    <d v="2021-07-29T00:00:00"/>
    <s v="15:06:55"/>
    <s v="https://twitter.com/tabuwinslow/status/1420762771801530374"/>
    <m/>
    <m/>
    <s v="1420762771801530374"/>
    <m/>
    <b v="0"/>
    <n v="0"/>
    <s v=""/>
    <b v="0"/>
    <s v="en"/>
    <m/>
    <s v=""/>
    <x v="0"/>
    <n v="4"/>
    <s v="1420761412998209539"/>
    <s v="Twitter for Android"/>
    <b v="0"/>
    <s v="1420761412998209539"/>
    <s v="Tweet"/>
    <n v="0"/>
    <n v="0"/>
    <m/>
    <x v="0"/>
    <x v="0"/>
    <x v="0"/>
    <m/>
    <x v="0"/>
    <m/>
    <m/>
    <n v="10"/>
    <s v="3"/>
    <s v="3"/>
  </r>
  <r>
    <x v="3"/>
    <s v="ucatonsville"/>
    <m/>
    <m/>
    <m/>
    <m/>
    <m/>
    <m/>
    <m/>
    <m/>
    <s v="No"/>
    <n v="66"/>
    <m/>
    <m/>
    <x v="3"/>
    <x v="45"/>
    <x v="26"/>
    <x v="1"/>
    <x v="1"/>
    <x v="5"/>
    <x v="26"/>
    <s v="https://pbs.twimg.com/media/E7T3xyJWQAYfYP3.jpg"/>
    <d v="2021-07-29T15:07:11"/>
    <d v="2021-07-29T00:00:00"/>
    <s v="15:07:11"/>
    <s v="https://twitter.com/tabuwinslow/status/1420762838113587200"/>
    <m/>
    <m/>
    <s v="1420762838113587200"/>
    <m/>
    <b v="0"/>
    <n v="0"/>
    <s v=""/>
    <b v="0"/>
    <s v="en"/>
    <m/>
    <s v=""/>
    <x v="0"/>
    <n v="3"/>
    <s v="1420032222283898895"/>
    <s v="Twitter for Android"/>
    <b v="0"/>
    <s v="1420032222283898895"/>
    <s v="Tweet"/>
    <n v="0"/>
    <n v="0"/>
    <m/>
    <x v="0"/>
    <x v="0"/>
    <x v="0"/>
    <m/>
    <x v="0"/>
    <m/>
    <m/>
    <n v="10"/>
    <s v="3"/>
    <s v="3"/>
  </r>
  <r>
    <x v="3"/>
    <s v="ucatonsville"/>
    <m/>
    <m/>
    <m/>
    <m/>
    <m/>
    <m/>
    <m/>
    <m/>
    <s v="No"/>
    <n v="68"/>
    <m/>
    <m/>
    <x v="3"/>
    <x v="46"/>
    <x v="24"/>
    <x v="0"/>
    <x v="0"/>
    <x v="1"/>
    <x v="24"/>
    <s v="https://pbs.twimg.com/media/E6IQoc-XIAIEHeV.jpg"/>
    <d v="2021-07-29T15:08:05"/>
    <d v="2021-07-29T00:00:00"/>
    <s v="15:08:05"/>
    <s v="https://twitter.com/tabuwinslow/status/1420763064908099589"/>
    <m/>
    <m/>
    <s v="1420763064908099589"/>
    <m/>
    <b v="0"/>
    <n v="0"/>
    <s v=""/>
    <b v="0"/>
    <s v="en"/>
    <m/>
    <s v=""/>
    <x v="0"/>
    <n v="4"/>
    <s v="1414711527953866752"/>
    <s v="Twitter for Android"/>
    <b v="0"/>
    <s v="1414711527953866752"/>
    <s v="Tweet"/>
    <n v="0"/>
    <n v="0"/>
    <m/>
    <x v="0"/>
    <x v="0"/>
    <x v="0"/>
    <m/>
    <x v="0"/>
    <m/>
    <m/>
    <n v="10"/>
    <s v="3"/>
    <s v="3"/>
  </r>
  <r>
    <x v="3"/>
    <s v="ucatonsville"/>
    <m/>
    <m/>
    <m/>
    <m/>
    <m/>
    <m/>
    <m/>
    <m/>
    <s v="No"/>
    <n v="70"/>
    <m/>
    <m/>
    <x v="3"/>
    <x v="47"/>
    <x v="23"/>
    <x v="0"/>
    <x v="0"/>
    <x v="1"/>
    <x v="23"/>
    <s v="https://pbs.twimg.com/media/E6IPmASXMAAHX-l.jpg"/>
    <d v="2021-07-29T15:08:12"/>
    <d v="2021-07-29T00:00:00"/>
    <s v="15:08:12"/>
    <s v="https://twitter.com/tabuwinslow/status/1420763091483054099"/>
    <m/>
    <m/>
    <s v="1420763091483054099"/>
    <m/>
    <b v="0"/>
    <n v="0"/>
    <s v=""/>
    <b v="0"/>
    <s v="en"/>
    <m/>
    <s v=""/>
    <x v="0"/>
    <n v="4"/>
    <s v="1414710391532306434"/>
    <s v="Twitter for Android"/>
    <b v="0"/>
    <s v="1414710391532306434"/>
    <s v="Tweet"/>
    <n v="0"/>
    <n v="0"/>
    <m/>
    <x v="0"/>
    <x v="0"/>
    <x v="0"/>
    <m/>
    <x v="0"/>
    <m/>
    <m/>
    <n v="10"/>
    <s v="3"/>
    <s v="3"/>
  </r>
  <r>
    <x v="3"/>
    <s v="ucatonsville"/>
    <m/>
    <m/>
    <m/>
    <m/>
    <m/>
    <m/>
    <m/>
    <m/>
    <s v="No"/>
    <n v="72"/>
    <m/>
    <m/>
    <x v="3"/>
    <x v="48"/>
    <x v="22"/>
    <x v="0"/>
    <x v="0"/>
    <x v="1"/>
    <x v="22"/>
    <s v="https://pbs.twimg.com/media/E6IOXacX0AIO80c.jpg"/>
    <d v="2021-07-29T15:08:15"/>
    <d v="2021-07-29T00:00:00"/>
    <s v="15:08:15"/>
    <s v="https://twitter.com/tabuwinslow/status/1420763104921767937"/>
    <m/>
    <m/>
    <s v="1420763104921767937"/>
    <m/>
    <b v="0"/>
    <n v="0"/>
    <s v=""/>
    <b v="0"/>
    <s v="en"/>
    <m/>
    <s v=""/>
    <x v="0"/>
    <n v="3"/>
    <s v="1414709036063338496"/>
    <s v="Twitter for Android"/>
    <b v="0"/>
    <s v="1414709036063338496"/>
    <s v="Tweet"/>
    <n v="0"/>
    <n v="0"/>
    <m/>
    <x v="0"/>
    <x v="0"/>
    <x v="0"/>
    <m/>
    <x v="0"/>
    <m/>
    <m/>
    <n v="10"/>
    <s v="3"/>
    <s v="3"/>
  </r>
  <r>
    <x v="4"/>
    <s v="ucatonsville"/>
    <m/>
    <m/>
    <m/>
    <m/>
    <m/>
    <m/>
    <m/>
    <m/>
    <s v="No"/>
    <n v="74"/>
    <m/>
    <m/>
    <x v="3"/>
    <x v="49"/>
    <x v="36"/>
    <x v="0"/>
    <x v="0"/>
    <x v="1"/>
    <x v="36"/>
    <s v="https://pbs.twimg.com/media/E7eO9zIVUAEjK-g.jpg"/>
    <d v="2021-07-29T15:08:56"/>
    <d v="2021-07-29T00:00:00"/>
    <s v="15:08:56"/>
    <s v="https://twitter.com/letsplayballan1/status/1420763276665933824"/>
    <m/>
    <m/>
    <s v="1420763276665933824"/>
    <m/>
    <b v="0"/>
    <n v="0"/>
    <s v=""/>
    <b v="0"/>
    <s v="en"/>
    <m/>
    <s v=""/>
    <x v="0"/>
    <n v="4"/>
    <s v="1420761412998209539"/>
    <s v="Twitter for Android"/>
    <b v="0"/>
    <s v="1420761412998209539"/>
    <s v="Tweet"/>
    <n v="0"/>
    <n v="0"/>
    <m/>
    <x v="0"/>
    <x v="0"/>
    <x v="0"/>
    <m/>
    <x v="0"/>
    <m/>
    <m/>
    <n v="10"/>
    <s v="3"/>
    <s v="3"/>
  </r>
  <r>
    <x v="4"/>
    <s v="ucatonsville"/>
    <m/>
    <m/>
    <m/>
    <m/>
    <m/>
    <m/>
    <m/>
    <m/>
    <s v="No"/>
    <n v="76"/>
    <m/>
    <m/>
    <x v="3"/>
    <x v="50"/>
    <x v="26"/>
    <x v="1"/>
    <x v="1"/>
    <x v="5"/>
    <x v="26"/>
    <s v="https://pbs.twimg.com/media/E7T3xyJWQAYfYP3.jpg"/>
    <d v="2021-07-29T15:09:09"/>
    <d v="2021-07-29T00:00:00"/>
    <s v="15:09:09"/>
    <s v="https://twitter.com/letsplayballan1/status/1420763333368688643"/>
    <m/>
    <m/>
    <s v="1420763333368688643"/>
    <m/>
    <b v="0"/>
    <n v="0"/>
    <s v=""/>
    <b v="0"/>
    <s v="en"/>
    <m/>
    <s v=""/>
    <x v="0"/>
    <n v="3"/>
    <s v="1420032222283898895"/>
    <s v="Twitter for Android"/>
    <b v="0"/>
    <s v="1420032222283898895"/>
    <s v="Tweet"/>
    <n v="0"/>
    <n v="0"/>
    <m/>
    <x v="0"/>
    <x v="0"/>
    <x v="0"/>
    <m/>
    <x v="0"/>
    <m/>
    <m/>
    <n v="10"/>
    <s v="3"/>
    <s v="3"/>
  </r>
  <r>
    <x v="4"/>
    <s v="ucatonsville"/>
    <m/>
    <m/>
    <m/>
    <m/>
    <m/>
    <m/>
    <m/>
    <m/>
    <s v="No"/>
    <n v="78"/>
    <m/>
    <m/>
    <x v="3"/>
    <x v="51"/>
    <x v="24"/>
    <x v="0"/>
    <x v="0"/>
    <x v="1"/>
    <x v="24"/>
    <s v="https://pbs.twimg.com/media/E6IQoc-XIAIEHeV.jpg"/>
    <d v="2021-07-29T15:10:01"/>
    <d v="2021-07-29T00:00:00"/>
    <s v="15:10:01"/>
    <s v="https://twitter.com/letsplayballan1/status/1420763549677277184"/>
    <m/>
    <m/>
    <s v="1420763549677277184"/>
    <m/>
    <b v="0"/>
    <n v="0"/>
    <s v=""/>
    <b v="0"/>
    <s v="en"/>
    <m/>
    <s v=""/>
    <x v="0"/>
    <n v="4"/>
    <s v="1414711527953866752"/>
    <s v="Twitter for Android"/>
    <b v="0"/>
    <s v="1414711527953866752"/>
    <s v="Tweet"/>
    <n v="0"/>
    <n v="0"/>
    <m/>
    <x v="0"/>
    <x v="0"/>
    <x v="0"/>
    <m/>
    <x v="0"/>
    <m/>
    <m/>
    <n v="10"/>
    <s v="3"/>
    <s v="3"/>
  </r>
  <r>
    <x v="4"/>
    <s v="ucatonsville"/>
    <m/>
    <m/>
    <m/>
    <m/>
    <m/>
    <m/>
    <m/>
    <m/>
    <s v="No"/>
    <n v="80"/>
    <m/>
    <m/>
    <x v="3"/>
    <x v="52"/>
    <x v="23"/>
    <x v="0"/>
    <x v="0"/>
    <x v="1"/>
    <x v="23"/>
    <s v="https://pbs.twimg.com/media/E6IPmASXMAAHX-l.jpg"/>
    <d v="2021-07-29T15:10:07"/>
    <d v="2021-07-29T00:00:00"/>
    <s v="15:10:07"/>
    <s v="https://twitter.com/letsplayballan1/status/1420763574218207233"/>
    <m/>
    <m/>
    <s v="1420763574218207233"/>
    <m/>
    <b v="0"/>
    <n v="0"/>
    <s v=""/>
    <b v="0"/>
    <s v="en"/>
    <m/>
    <s v=""/>
    <x v="0"/>
    <n v="4"/>
    <s v="1414710391532306434"/>
    <s v="Twitter for Android"/>
    <b v="0"/>
    <s v="1414710391532306434"/>
    <s v="Tweet"/>
    <n v="0"/>
    <n v="0"/>
    <m/>
    <x v="0"/>
    <x v="0"/>
    <x v="0"/>
    <m/>
    <x v="0"/>
    <m/>
    <m/>
    <n v="10"/>
    <s v="3"/>
    <s v="3"/>
  </r>
  <r>
    <x v="4"/>
    <s v="ucatonsville"/>
    <m/>
    <m/>
    <m/>
    <m/>
    <m/>
    <m/>
    <m/>
    <m/>
    <s v="No"/>
    <n v="82"/>
    <m/>
    <m/>
    <x v="3"/>
    <x v="53"/>
    <x v="22"/>
    <x v="0"/>
    <x v="0"/>
    <x v="1"/>
    <x v="22"/>
    <s v="https://pbs.twimg.com/media/E6IOXacX0AIO80c.jpg"/>
    <d v="2021-07-29T15:10:10"/>
    <d v="2021-07-29T00:00:00"/>
    <s v="15:10:10"/>
    <s v="https://twitter.com/letsplayballan1/status/1420763585798627331"/>
    <m/>
    <m/>
    <s v="1420763585798627331"/>
    <m/>
    <b v="0"/>
    <n v="0"/>
    <s v=""/>
    <b v="0"/>
    <s v="en"/>
    <m/>
    <s v=""/>
    <x v="0"/>
    <n v="3"/>
    <s v="1414709036063338496"/>
    <s v="Twitter for Android"/>
    <b v="0"/>
    <s v="1414709036063338496"/>
    <s v="Tweet"/>
    <n v="0"/>
    <n v="0"/>
    <m/>
    <x v="0"/>
    <x v="0"/>
    <x v="0"/>
    <m/>
    <x v="0"/>
    <m/>
    <m/>
    <n v="10"/>
    <s v="3"/>
    <s v="3"/>
  </r>
  <r>
    <x v="5"/>
    <s v="ucatonsville"/>
    <m/>
    <m/>
    <m/>
    <m/>
    <m/>
    <m/>
    <m/>
    <m/>
    <s v="No"/>
    <n v="100"/>
    <m/>
    <m/>
    <x v="3"/>
    <x v="54"/>
    <x v="35"/>
    <x v="0"/>
    <x v="0"/>
    <x v="1"/>
    <x v="35"/>
    <s v="https://pbs.twimg.com/media/E7a_y_LXIAEIoB-.jpg"/>
    <d v="2021-07-29T03:53:27"/>
    <d v="2021-07-29T00:00:00"/>
    <s v="03:53:27"/>
    <s v="https://twitter.com/edabipi/status/1420593286717321217"/>
    <m/>
    <m/>
    <s v="1420593286717321217"/>
    <m/>
    <b v="0"/>
    <n v="0"/>
    <s v=""/>
    <b v="0"/>
    <s v="en"/>
    <m/>
    <s v=""/>
    <x v="0"/>
    <n v="1"/>
    <s v="1420533623971848193"/>
    <s v="Twitter for iPhone"/>
    <b v="0"/>
    <s v="1420533623971848193"/>
    <s v="Tweet"/>
    <n v="0"/>
    <n v="0"/>
    <m/>
    <x v="0"/>
    <x v="0"/>
    <x v="0"/>
    <m/>
    <x v="0"/>
    <m/>
    <m/>
    <n v="6"/>
    <s v="3"/>
    <s v="3"/>
  </r>
  <r>
    <x v="5"/>
    <s v="ucatonsville"/>
    <m/>
    <m/>
    <m/>
    <m/>
    <m/>
    <m/>
    <m/>
    <m/>
    <s v="No"/>
    <n v="102"/>
    <m/>
    <m/>
    <x v="3"/>
    <x v="55"/>
    <x v="30"/>
    <x v="0"/>
    <x v="0"/>
    <x v="1"/>
    <x v="30"/>
    <s v="https://pbs.twimg.com/media/E7a7qL-X0AEub4f.jpg"/>
    <d v="2021-07-29T03:53:32"/>
    <d v="2021-07-29T00:00:00"/>
    <s v="03:53:32"/>
    <s v="https://twitter.com/edabipi/status/1420593306489196551"/>
    <m/>
    <m/>
    <s v="1420593306489196551"/>
    <m/>
    <b v="0"/>
    <n v="0"/>
    <s v=""/>
    <b v="0"/>
    <s v="en"/>
    <m/>
    <s v=""/>
    <x v="0"/>
    <n v="1"/>
    <s v="1420529079518892034"/>
    <s v="Twitter for iPhone"/>
    <b v="0"/>
    <s v="1420529079518892034"/>
    <s v="Tweet"/>
    <n v="0"/>
    <n v="0"/>
    <m/>
    <x v="0"/>
    <x v="0"/>
    <x v="0"/>
    <m/>
    <x v="0"/>
    <m/>
    <m/>
    <n v="6"/>
    <s v="3"/>
    <s v="3"/>
  </r>
  <r>
    <x v="5"/>
    <s v="ucatonsville"/>
    <m/>
    <m/>
    <m/>
    <m/>
    <m/>
    <m/>
    <m/>
    <m/>
    <s v="No"/>
    <n v="104"/>
    <m/>
    <m/>
    <x v="3"/>
    <x v="56"/>
    <x v="36"/>
    <x v="0"/>
    <x v="0"/>
    <x v="1"/>
    <x v="36"/>
    <s v="https://pbs.twimg.com/media/E7eO9zIVUAEjK-g.jpg"/>
    <d v="2021-07-30T17:28:17"/>
    <d v="2021-07-30T00:00:00"/>
    <s v="17:28:17"/>
    <s v="https://twitter.com/edabipi/status/1421160732494860294"/>
    <m/>
    <m/>
    <s v="1421160732494860294"/>
    <m/>
    <b v="0"/>
    <n v="0"/>
    <s v=""/>
    <b v="0"/>
    <s v="en"/>
    <m/>
    <s v=""/>
    <x v="0"/>
    <n v="4"/>
    <s v="1420761412998209539"/>
    <s v="Twitter for iPhone"/>
    <b v="0"/>
    <s v="1420761412998209539"/>
    <s v="Tweet"/>
    <n v="0"/>
    <n v="0"/>
    <m/>
    <x v="0"/>
    <x v="0"/>
    <x v="0"/>
    <m/>
    <x v="0"/>
    <m/>
    <m/>
    <n v="6"/>
    <s v="3"/>
    <s v="3"/>
  </r>
  <r>
    <x v="6"/>
    <s v="mycencalwestop"/>
    <m/>
    <m/>
    <m/>
    <m/>
    <m/>
    <m/>
    <m/>
    <m/>
    <s v="No"/>
    <n v="106"/>
    <m/>
    <m/>
    <x v="0"/>
    <x v="57"/>
    <x v="38"/>
    <x v="0"/>
    <x v="0"/>
    <x v="6"/>
    <x v="37"/>
    <s v="https://pbs.twimg.com/media/E4LuRbFVEAEufsH.jpg"/>
    <d v="2021-07-24T18:18:00"/>
    <d v="2021-07-24T00:00:00"/>
    <s v="18:18:00"/>
    <s v="https://twitter.com/mycencalwestop/status/1418998917220474885"/>
    <m/>
    <m/>
    <s v="1418998917220474885"/>
    <m/>
    <b v="0"/>
    <n v="0"/>
    <s v=""/>
    <b v="0"/>
    <s v="en"/>
    <m/>
    <s v=""/>
    <x v="0"/>
    <n v="0"/>
    <s v=""/>
    <s v="TweetDeck"/>
    <b v="0"/>
    <s v="1418998917220474885"/>
    <s v="Tweet"/>
    <n v="0"/>
    <n v="0"/>
    <m/>
    <x v="0"/>
    <x v="0"/>
    <x v="0"/>
    <m/>
    <x v="0"/>
    <m/>
    <m/>
    <n v="6"/>
    <s v="1"/>
    <s v="1"/>
  </r>
  <r>
    <x v="6"/>
    <s v="mycencalwestop"/>
    <m/>
    <m/>
    <m/>
    <m/>
    <m/>
    <m/>
    <m/>
    <m/>
    <s v="No"/>
    <n v="107"/>
    <m/>
    <m/>
    <x v="0"/>
    <x v="58"/>
    <x v="39"/>
    <x v="0"/>
    <x v="0"/>
    <x v="7"/>
    <x v="38"/>
    <s v="https://pbs.twimg.com/media/E3-Sw9gVoAAcici.jpg"/>
    <d v="2021-07-26T15:59:00"/>
    <d v="2021-07-26T00:00:00"/>
    <s v="15:59:00"/>
    <s v="https://twitter.com/mycencalwestop/status/1419688712351387650"/>
    <m/>
    <m/>
    <s v="1419688712351387650"/>
    <m/>
    <b v="0"/>
    <n v="1"/>
    <s v=""/>
    <b v="0"/>
    <s v="en"/>
    <m/>
    <s v=""/>
    <x v="0"/>
    <n v="0"/>
    <s v=""/>
    <s v="TweetDeck"/>
    <b v="0"/>
    <s v="1419688712351387650"/>
    <s v="Tweet"/>
    <n v="0"/>
    <n v="0"/>
    <m/>
    <x v="0"/>
    <x v="0"/>
    <x v="0"/>
    <m/>
    <x v="0"/>
    <m/>
    <m/>
    <n v="6"/>
    <s v="1"/>
    <s v="1"/>
  </r>
  <r>
    <x v="6"/>
    <s v="mycencalwestop"/>
    <m/>
    <m/>
    <m/>
    <m/>
    <m/>
    <m/>
    <m/>
    <m/>
    <s v="No"/>
    <n v="108"/>
    <m/>
    <m/>
    <x v="0"/>
    <x v="59"/>
    <x v="40"/>
    <x v="0"/>
    <x v="0"/>
    <x v="6"/>
    <x v="27"/>
    <s v="https://pbs.twimg.com/profile_images/1323297412480262144/loo-7mMs_normal.jpg"/>
    <d v="2021-07-28T19:19:00"/>
    <d v="2021-07-28T00:00:00"/>
    <s v="19:19:00"/>
    <s v="https://twitter.com/mycencalwestop/status/1420463820179492873"/>
    <m/>
    <m/>
    <s v="1420463820179492873"/>
    <m/>
    <b v="0"/>
    <n v="0"/>
    <s v=""/>
    <b v="0"/>
    <s v="en"/>
    <m/>
    <s v=""/>
    <x v="0"/>
    <n v="0"/>
    <s v=""/>
    <s v="TweetDeck"/>
    <b v="0"/>
    <s v="1420463820179492873"/>
    <s v="Tweet"/>
    <n v="0"/>
    <n v="0"/>
    <m/>
    <x v="0"/>
    <x v="0"/>
    <x v="0"/>
    <m/>
    <x v="0"/>
    <m/>
    <m/>
    <n v="6"/>
    <s v="1"/>
    <s v="1"/>
  </r>
  <r>
    <x v="6"/>
    <s v="mycencalwestop"/>
    <m/>
    <m/>
    <m/>
    <m/>
    <m/>
    <m/>
    <m/>
    <m/>
    <s v="No"/>
    <n v="109"/>
    <m/>
    <m/>
    <x v="0"/>
    <x v="60"/>
    <x v="41"/>
    <x v="4"/>
    <x v="3"/>
    <x v="8"/>
    <x v="27"/>
    <s v="https://pbs.twimg.com/profile_images/1323297412480262144/loo-7mMs_normal.jpg"/>
    <d v="2021-07-28T21:16:37"/>
    <d v="2021-07-28T00:00:00"/>
    <s v="21:16:37"/>
    <s v="https://twitter.com/mycencalwestop/status/1420493421563703297"/>
    <m/>
    <m/>
    <s v="1420493421563703297"/>
    <m/>
    <b v="0"/>
    <n v="0"/>
    <s v=""/>
    <b v="0"/>
    <s v="en"/>
    <m/>
    <s v=""/>
    <x v="0"/>
    <n v="0"/>
    <s v=""/>
    <s v="TweetDeck"/>
    <b v="0"/>
    <s v="1420493421563703297"/>
    <s v="Tweet"/>
    <n v="0"/>
    <n v="0"/>
    <m/>
    <x v="0"/>
    <x v="0"/>
    <x v="0"/>
    <m/>
    <x v="0"/>
    <m/>
    <m/>
    <n v="6"/>
    <s v="1"/>
    <s v="1"/>
  </r>
  <r>
    <x v="6"/>
    <s v="mycencalwestop"/>
    <m/>
    <m/>
    <m/>
    <m/>
    <m/>
    <m/>
    <m/>
    <m/>
    <s v="No"/>
    <n v="110"/>
    <m/>
    <m/>
    <x v="0"/>
    <x v="61"/>
    <x v="42"/>
    <x v="0"/>
    <x v="0"/>
    <x v="1"/>
    <x v="39"/>
    <s v="https://pbs.twimg.com/media/E7qIOzGUcAIUR57.jpg"/>
    <d v="2021-07-31T22:27:31"/>
    <d v="2021-07-31T00:00:00"/>
    <s v="22:27:31"/>
    <s v="https://twitter.com/mycencalwestop/status/1421598426752446470"/>
    <m/>
    <m/>
    <s v="1421598426752446470"/>
    <m/>
    <b v="0"/>
    <n v="2"/>
    <s v=""/>
    <b v="0"/>
    <s v="en"/>
    <m/>
    <s v=""/>
    <x v="0"/>
    <n v="0"/>
    <s v=""/>
    <s v="Twitter for iPhone"/>
    <b v="0"/>
    <s v="1421598426752446470"/>
    <s v="Tweet"/>
    <n v="0"/>
    <n v="0"/>
    <s v="-119.29684,36.360546 _x000a_-119.29684,36.360546 _x000a_-119.29684,36.360546 _x000a_-119.29684,36.360546"/>
    <x v="1"/>
    <x v="1"/>
    <x v="10"/>
    <s v="07d9d741e6084000"/>
    <x v="10"/>
    <s v="poi"/>
    <s v="https://api.twitter.com/1.1/geo/id/07d9d741e6084000.json"/>
    <n v="6"/>
    <s v="1"/>
    <s v="1"/>
  </r>
  <r>
    <x v="6"/>
    <s v="mycencalwestop"/>
    <m/>
    <m/>
    <m/>
    <m/>
    <m/>
    <m/>
    <m/>
    <m/>
    <s v="No"/>
    <n v="111"/>
    <m/>
    <m/>
    <x v="0"/>
    <x v="62"/>
    <x v="43"/>
    <x v="0"/>
    <x v="0"/>
    <x v="6"/>
    <x v="40"/>
    <s v="https://pbs.twimg.com/media/E4LvUzaUcAEHgb7.jpg"/>
    <d v="2021-08-01T20:23:00"/>
    <d v="2021-08-01T00:00:00"/>
    <s v="20:23:00"/>
    <s v="https://twitter.com/mycencalwestop/status/1421929477261565955"/>
    <m/>
    <m/>
    <s v="1421929477261565955"/>
    <m/>
    <b v="0"/>
    <n v="0"/>
    <s v=""/>
    <b v="0"/>
    <s v="en"/>
    <m/>
    <s v=""/>
    <x v="0"/>
    <n v="0"/>
    <s v=""/>
    <s v="TweetDeck"/>
    <b v="0"/>
    <s v="1421929477261565955"/>
    <s v="Tweet"/>
    <n v="0"/>
    <n v="0"/>
    <m/>
    <x v="0"/>
    <x v="0"/>
    <x v="0"/>
    <m/>
    <x v="0"/>
    <m/>
    <m/>
    <n v="6"/>
    <s v="1"/>
    <s v="1"/>
  </r>
  <r>
    <x v="7"/>
    <s v="eku_nova"/>
    <m/>
    <m/>
    <m/>
    <m/>
    <m/>
    <m/>
    <m/>
    <m/>
    <s v="No"/>
    <n v="112"/>
    <m/>
    <m/>
    <x v="0"/>
    <x v="63"/>
    <x v="44"/>
    <x v="0"/>
    <x v="0"/>
    <x v="9"/>
    <x v="41"/>
    <s v="https://pbs.twimg.com/media/E7Esk3aWYA4vnC7.jpg"/>
    <d v="2021-07-24T16:00:43"/>
    <d v="2021-07-24T00:00:00"/>
    <s v="16:00:43"/>
    <s v="https://twitter.com/eku_nova/status/1418964371456368640"/>
    <m/>
    <m/>
    <s v="1418964371456368640"/>
    <m/>
    <b v="0"/>
    <n v="2"/>
    <s v=""/>
    <b v="0"/>
    <s v="en"/>
    <m/>
    <s v=""/>
    <x v="0"/>
    <n v="0"/>
    <s v=""/>
    <s v="Hootsuite Inc."/>
    <b v="0"/>
    <s v="1418964371456368640"/>
    <s v="Tweet"/>
    <n v="0"/>
    <n v="0"/>
    <m/>
    <x v="0"/>
    <x v="0"/>
    <x v="0"/>
    <m/>
    <x v="0"/>
    <m/>
    <m/>
    <n v="6"/>
    <s v="11"/>
    <s v="11"/>
  </r>
  <r>
    <x v="7"/>
    <s v="eku_nova"/>
    <m/>
    <m/>
    <m/>
    <m/>
    <m/>
    <m/>
    <m/>
    <m/>
    <s v="No"/>
    <n v="113"/>
    <m/>
    <m/>
    <x v="0"/>
    <x v="64"/>
    <x v="45"/>
    <x v="0"/>
    <x v="0"/>
    <x v="10"/>
    <x v="42"/>
    <s v="https://pbs.twimg.com/media/E7O__amWUAMQeQ-.jpg"/>
    <d v="2021-07-26T16:01:45"/>
    <d v="2021-07-26T00:00:00"/>
    <s v="16:01:45"/>
    <s v="https://twitter.com/eku_nova/status/1419689406911365129"/>
    <m/>
    <m/>
    <s v="1419689406911365129"/>
    <m/>
    <b v="0"/>
    <n v="0"/>
    <s v=""/>
    <b v="0"/>
    <s v="en"/>
    <m/>
    <s v=""/>
    <x v="0"/>
    <n v="0"/>
    <s v=""/>
    <s v="Hootsuite Inc."/>
    <b v="0"/>
    <s v="1419689406911365129"/>
    <s v="Tweet"/>
    <n v="0"/>
    <n v="0"/>
    <m/>
    <x v="0"/>
    <x v="0"/>
    <x v="0"/>
    <m/>
    <x v="0"/>
    <m/>
    <m/>
    <n v="6"/>
    <s v="11"/>
    <s v="11"/>
  </r>
  <r>
    <x v="7"/>
    <s v="eku_nova"/>
    <m/>
    <m/>
    <m/>
    <m/>
    <m/>
    <m/>
    <m/>
    <m/>
    <s v="No"/>
    <n v="114"/>
    <m/>
    <m/>
    <x v="0"/>
    <x v="65"/>
    <x v="46"/>
    <x v="0"/>
    <x v="0"/>
    <x v="9"/>
    <x v="43"/>
    <s v="https://pbs.twimg.com/media/E7UJofHWEAsy7PW.jpg"/>
    <d v="2021-07-27T16:01:59"/>
    <d v="2021-07-27T00:00:00"/>
    <s v="16:01:59"/>
    <s v="https://twitter.com/eku_nova/status/1420051851089793026"/>
    <m/>
    <m/>
    <s v="1420051851089793026"/>
    <m/>
    <b v="0"/>
    <n v="1"/>
    <s v=""/>
    <b v="0"/>
    <s v="en"/>
    <m/>
    <s v=""/>
    <x v="0"/>
    <n v="0"/>
    <s v=""/>
    <s v="Hootsuite Inc."/>
    <b v="0"/>
    <s v="1420051851089793026"/>
    <s v="Tweet"/>
    <n v="0"/>
    <n v="0"/>
    <m/>
    <x v="0"/>
    <x v="0"/>
    <x v="0"/>
    <m/>
    <x v="0"/>
    <m/>
    <m/>
    <n v="6"/>
    <s v="11"/>
    <s v="11"/>
  </r>
  <r>
    <x v="7"/>
    <s v="eku_nova"/>
    <m/>
    <m/>
    <m/>
    <m/>
    <m/>
    <m/>
    <m/>
    <m/>
    <s v="No"/>
    <n v="115"/>
    <m/>
    <m/>
    <x v="0"/>
    <x v="66"/>
    <x v="47"/>
    <x v="0"/>
    <x v="0"/>
    <x v="9"/>
    <x v="44"/>
    <s v="https://pbs.twimg.com/media/E7ecu-oXIAU5Dle.jpg"/>
    <d v="2021-07-29T16:01:38"/>
    <d v="2021-07-29T00:00:00"/>
    <s v="16:01:38"/>
    <s v="https://twitter.com/eku_nova/status/1420776540653211656"/>
    <m/>
    <m/>
    <s v="1420776540653211656"/>
    <m/>
    <b v="0"/>
    <n v="0"/>
    <s v=""/>
    <b v="0"/>
    <s v="en"/>
    <m/>
    <s v=""/>
    <x v="0"/>
    <n v="0"/>
    <s v=""/>
    <s v="Hootsuite Inc."/>
    <b v="0"/>
    <s v="1420776540653211656"/>
    <s v="Tweet"/>
    <n v="0"/>
    <n v="0"/>
    <m/>
    <x v="0"/>
    <x v="0"/>
    <x v="0"/>
    <m/>
    <x v="0"/>
    <m/>
    <m/>
    <n v="6"/>
    <s v="11"/>
    <s v="11"/>
  </r>
  <r>
    <x v="7"/>
    <s v="eku_nova"/>
    <m/>
    <m/>
    <m/>
    <m/>
    <m/>
    <m/>
    <m/>
    <m/>
    <s v="No"/>
    <n v="116"/>
    <m/>
    <m/>
    <x v="0"/>
    <x v="67"/>
    <x v="48"/>
    <x v="0"/>
    <x v="0"/>
    <x v="11"/>
    <x v="45"/>
    <s v="https://pbs.twimg.com/media/E7jmPVIXMAA1JPV.jpg"/>
    <d v="2021-07-30T16:01:16"/>
    <d v="2021-07-30T00:00:00"/>
    <s v="16:01:16"/>
    <s v="https://twitter.com/eku_nova/status/1421138835803623434"/>
    <m/>
    <m/>
    <s v="1421138835803623434"/>
    <m/>
    <b v="0"/>
    <n v="0"/>
    <s v=""/>
    <b v="0"/>
    <s v="en"/>
    <m/>
    <s v=""/>
    <x v="0"/>
    <n v="0"/>
    <s v=""/>
    <s v="Hootsuite Inc."/>
    <b v="0"/>
    <s v="1421138835803623434"/>
    <s v="Tweet"/>
    <n v="0"/>
    <n v="0"/>
    <m/>
    <x v="0"/>
    <x v="0"/>
    <x v="0"/>
    <m/>
    <x v="0"/>
    <m/>
    <m/>
    <n v="6"/>
    <s v="11"/>
    <s v="11"/>
  </r>
  <r>
    <x v="7"/>
    <s v="eku_nova"/>
    <m/>
    <m/>
    <m/>
    <m/>
    <m/>
    <m/>
    <m/>
    <m/>
    <s v="No"/>
    <n v="117"/>
    <m/>
    <m/>
    <x v="0"/>
    <x v="68"/>
    <x v="49"/>
    <x v="0"/>
    <x v="0"/>
    <x v="11"/>
    <x v="46"/>
    <s v="https://pbs.twimg.com/media/E7ovroxWQAUPcgl.jpg"/>
    <d v="2021-07-31T16:00:37"/>
    <d v="2021-07-31T00:00:00"/>
    <s v="16:00:37"/>
    <s v="https://twitter.com/eku_nova/status/1421501061429436422"/>
    <m/>
    <m/>
    <s v="1421501061429436422"/>
    <m/>
    <b v="0"/>
    <n v="0"/>
    <s v=""/>
    <b v="0"/>
    <s v="en"/>
    <m/>
    <s v=""/>
    <x v="0"/>
    <n v="0"/>
    <s v=""/>
    <s v="Hootsuite Inc."/>
    <b v="0"/>
    <s v="1421501061429436422"/>
    <s v="Tweet"/>
    <n v="0"/>
    <n v="0"/>
    <m/>
    <x v="0"/>
    <x v="0"/>
    <x v="0"/>
    <m/>
    <x v="0"/>
    <m/>
    <m/>
    <n v="6"/>
    <s v="11"/>
    <s v="11"/>
  </r>
  <r>
    <x v="8"/>
    <s v="tsumcnair"/>
    <m/>
    <m/>
    <m/>
    <m/>
    <m/>
    <m/>
    <m/>
    <m/>
    <s v="No"/>
    <n v="124"/>
    <m/>
    <m/>
    <x v="0"/>
    <x v="69"/>
    <x v="50"/>
    <x v="0"/>
    <x v="0"/>
    <x v="12"/>
    <x v="27"/>
    <s v="https://pbs.twimg.com/profile_images/1330520744946757634/GSNsPOCG_normal.jpg"/>
    <d v="2021-07-26T17:13:50"/>
    <d v="2021-07-26T00:00:00"/>
    <s v="17:13:50"/>
    <s v="https://twitter.com/tsumcnair/status/1419707545938190341"/>
    <m/>
    <m/>
    <s v="1419707545938190341"/>
    <s v="1419707544289878027"/>
    <b v="0"/>
    <n v="0"/>
    <s v="1004785055452073985"/>
    <b v="0"/>
    <s v="en"/>
    <m/>
    <s v=""/>
    <x v="0"/>
    <n v="0"/>
    <s v=""/>
    <s v="Twitter Web App"/>
    <b v="0"/>
    <s v="1419707544289878027"/>
    <s v="Tweet"/>
    <n v="0"/>
    <n v="0"/>
    <m/>
    <x v="0"/>
    <x v="0"/>
    <x v="0"/>
    <m/>
    <x v="0"/>
    <m/>
    <m/>
    <n v="5"/>
    <s v="5"/>
    <s v="5"/>
  </r>
  <r>
    <x v="8"/>
    <s v="tsumcnair"/>
    <m/>
    <m/>
    <m/>
    <m/>
    <m/>
    <m/>
    <m/>
    <m/>
    <s v="No"/>
    <n v="125"/>
    <m/>
    <m/>
    <x v="0"/>
    <x v="70"/>
    <x v="51"/>
    <x v="0"/>
    <x v="0"/>
    <x v="13"/>
    <x v="47"/>
    <s v="https://pbs.twimg.com/media/E7UtFX0WQAshlmE.jpg"/>
    <d v="2021-07-27T18:37:29"/>
    <d v="2021-07-27T00:00:00"/>
    <s v="18:37:29"/>
    <s v="https://twitter.com/tsumcnair/status/1420090986517180423"/>
    <m/>
    <m/>
    <s v="1420090986517180423"/>
    <m/>
    <b v="0"/>
    <n v="1"/>
    <s v=""/>
    <b v="0"/>
    <s v="en"/>
    <m/>
    <s v=""/>
    <x v="0"/>
    <n v="0"/>
    <s v=""/>
    <s v="Twitter Web App"/>
    <b v="0"/>
    <s v="1420090986517180423"/>
    <s v="Tweet"/>
    <n v="0"/>
    <n v="0"/>
    <m/>
    <x v="0"/>
    <x v="0"/>
    <x v="0"/>
    <m/>
    <x v="0"/>
    <m/>
    <m/>
    <n v="5"/>
    <s v="5"/>
    <s v="5"/>
  </r>
  <r>
    <x v="8"/>
    <s v="tsumcnair"/>
    <m/>
    <m/>
    <m/>
    <m/>
    <m/>
    <m/>
    <m/>
    <m/>
    <s v="No"/>
    <n v="126"/>
    <m/>
    <m/>
    <x v="0"/>
    <x v="71"/>
    <x v="52"/>
    <x v="0"/>
    <x v="0"/>
    <x v="12"/>
    <x v="48"/>
    <s v="https://pbs.twimg.com/media/E7Z8MeKVoAUkXVj.jpg"/>
    <d v="2021-07-28T19:01:00"/>
    <d v="2021-07-28T00:00:00"/>
    <s v="19:01:00"/>
    <s v="https://twitter.com/tsumcnair/status/1420459292780494849"/>
    <m/>
    <m/>
    <s v="1420459292780494849"/>
    <m/>
    <b v="0"/>
    <n v="3"/>
    <s v=""/>
    <b v="0"/>
    <s v="en"/>
    <m/>
    <s v=""/>
    <x v="0"/>
    <n v="0"/>
    <s v=""/>
    <s v="Twitter Web App"/>
    <b v="0"/>
    <s v="1420459292780494849"/>
    <s v="Tweet"/>
    <n v="0"/>
    <n v="0"/>
    <m/>
    <x v="0"/>
    <x v="0"/>
    <x v="0"/>
    <m/>
    <x v="0"/>
    <m/>
    <m/>
    <n v="5"/>
    <s v="5"/>
    <s v="5"/>
  </r>
  <r>
    <x v="8"/>
    <s v="tsumcnair"/>
    <m/>
    <m/>
    <m/>
    <m/>
    <m/>
    <m/>
    <m/>
    <m/>
    <s v="No"/>
    <n v="127"/>
    <m/>
    <m/>
    <x v="0"/>
    <x v="72"/>
    <x v="53"/>
    <x v="0"/>
    <x v="0"/>
    <x v="14"/>
    <x v="49"/>
    <s v="https://pbs.twimg.com/media/E7f46aUUcAMEQhY.jpg"/>
    <d v="2021-07-29T22:44:43"/>
    <d v="2021-07-29T00:00:00"/>
    <s v="22:44:43"/>
    <s v="https://twitter.com/tsumcnair/status/1420877978662096896"/>
    <m/>
    <m/>
    <s v="1420877978662096896"/>
    <m/>
    <b v="0"/>
    <n v="3"/>
    <s v=""/>
    <b v="0"/>
    <s v="en"/>
    <m/>
    <s v=""/>
    <x v="0"/>
    <n v="0"/>
    <s v=""/>
    <s v="Twitter Web App"/>
    <b v="0"/>
    <s v="1420877978662096896"/>
    <s v="Tweet"/>
    <n v="0"/>
    <n v="0"/>
    <m/>
    <x v="0"/>
    <x v="0"/>
    <x v="0"/>
    <m/>
    <x v="0"/>
    <m/>
    <m/>
    <n v="5"/>
    <s v="5"/>
    <s v="5"/>
  </r>
  <r>
    <x v="8"/>
    <s v="tsumcnair"/>
    <m/>
    <m/>
    <m/>
    <m/>
    <m/>
    <m/>
    <m/>
    <m/>
    <s v="No"/>
    <n v="128"/>
    <m/>
    <m/>
    <x v="0"/>
    <x v="73"/>
    <x v="54"/>
    <x v="0"/>
    <x v="0"/>
    <x v="12"/>
    <x v="50"/>
    <s v="https://pbs.twimg.com/media/E7kWvKLWQAQG51H.jpg"/>
    <d v="2021-07-30T19:33:48"/>
    <d v="2021-07-30T00:00:00"/>
    <s v="19:33:48"/>
    <s v="https://twitter.com/tsumcnair/status/1421192321136271360"/>
    <m/>
    <m/>
    <s v="1421192321136271360"/>
    <m/>
    <b v="0"/>
    <n v="2"/>
    <s v=""/>
    <b v="0"/>
    <s v="en"/>
    <m/>
    <s v=""/>
    <x v="0"/>
    <n v="0"/>
    <s v=""/>
    <s v="Twitter Web App"/>
    <b v="0"/>
    <s v="1421192321136271360"/>
    <s v="Tweet"/>
    <n v="0"/>
    <n v="0"/>
    <m/>
    <x v="0"/>
    <x v="0"/>
    <x v="0"/>
    <m/>
    <x v="0"/>
    <m/>
    <m/>
    <n v="5"/>
    <s v="5"/>
    <s v="5"/>
  </r>
  <r>
    <x v="9"/>
    <s v="jamillimabass"/>
    <m/>
    <m/>
    <m/>
    <m/>
    <m/>
    <m/>
    <m/>
    <m/>
    <s v="No"/>
    <n v="139"/>
    <m/>
    <m/>
    <x v="0"/>
    <x v="74"/>
    <x v="55"/>
    <x v="5"/>
    <x v="4"/>
    <x v="15"/>
    <x v="27"/>
    <s v="https://pbs.twimg.com/profile_images/1190697450228584449/9iO4Mhxr_normal.jpg"/>
    <d v="2021-07-31T20:07:58"/>
    <d v="2021-07-31T00:00:00"/>
    <s v="20:07:58"/>
    <s v="https://twitter.com/jamillimabass/status/1421563309032157185"/>
    <m/>
    <m/>
    <s v="1421563309032157185"/>
    <m/>
    <b v="0"/>
    <n v="0"/>
    <s v=""/>
    <b v="0"/>
    <s v="pt"/>
    <m/>
    <s v=""/>
    <x v="0"/>
    <n v="0"/>
    <s v=""/>
    <s v="Tumblr"/>
    <b v="0"/>
    <s v="1421563309032157185"/>
    <s v="Tweet"/>
    <n v="0"/>
    <n v="0"/>
    <m/>
    <x v="0"/>
    <x v="0"/>
    <x v="0"/>
    <m/>
    <x v="0"/>
    <m/>
    <m/>
    <n v="4"/>
    <s v="16"/>
    <s v="16"/>
  </r>
  <r>
    <x v="9"/>
    <s v="jamillimabass"/>
    <m/>
    <m/>
    <m/>
    <m/>
    <m/>
    <m/>
    <m/>
    <m/>
    <s v="No"/>
    <n v="140"/>
    <m/>
    <m/>
    <x v="0"/>
    <x v="75"/>
    <x v="56"/>
    <x v="6"/>
    <x v="4"/>
    <x v="16"/>
    <x v="27"/>
    <s v="https://pbs.twimg.com/profile_images/1190697450228584449/9iO4Mhxr_normal.jpg"/>
    <d v="2021-07-31T20:09:06"/>
    <d v="2021-07-31T00:00:00"/>
    <s v="20:09:06"/>
    <s v="https://twitter.com/jamillimabass/status/1421563591484915714"/>
    <m/>
    <m/>
    <s v="1421563591484915714"/>
    <m/>
    <b v="0"/>
    <n v="0"/>
    <s v=""/>
    <b v="0"/>
    <s v="it"/>
    <m/>
    <s v=""/>
    <x v="0"/>
    <n v="0"/>
    <s v=""/>
    <s v="Tumblr"/>
    <b v="0"/>
    <s v="1421563591484915714"/>
    <s v="Tweet"/>
    <n v="0"/>
    <n v="0"/>
    <m/>
    <x v="0"/>
    <x v="0"/>
    <x v="0"/>
    <m/>
    <x v="0"/>
    <m/>
    <m/>
    <n v="4"/>
    <s v="16"/>
    <s v="16"/>
  </r>
  <r>
    <x v="9"/>
    <s v="jamillimabass"/>
    <m/>
    <m/>
    <m/>
    <m/>
    <m/>
    <m/>
    <m/>
    <m/>
    <s v="No"/>
    <n v="141"/>
    <m/>
    <m/>
    <x v="0"/>
    <x v="76"/>
    <x v="57"/>
    <x v="7"/>
    <x v="4"/>
    <x v="17"/>
    <x v="27"/>
    <s v="https://pbs.twimg.com/profile_images/1190697450228584449/9iO4Mhxr_normal.jpg"/>
    <d v="2021-07-31T20:09:23"/>
    <d v="2021-07-31T00:00:00"/>
    <s v="20:09:23"/>
    <s v="https://twitter.com/jamillimabass/status/1421563662985318415"/>
    <m/>
    <m/>
    <s v="1421563662985318415"/>
    <m/>
    <b v="0"/>
    <n v="0"/>
    <s v=""/>
    <b v="0"/>
    <s v="pt"/>
    <m/>
    <s v=""/>
    <x v="0"/>
    <n v="0"/>
    <s v=""/>
    <s v="Tumblr"/>
    <b v="0"/>
    <s v="1421563662985318415"/>
    <s v="Tweet"/>
    <n v="0"/>
    <n v="0"/>
    <m/>
    <x v="0"/>
    <x v="0"/>
    <x v="0"/>
    <m/>
    <x v="0"/>
    <m/>
    <m/>
    <n v="4"/>
    <s v="16"/>
    <s v="16"/>
  </r>
  <r>
    <x v="9"/>
    <s v="jamillimabass"/>
    <m/>
    <m/>
    <m/>
    <m/>
    <m/>
    <m/>
    <m/>
    <m/>
    <s v="No"/>
    <n v="142"/>
    <m/>
    <m/>
    <x v="0"/>
    <x v="77"/>
    <x v="58"/>
    <x v="8"/>
    <x v="4"/>
    <x v="18"/>
    <x v="27"/>
    <s v="https://pbs.twimg.com/profile_images/1190697450228584449/9iO4Mhxr_normal.jpg"/>
    <d v="2021-07-31T20:10:00"/>
    <d v="2021-07-31T00:00:00"/>
    <s v="20:10:00"/>
    <s v="https://twitter.com/jamillimabass/status/1421563819009191942"/>
    <m/>
    <m/>
    <s v="1421563819009191942"/>
    <m/>
    <b v="0"/>
    <n v="0"/>
    <s v=""/>
    <b v="0"/>
    <s v="en"/>
    <m/>
    <s v=""/>
    <x v="0"/>
    <n v="0"/>
    <s v=""/>
    <s v="Tumblr"/>
    <b v="0"/>
    <s v="1421563819009191942"/>
    <s v="Tweet"/>
    <n v="0"/>
    <n v="0"/>
    <m/>
    <x v="0"/>
    <x v="0"/>
    <x v="0"/>
    <m/>
    <x v="0"/>
    <m/>
    <m/>
    <n v="4"/>
    <s v="16"/>
    <s v="16"/>
  </r>
  <r>
    <x v="10"/>
    <s v="uwtalentsearch"/>
    <m/>
    <m/>
    <m/>
    <m/>
    <m/>
    <m/>
    <m/>
    <m/>
    <s v="No"/>
    <n v="159"/>
    <m/>
    <m/>
    <x v="0"/>
    <x v="78"/>
    <x v="59"/>
    <x v="0"/>
    <x v="0"/>
    <x v="19"/>
    <x v="51"/>
    <s v="https://pbs.twimg.com/media/E7fFuFWXsAAEEMj.jpg"/>
    <d v="2021-07-29T19:00:43"/>
    <d v="2021-07-29T00:00:00"/>
    <s v="19:00:43"/>
    <s v="https://twitter.com/uwtalentsearch/status/1420821605660377088"/>
    <m/>
    <m/>
    <s v="1420821605660377088"/>
    <m/>
    <b v="0"/>
    <n v="0"/>
    <s v=""/>
    <b v="0"/>
    <s v="eu"/>
    <m/>
    <s v=""/>
    <x v="0"/>
    <n v="0"/>
    <s v=""/>
    <s v="Hootsuite Inc."/>
    <b v="0"/>
    <s v="1420821605660377088"/>
    <s v="Tweet"/>
    <n v="0"/>
    <n v="0"/>
    <m/>
    <x v="0"/>
    <x v="0"/>
    <x v="0"/>
    <m/>
    <x v="0"/>
    <m/>
    <m/>
    <n v="2"/>
    <s v="5"/>
    <s v="5"/>
  </r>
  <r>
    <x v="10"/>
    <s v="uwtalentsearch"/>
    <m/>
    <m/>
    <m/>
    <m/>
    <m/>
    <m/>
    <m/>
    <m/>
    <s v="No"/>
    <n v="160"/>
    <m/>
    <m/>
    <x v="0"/>
    <x v="79"/>
    <x v="60"/>
    <x v="0"/>
    <x v="0"/>
    <x v="20"/>
    <x v="52"/>
    <s v="https://pbs.twimg.com/media/E7kKlIpWQAQtR0W.jpg"/>
    <d v="2021-07-30T18:40:02"/>
    <d v="2021-07-30T00:00:00"/>
    <s v="18:40:02"/>
    <s v="https://twitter.com/uwtalentsearch/status/1421178792236683270"/>
    <m/>
    <m/>
    <s v="1421178792236683270"/>
    <m/>
    <b v="0"/>
    <n v="0"/>
    <s v=""/>
    <b v="0"/>
    <s v="en"/>
    <m/>
    <s v=""/>
    <x v="0"/>
    <n v="0"/>
    <s v=""/>
    <s v="Hootsuite Inc."/>
    <b v="0"/>
    <s v="1421178792236683270"/>
    <s v="Tweet"/>
    <n v="0"/>
    <n v="0"/>
    <m/>
    <x v="0"/>
    <x v="0"/>
    <x v="0"/>
    <m/>
    <x v="0"/>
    <m/>
    <m/>
    <n v="2"/>
    <s v="5"/>
    <s v="5"/>
  </r>
  <r>
    <x v="11"/>
    <s v="seccardona"/>
    <m/>
    <m/>
    <m/>
    <m/>
    <m/>
    <m/>
    <m/>
    <m/>
    <s v="Yes"/>
    <n v="161"/>
    <m/>
    <m/>
    <x v="3"/>
    <x v="80"/>
    <x v="61"/>
    <x v="9"/>
    <x v="5"/>
    <x v="1"/>
    <x v="27"/>
    <s v="https://pbs.twimg.com/profile_images/1311001884824604676/RVdli881_normal.png"/>
    <d v="2021-07-29T21:35:03"/>
    <d v="2021-07-29T00:00:00"/>
    <s v="21:35:03"/>
    <s v="https://twitter.com/coetalk/status/1420860446773481477"/>
    <m/>
    <m/>
    <s v="1420860446773481477"/>
    <m/>
    <b v="0"/>
    <n v="0"/>
    <s v=""/>
    <b v="1"/>
    <s v="en"/>
    <m/>
    <s v="1420826156031414278"/>
    <x v="0"/>
    <n v="1"/>
    <s v="1420828757791805440"/>
    <s v="Twitter for iPhone"/>
    <b v="0"/>
    <s v="1420828757791805440"/>
    <s v="Tweet"/>
    <n v="0"/>
    <n v="0"/>
    <m/>
    <x v="0"/>
    <x v="0"/>
    <x v="0"/>
    <m/>
    <x v="0"/>
    <m/>
    <m/>
    <n v="2"/>
    <s v="1"/>
    <s v="1"/>
  </r>
  <r>
    <x v="11"/>
    <s v="seccardona"/>
    <m/>
    <m/>
    <m/>
    <m/>
    <m/>
    <m/>
    <m/>
    <m/>
    <s v="Yes"/>
    <n v="162"/>
    <m/>
    <m/>
    <x v="4"/>
    <x v="81"/>
    <x v="62"/>
    <x v="0"/>
    <x v="0"/>
    <x v="1"/>
    <x v="53"/>
    <s v="https://pbs.twimg.com/media/E7fhzF6XsAAoddH.jpg"/>
    <d v="2021-07-29T22:18:16"/>
    <d v="2021-07-29T00:00:00"/>
    <s v="22:18:16"/>
    <s v="https://twitter.com/coetalk/status/1420871322654085121"/>
    <m/>
    <m/>
    <s v="1420871322654085121"/>
    <m/>
    <b v="0"/>
    <n v="0"/>
    <s v=""/>
    <b v="0"/>
    <s v="en"/>
    <m/>
    <s v=""/>
    <x v="0"/>
    <n v="14"/>
    <s v="1420871254492565510"/>
    <s v="Twitter for iPhone"/>
    <b v="0"/>
    <s v="1420871254492565510"/>
    <s v="Tweet"/>
    <n v="0"/>
    <n v="0"/>
    <m/>
    <x v="0"/>
    <x v="0"/>
    <x v="0"/>
    <m/>
    <x v="0"/>
    <m/>
    <m/>
    <n v="2"/>
    <s v="1"/>
    <s v="1"/>
  </r>
  <r>
    <x v="11"/>
    <s v="repgwenmoore"/>
    <m/>
    <m/>
    <m/>
    <m/>
    <m/>
    <m/>
    <m/>
    <m/>
    <s v="No"/>
    <n v="163"/>
    <m/>
    <m/>
    <x v="1"/>
    <x v="82"/>
    <x v="63"/>
    <x v="0"/>
    <x v="0"/>
    <x v="1"/>
    <x v="54"/>
    <s v="https://pbs.twimg.com/ext_tw_video_thumb/1420560954690088965/pu/img/mw30pB3lQf5fmFQ8.jpg"/>
    <d v="2021-07-29T01:45:07"/>
    <d v="2021-07-29T00:00:00"/>
    <s v="01:45:07"/>
    <s v="https://twitter.com/coetalk/status/1420560991012655106"/>
    <m/>
    <m/>
    <s v="1420560991012655106"/>
    <m/>
    <b v="0"/>
    <n v="19"/>
    <s v=""/>
    <b v="0"/>
    <s v="en"/>
    <m/>
    <s v=""/>
    <x v="0"/>
    <n v="8"/>
    <s v=""/>
    <s v="Twitter for iPhone"/>
    <b v="0"/>
    <s v="1420560991012655106"/>
    <s v="Tweet"/>
    <n v="0"/>
    <n v="0"/>
    <m/>
    <x v="0"/>
    <x v="0"/>
    <x v="0"/>
    <m/>
    <x v="0"/>
    <m/>
    <m/>
    <n v="2"/>
    <s v="1"/>
    <s v="1"/>
  </r>
  <r>
    <x v="11"/>
    <s v="repgwenmoore"/>
    <m/>
    <m/>
    <m/>
    <m/>
    <m/>
    <m/>
    <m/>
    <m/>
    <s v="No"/>
    <n v="164"/>
    <m/>
    <m/>
    <x v="1"/>
    <x v="83"/>
    <x v="64"/>
    <x v="0"/>
    <x v="0"/>
    <x v="21"/>
    <x v="55"/>
    <s v="https://pbs.twimg.com/media/E7bYsmDXMAUgC38.jpg"/>
    <d v="2021-07-29T01:45:08"/>
    <d v="2021-07-29T00:00:00"/>
    <s v="01:45:08"/>
    <s v="https://twitter.com/coetalk/status/1420560994846351365"/>
    <m/>
    <m/>
    <s v="1420560994846351365"/>
    <s v="1420560991012655106"/>
    <b v="0"/>
    <n v="2"/>
    <s v="105154667"/>
    <b v="0"/>
    <s v="en"/>
    <m/>
    <s v=""/>
    <x v="0"/>
    <n v="0"/>
    <s v=""/>
    <s v="Twitter for iPhone"/>
    <b v="0"/>
    <s v="1420560991012655106"/>
    <s v="Tweet"/>
    <n v="0"/>
    <n v="0"/>
    <m/>
    <x v="0"/>
    <x v="0"/>
    <x v="0"/>
    <m/>
    <x v="0"/>
    <m/>
    <m/>
    <n v="2"/>
    <s v="1"/>
    <s v="1"/>
  </r>
  <r>
    <x v="11"/>
    <s v="repbonamici"/>
    <m/>
    <m/>
    <m/>
    <m/>
    <m/>
    <m/>
    <m/>
    <m/>
    <s v="No"/>
    <n v="165"/>
    <m/>
    <m/>
    <x v="1"/>
    <x v="84"/>
    <x v="65"/>
    <x v="0"/>
    <x v="0"/>
    <x v="1"/>
    <x v="56"/>
    <s v="https://pbs.twimg.com/ext_tw_video_thumb/1421161154945093639/pu/img/tbrT6qcfoLxlpRkV.jpg"/>
    <d v="2021-07-30T17:31:22"/>
    <d v="2021-07-30T00:00:00"/>
    <s v="17:31:22"/>
    <s v="https://twitter.com/coetalk/status/1421161509527474187"/>
    <m/>
    <m/>
    <s v="1421161509527474187"/>
    <m/>
    <b v="0"/>
    <n v="4"/>
    <s v=""/>
    <b v="0"/>
    <s v="en"/>
    <m/>
    <s v=""/>
    <x v="0"/>
    <n v="1"/>
    <s v=""/>
    <s v="Twitter Web App"/>
    <b v="0"/>
    <s v="1421161509527474187"/>
    <s v="Tweet"/>
    <n v="0"/>
    <n v="0"/>
    <m/>
    <x v="0"/>
    <x v="0"/>
    <x v="0"/>
    <m/>
    <x v="0"/>
    <m/>
    <m/>
    <n v="2"/>
    <s v="1"/>
    <s v="1"/>
  </r>
  <r>
    <x v="11"/>
    <s v="repbonamici"/>
    <m/>
    <m/>
    <m/>
    <m/>
    <m/>
    <m/>
    <m/>
    <m/>
    <s v="No"/>
    <n v="166"/>
    <m/>
    <m/>
    <x v="1"/>
    <x v="85"/>
    <x v="66"/>
    <x v="0"/>
    <x v="0"/>
    <x v="22"/>
    <x v="57"/>
    <s v="https://pbs.twimg.com/media/E7j61e5WUAE3ZKk.jpg"/>
    <d v="2021-07-30T17:31:23"/>
    <d v="2021-07-30T00:00:00"/>
    <s v="17:31:23"/>
    <s v="https://twitter.com/coetalk/status/1421161513059028994"/>
    <m/>
    <m/>
    <s v="1421161513059028994"/>
    <s v="1421161509527474187"/>
    <b v="0"/>
    <n v="2"/>
    <s v="105154667"/>
    <b v="0"/>
    <s v="en"/>
    <m/>
    <s v=""/>
    <x v="0"/>
    <n v="0"/>
    <s v=""/>
    <s v="Twitter Web App"/>
    <b v="0"/>
    <s v="1421161509527474187"/>
    <s v="Tweet"/>
    <n v="0"/>
    <n v="0"/>
    <m/>
    <x v="0"/>
    <x v="0"/>
    <x v="0"/>
    <m/>
    <x v="0"/>
    <m/>
    <m/>
    <n v="2"/>
    <s v="1"/>
    <s v="1"/>
  </r>
  <r>
    <x v="12"/>
    <s v="neiu"/>
    <m/>
    <m/>
    <m/>
    <m/>
    <m/>
    <m/>
    <m/>
    <m/>
    <s v="No"/>
    <n v="167"/>
    <m/>
    <m/>
    <x v="3"/>
    <x v="86"/>
    <x v="67"/>
    <x v="0"/>
    <x v="0"/>
    <x v="23"/>
    <x v="58"/>
    <s v="https://pbs.twimg.com/ext_tw_video_thumb/1165283058448252928/pu/img/pTNEY01XgvTHzPju.jpg"/>
    <d v="2021-07-28T00:01:06"/>
    <d v="2021-07-28T00:00:00"/>
    <s v="00:01:06"/>
    <s v="https://twitter.com/aaron_cortes/status/1420172426143469570"/>
    <m/>
    <m/>
    <s v="1420172426143469570"/>
    <m/>
    <b v="0"/>
    <n v="0"/>
    <s v=""/>
    <b v="0"/>
    <s v="en"/>
    <m/>
    <s v=""/>
    <x v="0"/>
    <n v="3"/>
    <s v="1165283208533020672"/>
    <s v="Twitter for iPhone"/>
    <b v="0"/>
    <s v="1165283208533020672"/>
    <s v="Tweet"/>
    <n v="0"/>
    <n v="0"/>
    <m/>
    <x v="0"/>
    <x v="0"/>
    <x v="0"/>
    <m/>
    <x v="0"/>
    <m/>
    <m/>
    <n v="2"/>
    <s v="4"/>
    <s v="4"/>
  </r>
  <r>
    <x v="12"/>
    <s v="neiu"/>
    <m/>
    <m/>
    <m/>
    <m/>
    <m/>
    <m/>
    <m/>
    <m/>
    <s v="No"/>
    <n v="168"/>
    <m/>
    <m/>
    <x v="3"/>
    <x v="87"/>
    <x v="68"/>
    <x v="0"/>
    <x v="0"/>
    <x v="24"/>
    <x v="59"/>
    <s v="https://pbs.twimg.com/media/EQ1_Rq-WsAE6FpH.jpg"/>
    <d v="2021-07-28T00:11:49"/>
    <d v="2021-07-28T00:00:00"/>
    <s v="00:11:49"/>
    <s v="https://twitter.com/aaron_cortes/status/1420175121726255107"/>
    <m/>
    <m/>
    <s v="1420175121726255107"/>
    <m/>
    <b v="0"/>
    <n v="0"/>
    <s v=""/>
    <b v="0"/>
    <s v="en"/>
    <m/>
    <s v=""/>
    <x v="0"/>
    <n v="7"/>
    <s v="1228778234168463360"/>
    <s v="Twitter for iPhone"/>
    <b v="0"/>
    <s v="1228778234168463360"/>
    <s v="Tweet"/>
    <n v="0"/>
    <n v="0"/>
    <m/>
    <x v="0"/>
    <x v="0"/>
    <x v="0"/>
    <m/>
    <x v="0"/>
    <m/>
    <m/>
    <n v="2"/>
    <s v="4"/>
    <s v="4"/>
  </r>
  <r>
    <x v="13"/>
    <s v="mcnairunc"/>
    <m/>
    <m/>
    <m/>
    <m/>
    <m/>
    <m/>
    <m/>
    <m/>
    <s v="Yes"/>
    <n v="171"/>
    <m/>
    <m/>
    <x v="1"/>
    <x v="88"/>
    <x v="69"/>
    <x v="0"/>
    <x v="0"/>
    <x v="1"/>
    <x v="60"/>
    <s v="https://pbs.twimg.com/media/E7VCWcGXMAQx84B.jpg"/>
    <d v="2021-07-27T20:09:47"/>
    <d v="2021-07-27T00:00:00"/>
    <s v="20:09:47"/>
    <s v="https://twitter.com/_maburnett/status/1420114213658402821"/>
    <m/>
    <m/>
    <s v="1420114213658402821"/>
    <m/>
    <b v="0"/>
    <n v="337"/>
    <s v=""/>
    <b v="0"/>
    <s v="en"/>
    <m/>
    <s v=""/>
    <x v="0"/>
    <n v="21"/>
    <s v=""/>
    <s v="Twitter for iPhone"/>
    <b v="0"/>
    <s v="1420114213658402821"/>
    <s v="Tweet"/>
    <n v="0"/>
    <n v="0"/>
    <m/>
    <x v="0"/>
    <x v="0"/>
    <x v="0"/>
    <m/>
    <x v="0"/>
    <m/>
    <m/>
    <n v="2"/>
    <s v="2"/>
    <s v="2"/>
  </r>
  <r>
    <x v="13"/>
    <s v="mcnairunc"/>
    <m/>
    <m/>
    <m/>
    <m/>
    <m/>
    <m/>
    <m/>
    <m/>
    <s v="Yes"/>
    <n v="172"/>
    <m/>
    <m/>
    <x v="4"/>
    <x v="89"/>
    <x v="70"/>
    <x v="10"/>
    <x v="5"/>
    <x v="1"/>
    <x v="27"/>
    <s v="https://pbs.twimg.com/profile_images/1097350935356063744/0kWU7Jqp_normal.jpg"/>
    <d v="2021-07-27T20:56:03"/>
    <d v="2021-07-27T00:00:00"/>
    <s v="20:56:03"/>
    <s v="https://twitter.com/_maburnett/status/1420125856312221701"/>
    <m/>
    <m/>
    <s v="1420125856312221701"/>
    <m/>
    <b v="0"/>
    <n v="0"/>
    <s v=""/>
    <b v="1"/>
    <s v="en"/>
    <m/>
    <s v="1420114213658402821"/>
    <x v="0"/>
    <n v="5"/>
    <s v="1420124103806234635"/>
    <s v="Twitter for iPhone"/>
    <b v="0"/>
    <s v="1420124103806234635"/>
    <s v="Tweet"/>
    <n v="0"/>
    <n v="0"/>
    <m/>
    <x v="0"/>
    <x v="0"/>
    <x v="0"/>
    <m/>
    <x v="0"/>
    <m/>
    <m/>
    <n v="2"/>
    <s v="2"/>
    <s v="2"/>
  </r>
  <r>
    <x v="14"/>
    <s v="mcnairunc"/>
    <m/>
    <m/>
    <m/>
    <m/>
    <m/>
    <m/>
    <m/>
    <m/>
    <s v="No"/>
    <n v="173"/>
    <m/>
    <m/>
    <x v="3"/>
    <x v="90"/>
    <x v="69"/>
    <x v="0"/>
    <x v="0"/>
    <x v="1"/>
    <x v="60"/>
    <s v="https://pbs.twimg.com/media/E7VCWcGXMAQx84B.jpg"/>
    <d v="2021-07-28T12:44:07"/>
    <d v="2021-07-28T00:00:00"/>
    <s v="12:44:07"/>
    <s v="https://twitter.com/uncpsych/status/1420364444257820673"/>
    <m/>
    <m/>
    <s v="1420364444257820673"/>
    <m/>
    <b v="0"/>
    <n v="0"/>
    <s v=""/>
    <b v="0"/>
    <s v="en"/>
    <m/>
    <s v=""/>
    <x v="0"/>
    <n v="21"/>
    <s v="1420114213658402821"/>
    <s v="Twitter Web App"/>
    <b v="0"/>
    <s v="1420114213658402821"/>
    <s v="Tweet"/>
    <n v="0"/>
    <n v="0"/>
    <m/>
    <x v="0"/>
    <x v="0"/>
    <x v="0"/>
    <m/>
    <x v="0"/>
    <m/>
    <m/>
    <n v="2"/>
    <s v="2"/>
    <s v="2"/>
  </r>
  <r>
    <x v="14"/>
    <s v="mcnairunc"/>
    <m/>
    <m/>
    <m/>
    <m/>
    <m/>
    <m/>
    <m/>
    <m/>
    <s v="No"/>
    <n v="174"/>
    <m/>
    <m/>
    <x v="4"/>
    <x v="91"/>
    <x v="70"/>
    <x v="10"/>
    <x v="5"/>
    <x v="1"/>
    <x v="27"/>
    <s v="https://pbs.twimg.com/profile_images/616240390400704513/E83Hn7QQ_normal.png"/>
    <d v="2021-07-28T12:44:36"/>
    <d v="2021-07-28T00:00:00"/>
    <s v="12:44:36"/>
    <s v="https://twitter.com/uncpsych/status/1420364565968130048"/>
    <m/>
    <m/>
    <s v="1420364565968130048"/>
    <m/>
    <b v="0"/>
    <n v="0"/>
    <s v=""/>
    <b v="1"/>
    <s v="en"/>
    <m/>
    <s v="1420114213658402821"/>
    <x v="0"/>
    <n v="5"/>
    <s v="1420124103806234635"/>
    <s v="Twitter Web App"/>
    <b v="0"/>
    <s v="1420124103806234635"/>
    <s v="Tweet"/>
    <n v="0"/>
    <n v="0"/>
    <m/>
    <x v="0"/>
    <x v="0"/>
    <x v="0"/>
    <m/>
    <x v="0"/>
    <m/>
    <m/>
    <n v="2"/>
    <s v="2"/>
    <s v="2"/>
  </r>
  <r>
    <x v="11"/>
    <s v="coetalk"/>
    <m/>
    <m/>
    <m/>
    <m/>
    <m/>
    <m/>
    <m/>
    <m/>
    <s v="No"/>
    <n v="177"/>
    <m/>
    <m/>
    <x v="0"/>
    <x v="92"/>
    <x v="71"/>
    <x v="11"/>
    <x v="6"/>
    <x v="1"/>
    <x v="27"/>
    <s v="https://pbs.twimg.com/profile_images/1311001884824604676/RVdli881_normal.png"/>
    <d v="2021-07-27T16:50:02"/>
    <d v="2021-07-27T00:00:00"/>
    <s v="16:50:02"/>
    <s v="https://twitter.com/coetalk/status/1420063944702513153"/>
    <m/>
    <m/>
    <s v="1420063944702513153"/>
    <m/>
    <b v="0"/>
    <n v="7"/>
    <s v=""/>
    <b v="0"/>
    <s v="en"/>
    <m/>
    <s v=""/>
    <x v="0"/>
    <n v="1"/>
    <s v=""/>
    <s v="Hootsuite Inc."/>
    <b v="0"/>
    <s v="1420063944702513153"/>
    <s v="Tweet"/>
    <n v="0"/>
    <n v="0"/>
    <m/>
    <x v="0"/>
    <x v="0"/>
    <x v="0"/>
    <m/>
    <x v="0"/>
    <m/>
    <m/>
    <n v="2"/>
    <s v="1"/>
    <s v="1"/>
  </r>
  <r>
    <x v="11"/>
    <s v="coetalk"/>
    <m/>
    <m/>
    <m/>
    <m/>
    <m/>
    <m/>
    <m/>
    <m/>
    <s v="No"/>
    <n v="178"/>
    <m/>
    <m/>
    <x v="0"/>
    <x v="93"/>
    <x v="72"/>
    <x v="12"/>
    <x v="7"/>
    <x v="1"/>
    <x v="27"/>
    <s v="https://pbs.twimg.com/profile_images/1311001884824604676/RVdli881_normal.png"/>
    <d v="2021-07-28T13:50:03"/>
    <d v="2021-07-28T00:00:00"/>
    <s v="13:50:03"/>
    <s v="https://twitter.com/coetalk/status/1420381036123496453"/>
    <m/>
    <m/>
    <s v="1420381036123496453"/>
    <m/>
    <b v="0"/>
    <n v="2"/>
    <s v=""/>
    <b v="0"/>
    <s v="en"/>
    <m/>
    <s v=""/>
    <x v="0"/>
    <n v="0"/>
    <s v=""/>
    <s v="Hootsuite Inc."/>
    <b v="0"/>
    <s v="1420381036123496453"/>
    <s v="Tweet"/>
    <n v="0"/>
    <n v="0"/>
    <m/>
    <x v="0"/>
    <x v="0"/>
    <x v="0"/>
    <m/>
    <x v="0"/>
    <m/>
    <m/>
    <n v="2"/>
    <s v="1"/>
    <s v="1"/>
  </r>
  <r>
    <x v="6"/>
    <s v="coetalk"/>
    <m/>
    <m/>
    <m/>
    <m/>
    <m/>
    <m/>
    <m/>
    <m/>
    <s v="Yes"/>
    <n v="181"/>
    <m/>
    <m/>
    <x v="3"/>
    <x v="94"/>
    <x v="62"/>
    <x v="0"/>
    <x v="0"/>
    <x v="1"/>
    <x v="53"/>
    <s v="https://pbs.twimg.com/media/E7fhzF6XsAAoddH.jpg"/>
    <d v="2021-07-30T13:43:17"/>
    <d v="2021-07-30T00:00:00"/>
    <s v="13:43:17"/>
    <s v="https://twitter.com/mycencalwestop/status/1421104111060013059"/>
    <m/>
    <m/>
    <s v="1421104111060013059"/>
    <m/>
    <b v="0"/>
    <n v="0"/>
    <s v=""/>
    <b v="0"/>
    <s v="en"/>
    <m/>
    <s v=""/>
    <x v="0"/>
    <n v="14"/>
    <s v="1420871254492565510"/>
    <s v="Twitter for iPad"/>
    <b v="0"/>
    <s v="1420871254492565510"/>
    <s v="Tweet"/>
    <n v="0"/>
    <n v="0"/>
    <m/>
    <x v="0"/>
    <x v="0"/>
    <x v="0"/>
    <m/>
    <x v="0"/>
    <m/>
    <m/>
    <n v="2"/>
    <s v="1"/>
    <s v="1"/>
  </r>
  <r>
    <x v="6"/>
    <s v="coetalk"/>
    <m/>
    <m/>
    <m/>
    <m/>
    <m/>
    <m/>
    <m/>
    <m/>
    <s v="Yes"/>
    <n v="182"/>
    <m/>
    <m/>
    <x v="1"/>
    <x v="95"/>
    <x v="73"/>
    <x v="13"/>
    <x v="8"/>
    <x v="25"/>
    <x v="27"/>
    <s v="https://pbs.twimg.com/profile_images/1323297412480262144/loo-7mMs_normal.jpg"/>
    <d v="2021-07-30T19:30:00"/>
    <d v="2021-07-30T00:00:00"/>
    <s v="19:30:00"/>
    <s v="https://twitter.com/mycencalwestop/status/1421191363983446016"/>
    <m/>
    <m/>
    <s v="1421191363983446016"/>
    <m/>
    <b v="0"/>
    <n v="0"/>
    <s v=""/>
    <b v="0"/>
    <s v="en"/>
    <m/>
    <s v=""/>
    <x v="0"/>
    <n v="0"/>
    <s v=""/>
    <s v="TweetDeck"/>
    <b v="0"/>
    <s v="1421191363983446016"/>
    <s v="Tweet"/>
    <n v="0"/>
    <n v="0"/>
    <m/>
    <x v="0"/>
    <x v="0"/>
    <x v="0"/>
    <m/>
    <x v="0"/>
    <m/>
    <m/>
    <n v="2"/>
    <s v="1"/>
    <s v="1"/>
  </r>
  <r>
    <x v="6"/>
    <s v="uscongress"/>
    <m/>
    <m/>
    <m/>
    <m/>
    <m/>
    <m/>
    <m/>
    <m/>
    <s v="No"/>
    <n v="204"/>
    <m/>
    <m/>
    <x v="1"/>
    <x v="96"/>
    <x v="74"/>
    <x v="14"/>
    <x v="5"/>
    <x v="1"/>
    <x v="27"/>
    <s v="https://pbs.twimg.com/profile_images/1323297412480262144/loo-7mMs_normal.jpg"/>
    <d v="2021-07-30T17:36:20"/>
    <d v="2021-07-30T00:00:00"/>
    <s v="17:36:20"/>
    <s v="https://twitter.com/mycencalwestop/status/1421162760293867525"/>
    <m/>
    <m/>
    <s v="1421162760293867525"/>
    <m/>
    <b v="0"/>
    <n v="3"/>
    <s v=""/>
    <b v="1"/>
    <s v="en"/>
    <m/>
    <s v="1421161509527474187"/>
    <x v="0"/>
    <n v="1"/>
    <s v=""/>
    <s v="Twitter for iPad"/>
    <b v="0"/>
    <s v="1421162760293867525"/>
    <s v="Tweet"/>
    <n v="0"/>
    <n v="0"/>
    <m/>
    <x v="0"/>
    <x v="0"/>
    <x v="0"/>
    <m/>
    <x v="0"/>
    <m/>
    <m/>
    <n v="1"/>
    <s v="1"/>
    <s v="1"/>
  </r>
  <r>
    <x v="11"/>
    <s v="uscongress"/>
    <m/>
    <m/>
    <m/>
    <m/>
    <m/>
    <m/>
    <m/>
    <m/>
    <s v="No"/>
    <n v="205"/>
    <m/>
    <m/>
    <x v="3"/>
    <x v="97"/>
    <x v="74"/>
    <x v="14"/>
    <x v="5"/>
    <x v="1"/>
    <x v="27"/>
    <s v="https://pbs.twimg.com/profile_images/1311001884824604676/RVdli881_normal.png"/>
    <d v="2021-07-30T17:54:37"/>
    <d v="2021-07-30T00:00:00"/>
    <s v="17:54:37"/>
    <s v="https://twitter.com/coetalk/status/1421167361252528137"/>
    <m/>
    <m/>
    <s v="1421167361252528137"/>
    <m/>
    <b v="0"/>
    <n v="0"/>
    <s v=""/>
    <b v="1"/>
    <s v="en"/>
    <m/>
    <s v="1421161509527474187"/>
    <x v="0"/>
    <n v="1"/>
    <s v="1421162760293867525"/>
    <s v="Twitter for iPhone"/>
    <b v="0"/>
    <s v="1421162760293867525"/>
    <s v="Tweet"/>
    <n v="0"/>
    <n v="0"/>
    <m/>
    <x v="0"/>
    <x v="0"/>
    <x v="0"/>
    <m/>
    <x v="0"/>
    <m/>
    <m/>
    <n v="1"/>
    <s v="1"/>
    <s v="1"/>
  </r>
  <r>
    <x v="15"/>
    <s v="txwesub"/>
    <m/>
    <m/>
    <m/>
    <m/>
    <m/>
    <m/>
    <m/>
    <m/>
    <s v="No"/>
    <n v="206"/>
    <m/>
    <m/>
    <x v="0"/>
    <x v="98"/>
    <x v="75"/>
    <x v="0"/>
    <x v="0"/>
    <x v="26"/>
    <x v="61"/>
    <s v="https://pbs.twimg.com/media/E7VCrqgXsAMPfkw.jpg"/>
    <d v="2021-07-27T20:11:20"/>
    <d v="2021-07-27T00:00:00"/>
    <s v="20:11:20"/>
    <s v="https://twitter.com/txwesub/status/1420114601472139264"/>
    <m/>
    <m/>
    <s v="1420114601472139264"/>
    <m/>
    <b v="0"/>
    <n v="0"/>
    <s v=""/>
    <b v="0"/>
    <s v="en"/>
    <m/>
    <s v=""/>
    <x v="0"/>
    <n v="0"/>
    <s v=""/>
    <s v="Twitter Web App"/>
    <b v="0"/>
    <s v="1420114601472139264"/>
    <s v="Tweet"/>
    <n v="0"/>
    <n v="0"/>
    <m/>
    <x v="0"/>
    <x v="0"/>
    <x v="0"/>
    <m/>
    <x v="0"/>
    <m/>
    <m/>
    <n v="1"/>
    <s v="5"/>
    <s v="5"/>
  </r>
  <r>
    <x v="16"/>
    <s v="txtreeventures"/>
    <m/>
    <m/>
    <m/>
    <m/>
    <m/>
    <m/>
    <m/>
    <m/>
    <s v="No"/>
    <n v="207"/>
    <m/>
    <m/>
    <x v="1"/>
    <x v="99"/>
    <x v="76"/>
    <x v="0"/>
    <x v="0"/>
    <x v="27"/>
    <x v="62"/>
    <s v="https://pbs.twimg.com/media/E7YwUeiXEAY8jJj.jpg"/>
    <d v="2021-07-28T13:29:32"/>
    <d v="2021-07-28T00:00:00"/>
    <s v="13:29:32"/>
    <s v="https://twitter.com/ub_trio_sjc/status/1420375875250442245"/>
    <m/>
    <m/>
    <s v="1420375875250442245"/>
    <m/>
    <b v="0"/>
    <n v="0"/>
    <s v=""/>
    <b v="0"/>
    <s v="en"/>
    <m/>
    <s v=""/>
    <x v="0"/>
    <n v="0"/>
    <s v=""/>
    <s v="Twitter for Android"/>
    <b v="0"/>
    <s v="1420375875250442245"/>
    <s v="Tweet"/>
    <n v="0"/>
    <n v="0"/>
    <m/>
    <x v="0"/>
    <x v="0"/>
    <x v="0"/>
    <m/>
    <x v="0"/>
    <m/>
    <m/>
    <n v="1"/>
    <s v="10"/>
    <s v="10"/>
  </r>
  <r>
    <x v="17"/>
    <s v="tseoc_psu"/>
    <m/>
    <m/>
    <m/>
    <m/>
    <m/>
    <m/>
    <m/>
    <m/>
    <s v="No"/>
    <n v="208"/>
    <m/>
    <m/>
    <x v="0"/>
    <x v="100"/>
    <x v="77"/>
    <x v="0"/>
    <x v="0"/>
    <x v="1"/>
    <x v="63"/>
    <s v="https://pbs.twimg.com/media/E7PbHPkX0AMYcaV.jpg"/>
    <d v="2021-07-26T18:00:15"/>
    <d v="2021-07-26T00:00:00"/>
    <s v="18:00:15"/>
    <s v="https://twitter.com/tseoc_psu/status/1419719227439816705"/>
    <m/>
    <m/>
    <s v="1419719227439816705"/>
    <m/>
    <b v="0"/>
    <n v="0"/>
    <s v=""/>
    <b v="0"/>
    <s v="en"/>
    <m/>
    <s v=""/>
    <x v="0"/>
    <n v="0"/>
    <s v=""/>
    <s v="Hootsuite Inc."/>
    <b v="0"/>
    <s v="1419719227439816705"/>
    <s v="Tweet"/>
    <n v="0"/>
    <n v="0"/>
    <m/>
    <x v="0"/>
    <x v="0"/>
    <x v="0"/>
    <m/>
    <x v="0"/>
    <m/>
    <m/>
    <n v="1"/>
    <s v="5"/>
    <s v="5"/>
  </r>
  <r>
    <x v="18"/>
    <s v="triosssmur"/>
    <m/>
    <m/>
    <m/>
    <m/>
    <m/>
    <m/>
    <m/>
    <m/>
    <s v="No"/>
    <n v="210"/>
    <m/>
    <m/>
    <x v="0"/>
    <x v="101"/>
    <x v="78"/>
    <x v="0"/>
    <x v="0"/>
    <x v="28"/>
    <x v="64"/>
    <s v="https://pbs.twimg.com/media/E7P7VAlXMAQHTSU.jpg"/>
    <d v="2021-07-26T20:21:00"/>
    <d v="2021-07-26T00:00:00"/>
    <s v="20:21:00"/>
    <s v="https://twitter.com/triosssmur/status/1419754647707865092"/>
    <m/>
    <m/>
    <s v="1419754647707865092"/>
    <m/>
    <b v="0"/>
    <n v="1"/>
    <s v=""/>
    <b v="0"/>
    <s v="en"/>
    <m/>
    <s v=""/>
    <x v="0"/>
    <n v="1"/>
    <s v=""/>
    <s v="Canva"/>
    <b v="0"/>
    <s v="1419754647707865092"/>
    <s v="Tweet"/>
    <n v="0"/>
    <n v="0"/>
    <m/>
    <x v="0"/>
    <x v="0"/>
    <x v="0"/>
    <m/>
    <x v="0"/>
    <m/>
    <m/>
    <n v="1"/>
    <s v="17"/>
    <s v="17"/>
  </r>
  <r>
    <x v="19"/>
    <s v="triosssmur"/>
    <m/>
    <m/>
    <m/>
    <m/>
    <m/>
    <m/>
    <m/>
    <m/>
    <s v="No"/>
    <n v="211"/>
    <m/>
    <m/>
    <x v="4"/>
    <x v="102"/>
    <x v="78"/>
    <x v="0"/>
    <x v="0"/>
    <x v="28"/>
    <x v="64"/>
    <s v="https://pbs.twimg.com/media/E7P7VAlXMAQHTSU.jpg"/>
    <d v="2021-07-27T14:20:59"/>
    <d v="2021-07-27T00:00:00"/>
    <s v="14:20:59"/>
    <s v="https://twitter.com/muhlibrary/status/1420026436602245131"/>
    <m/>
    <m/>
    <s v="1420026436602245131"/>
    <m/>
    <b v="0"/>
    <n v="0"/>
    <s v=""/>
    <b v="0"/>
    <s v="en"/>
    <m/>
    <s v=""/>
    <x v="0"/>
    <n v="1"/>
    <s v="1419754647707865092"/>
    <s v="Twitter for iPad"/>
    <b v="0"/>
    <s v="1419754647707865092"/>
    <s v="Tweet"/>
    <n v="0"/>
    <n v="0"/>
    <m/>
    <x v="0"/>
    <x v="0"/>
    <x v="0"/>
    <m/>
    <x v="0"/>
    <m/>
    <m/>
    <n v="1"/>
    <s v="17"/>
    <s v="17"/>
  </r>
  <r>
    <x v="20"/>
    <s v="trioperks"/>
    <m/>
    <m/>
    <m/>
    <m/>
    <m/>
    <m/>
    <m/>
    <m/>
    <s v="No"/>
    <n v="212"/>
    <m/>
    <m/>
    <x v="0"/>
    <x v="103"/>
    <x v="79"/>
    <x v="15"/>
    <x v="5"/>
    <x v="29"/>
    <x v="27"/>
    <s v="https://pbs.twimg.com/profile_images/1286419127394086912/BI7i855s_normal.jpg"/>
    <d v="2021-07-27T02:19:02"/>
    <d v="2021-07-27T00:00:00"/>
    <s v="02:19:02"/>
    <s v="https://twitter.com/trioperks/status/1419844751839399936"/>
    <m/>
    <m/>
    <s v="1419844751839399936"/>
    <m/>
    <b v="0"/>
    <n v="2"/>
    <s v=""/>
    <b v="1"/>
    <s v="und"/>
    <m/>
    <s v="1419761172425973767"/>
    <x v="0"/>
    <n v="0"/>
    <s v=""/>
    <s v="Twitter for Android"/>
    <b v="0"/>
    <s v="1419844751839399936"/>
    <s v="Tweet"/>
    <n v="0"/>
    <n v="0"/>
    <m/>
    <x v="0"/>
    <x v="0"/>
    <x v="0"/>
    <m/>
    <x v="0"/>
    <m/>
    <m/>
    <n v="1"/>
    <s v="5"/>
    <s v="5"/>
  </r>
  <r>
    <x v="21"/>
    <s v="trillornottrill"/>
    <m/>
    <m/>
    <m/>
    <m/>
    <m/>
    <m/>
    <m/>
    <m/>
    <s v="No"/>
    <n v="213"/>
    <m/>
    <m/>
    <x v="1"/>
    <x v="104"/>
    <x v="80"/>
    <x v="16"/>
    <x v="1"/>
    <x v="30"/>
    <x v="27"/>
    <s v="https://pbs.twimg.com/profile_images/1409551882087960582/EN_K-fIZ_normal.jpg"/>
    <d v="2021-07-27T16:16:23"/>
    <d v="2021-07-27T00:00:00"/>
    <s v="16:16:23"/>
    <s v="https://twitter.com/aeeetrio/status/1420055476759408653"/>
    <m/>
    <m/>
    <s v="1420055476759408653"/>
    <m/>
    <b v="0"/>
    <n v="0"/>
    <s v=""/>
    <b v="0"/>
    <s v="en"/>
    <m/>
    <s v=""/>
    <x v="0"/>
    <n v="0"/>
    <s v=""/>
    <s v="Twitter Web App"/>
    <b v="0"/>
    <s v="1420055476759408653"/>
    <s v="Tweet"/>
    <n v="0"/>
    <n v="0"/>
    <m/>
    <x v="0"/>
    <x v="0"/>
    <x v="0"/>
    <m/>
    <x v="0"/>
    <m/>
    <m/>
    <n v="1"/>
    <s v="8"/>
    <s v="8"/>
  </r>
  <r>
    <x v="22"/>
    <s v="therealeligio"/>
    <m/>
    <m/>
    <m/>
    <m/>
    <m/>
    <m/>
    <m/>
    <m/>
    <s v="No"/>
    <n v="214"/>
    <m/>
    <m/>
    <x v="1"/>
    <x v="105"/>
    <x v="81"/>
    <x v="0"/>
    <x v="0"/>
    <x v="31"/>
    <x v="65"/>
    <s v="https://pbs.twimg.com/media/E7QvmeIVIAA-Iqk.jpg"/>
    <d v="2021-07-27T00:09:23"/>
    <d v="2021-07-27T00:00:00"/>
    <s v="00:09:23"/>
    <s v="https://twitter.com/strwisescholar/status/1419812122494595075"/>
    <m/>
    <m/>
    <s v="1419812122494595075"/>
    <m/>
    <b v="0"/>
    <n v="67"/>
    <s v=""/>
    <b v="0"/>
    <s v="en"/>
    <m/>
    <s v=""/>
    <x v="0"/>
    <n v="2"/>
    <s v=""/>
    <s v="Twitter for Android"/>
    <b v="0"/>
    <s v="1419812122494595075"/>
    <s v="Tweet"/>
    <n v="0"/>
    <n v="0"/>
    <m/>
    <x v="0"/>
    <x v="0"/>
    <x v="0"/>
    <m/>
    <x v="0"/>
    <m/>
    <m/>
    <n v="1"/>
    <s v="9"/>
    <s v="9"/>
  </r>
  <r>
    <x v="23"/>
    <s v="therealeligio"/>
    <m/>
    <m/>
    <m/>
    <m/>
    <m/>
    <m/>
    <m/>
    <m/>
    <s v="No"/>
    <n v="215"/>
    <m/>
    <m/>
    <x v="3"/>
    <x v="106"/>
    <x v="81"/>
    <x v="0"/>
    <x v="0"/>
    <x v="31"/>
    <x v="65"/>
    <s v="https://pbs.twimg.com/media/E7QvmeIVIAA-Iqk.jpg"/>
    <d v="2021-07-27T02:01:05"/>
    <d v="2021-07-27T00:00:00"/>
    <s v="02:01:05"/>
    <s v="https://twitter.com/grodriguezlemus/status/1419840231428083712"/>
    <m/>
    <m/>
    <s v="1419840231428083712"/>
    <m/>
    <b v="0"/>
    <n v="0"/>
    <s v=""/>
    <b v="0"/>
    <s v="en"/>
    <m/>
    <s v=""/>
    <x v="0"/>
    <n v="2"/>
    <s v="1419812122494595075"/>
    <s v="Twitter for iPhone"/>
    <b v="0"/>
    <s v="1419812122494595075"/>
    <s v="Tweet"/>
    <n v="0"/>
    <n v="0"/>
    <m/>
    <x v="0"/>
    <x v="0"/>
    <x v="0"/>
    <m/>
    <x v="0"/>
    <m/>
    <m/>
    <n v="1"/>
    <s v="9"/>
    <s v="9"/>
  </r>
  <r>
    <x v="24"/>
    <s v="therealeligio"/>
    <m/>
    <m/>
    <m/>
    <m/>
    <m/>
    <m/>
    <m/>
    <m/>
    <s v="No"/>
    <n v="216"/>
    <m/>
    <m/>
    <x v="3"/>
    <x v="107"/>
    <x v="81"/>
    <x v="0"/>
    <x v="0"/>
    <x v="31"/>
    <x v="65"/>
    <s v="https://pbs.twimg.com/media/E7QvmeIVIAA-Iqk.jpg"/>
    <d v="2021-07-27T04:37:03"/>
    <d v="2021-07-27T00:00:00"/>
    <s v="04:37:03"/>
    <s v="https://twitter.com/adriela95/status/1419879481385177090"/>
    <m/>
    <m/>
    <s v="1419879481385177090"/>
    <m/>
    <b v="0"/>
    <n v="0"/>
    <s v=""/>
    <b v="0"/>
    <s v="en"/>
    <m/>
    <s v=""/>
    <x v="0"/>
    <n v="2"/>
    <s v="1419812122494595075"/>
    <s v="Twitter for iPhone"/>
    <b v="0"/>
    <s v="1419812122494595075"/>
    <s v="Tweet"/>
    <n v="0"/>
    <n v="0"/>
    <m/>
    <x v="0"/>
    <x v="0"/>
    <x v="0"/>
    <m/>
    <x v="0"/>
    <m/>
    <m/>
    <n v="1"/>
    <s v="9"/>
    <s v="9"/>
  </r>
  <r>
    <x v="25"/>
    <s v="success_prints"/>
    <m/>
    <m/>
    <m/>
    <m/>
    <m/>
    <m/>
    <m/>
    <m/>
    <s v="No"/>
    <n v="217"/>
    <m/>
    <m/>
    <x v="0"/>
    <x v="108"/>
    <x v="82"/>
    <x v="17"/>
    <x v="9"/>
    <x v="32"/>
    <x v="66"/>
    <s v="https://pbs.twimg.com/media/E7jioWZVoAgYW8D.jpg"/>
    <d v="2021-07-30T15:45:30"/>
    <d v="2021-07-30T00:00:00"/>
    <s v="15:45:30"/>
    <s v="https://twitter.com/success_prints/status/1421134868637884422"/>
    <m/>
    <m/>
    <s v="1421134868637884422"/>
    <m/>
    <b v="0"/>
    <n v="2"/>
    <s v=""/>
    <b v="0"/>
    <s v="en"/>
    <m/>
    <s v=""/>
    <x v="0"/>
    <n v="0"/>
    <s v=""/>
    <s v="Twitter for iPhone"/>
    <b v="0"/>
    <s v="1421134868637884422"/>
    <s v="Tweet"/>
    <n v="0"/>
    <n v="0"/>
    <m/>
    <x v="0"/>
    <x v="0"/>
    <x v="0"/>
    <m/>
    <x v="0"/>
    <m/>
    <m/>
    <n v="1"/>
    <s v="15"/>
    <s v="15"/>
  </r>
  <r>
    <x v="26"/>
    <s v="sentomcotton"/>
    <m/>
    <m/>
    <m/>
    <m/>
    <m/>
    <m/>
    <m/>
    <m/>
    <s v="No"/>
    <n v="220"/>
    <m/>
    <m/>
    <x v="3"/>
    <x v="109"/>
    <x v="83"/>
    <x v="0"/>
    <x v="0"/>
    <x v="33"/>
    <x v="67"/>
    <s v="https://pbs.twimg.com/media/E4HAellVcAI99lO.jpg"/>
    <d v="2021-07-27T15:39:47"/>
    <d v="2021-07-27T00:00:00"/>
    <s v="15:39:47"/>
    <s v="https://twitter.com/swasaptrio/status/1420046266835275781"/>
    <m/>
    <m/>
    <s v="1420046266835275781"/>
    <m/>
    <b v="0"/>
    <n v="0"/>
    <s v=""/>
    <b v="0"/>
    <s v="en"/>
    <m/>
    <s v=""/>
    <x v="0"/>
    <n v="2"/>
    <s v="1405616192455282688"/>
    <s v="Twitter Web App"/>
    <b v="0"/>
    <s v="1405616192455282688"/>
    <s v="Tweet"/>
    <n v="0"/>
    <n v="0"/>
    <m/>
    <x v="0"/>
    <x v="0"/>
    <x v="0"/>
    <m/>
    <x v="0"/>
    <m/>
    <m/>
    <n v="1"/>
    <s v="6"/>
    <s v="6"/>
  </r>
  <r>
    <x v="21"/>
    <s v="senbooker"/>
    <m/>
    <m/>
    <m/>
    <m/>
    <m/>
    <m/>
    <m/>
    <m/>
    <s v="No"/>
    <n v="221"/>
    <m/>
    <m/>
    <x v="1"/>
    <x v="110"/>
    <x v="84"/>
    <x v="0"/>
    <x v="0"/>
    <x v="34"/>
    <x v="27"/>
    <s v="https://pbs.twimg.com/profile_images/1409551882087960582/EN_K-fIZ_normal.jpg"/>
    <d v="2021-07-27T17:45:50"/>
    <d v="2021-07-27T00:00:00"/>
    <s v="17:45:50"/>
    <s v="https://twitter.com/aeeetrio/status/1420077987823865861"/>
    <m/>
    <m/>
    <s v="1420077987823865861"/>
    <m/>
    <b v="0"/>
    <n v="2"/>
    <s v=""/>
    <b v="0"/>
    <s v="en"/>
    <m/>
    <s v=""/>
    <x v="0"/>
    <n v="1"/>
    <s v=""/>
    <s v="Twitter Web App"/>
    <b v="0"/>
    <s v="1420077987823865861"/>
    <s v="Tweet"/>
    <n v="0"/>
    <n v="0"/>
    <m/>
    <x v="0"/>
    <x v="0"/>
    <x v="0"/>
    <m/>
    <x v="0"/>
    <m/>
    <m/>
    <n v="1"/>
    <s v="8"/>
    <s v="8"/>
  </r>
  <r>
    <x v="27"/>
    <s v="senbooker"/>
    <m/>
    <m/>
    <m/>
    <m/>
    <m/>
    <m/>
    <m/>
    <m/>
    <s v="No"/>
    <n v="222"/>
    <m/>
    <m/>
    <x v="3"/>
    <x v="111"/>
    <x v="84"/>
    <x v="0"/>
    <x v="0"/>
    <x v="34"/>
    <x v="27"/>
    <s v="https://pbs.twimg.com/profile_images/1394673346823000065/USX0VQdW_normal.jpg"/>
    <d v="2021-07-29T23:07:18"/>
    <d v="2021-07-29T00:00:00"/>
    <s v="23:07:18"/>
    <s v="https://twitter.com/jackashawiley/status/1420883663588319241"/>
    <m/>
    <m/>
    <s v="1420883663588319241"/>
    <m/>
    <b v="0"/>
    <n v="0"/>
    <s v=""/>
    <b v="0"/>
    <s v="en"/>
    <m/>
    <s v=""/>
    <x v="0"/>
    <n v="1"/>
    <s v="1420077987823865861"/>
    <s v="Twitter Web App"/>
    <b v="0"/>
    <s v="1420077987823865861"/>
    <s v="Tweet"/>
    <n v="0"/>
    <n v="0"/>
    <m/>
    <x v="0"/>
    <x v="0"/>
    <x v="0"/>
    <m/>
    <x v="0"/>
    <m/>
    <m/>
    <n v="1"/>
    <s v="8"/>
    <s v="8"/>
  </r>
  <r>
    <x v="28"/>
    <s v="seccardona"/>
    <m/>
    <m/>
    <m/>
    <m/>
    <m/>
    <m/>
    <m/>
    <m/>
    <s v="No"/>
    <n v="225"/>
    <m/>
    <m/>
    <x v="1"/>
    <x v="112"/>
    <x v="85"/>
    <x v="0"/>
    <x v="0"/>
    <x v="35"/>
    <x v="68"/>
    <s v="https://pbs.twimg.com/media/E7VBXq_XMAAMbtc.jpg"/>
    <d v="2021-07-27T20:09:39"/>
    <d v="2021-07-27T00:00:00"/>
    <s v="20:09:39"/>
    <s v="https://twitter.com/sssivytechfw/status/1420114179822862342"/>
    <m/>
    <m/>
    <s v="1420114179822862342"/>
    <m/>
    <b v="0"/>
    <n v="1"/>
    <s v=""/>
    <b v="0"/>
    <s v="en"/>
    <m/>
    <s v=""/>
    <x v="0"/>
    <n v="0"/>
    <s v=""/>
    <s v="Twitter Web App"/>
    <b v="0"/>
    <s v="1420114179822862342"/>
    <s v="Tweet"/>
    <n v="0"/>
    <n v="0"/>
    <m/>
    <x v="0"/>
    <x v="0"/>
    <x v="0"/>
    <m/>
    <x v="0"/>
    <m/>
    <m/>
    <n v="1"/>
    <s v="1"/>
    <s v="1"/>
  </r>
  <r>
    <x v="29"/>
    <s v="seccardona"/>
    <m/>
    <m/>
    <m/>
    <m/>
    <m/>
    <m/>
    <m/>
    <m/>
    <s v="No"/>
    <n v="226"/>
    <m/>
    <m/>
    <x v="1"/>
    <x v="113"/>
    <x v="61"/>
    <x v="9"/>
    <x v="5"/>
    <x v="1"/>
    <x v="27"/>
    <s v="https://pbs.twimg.com/profile_images/519942229318594561/V929JwX6_normal.jpeg"/>
    <d v="2021-07-29T19:29:08"/>
    <d v="2021-07-29T00:00:00"/>
    <s v="19:29:08"/>
    <s v="https://twitter.com/indianatrio/status/1420828757791805440"/>
    <m/>
    <m/>
    <s v="1420828757791805440"/>
    <m/>
    <b v="0"/>
    <n v="0"/>
    <s v=""/>
    <b v="1"/>
    <s v="en"/>
    <m/>
    <s v="1420826156031414278"/>
    <x v="0"/>
    <n v="1"/>
    <s v=""/>
    <s v="Twitter Web App"/>
    <b v="0"/>
    <s v="1420828757791805440"/>
    <s v="Tweet"/>
    <n v="0"/>
    <n v="0"/>
    <m/>
    <x v="0"/>
    <x v="0"/>
    <x v="0"/>
    <m/>
    <x v="0"/>
    <m/>
    <m/>
    <n v="1"/>
    <s v="1"/>
    <s v="1"/>
  </r>
  <r>
    <x v="30"/>
    <s v="seccardona"/>
    <m/>
    <m/>
    <m/>
    <m/>
    <m/>
    <m/>
    <m/>
    <m/>
    <s v="No"/>
    <n v="227"/>
    <m/>
    <m/>
    <x v="4"/>
    <x v="114"/>
    <x v="62"/>
    <x v="0"/>
    <x v="0"/>
    <x v="1"/>
    <x v="53"/>
    <s v="https://pbs.twimg.com/media/E7fhzF6XsAAoddH.jpg"/>
    <d v="2021-07-29T22:18:09"/>
    <d v="2021-07-29T00:00:00"/>
    <s v="22:18:09"/>
    <s v="https://twitter.com/barneskhalid321/status/1420871295147913224"/>
    <m/>
    <m/>
    <s v="1420871295147913224"/>
    <m/>
    <b v="0"/>
    <n v="0"/>
    <s v=""/>
    <b v="0"/>
    <s v="en"/>
    <m/>
    <s v=""/>
    <x v="0"/>
    <n v="14"/>
    <s v="1420871254492565510"/>
    <s v="Twitter for Android"/>
    <b v="0"/>
    <s v="1420871254492565510"/>
    <s v="Tweet"/>
    <n v="0"/>
    <n v="0"/>
    <m/>
    <x v="0"/>
    <x v="0"/>
    <x v="0"/>
    <m/>
    <x v="0"/>
    <m/>
    <m/>
    <n v="1"/>
    <s v="1"/>
    <s v="1"/>
  </r>
  <r>
    <x v="31"/>
    <s v="seccardona"/>
    <m/>
    <m/>
    <m/>
    <m/>
    <m/>
    <m/>
    <m/>
    <m/>
    <s v="No"/>
    <n v="228"/>
    <m/>
    <m/>
    <x v="4"/>
    <x v="115"/>
    <x v="62"/>
    <x v="0"/>
    <x v="0"/>
    <x v="1"/>
    <x v="53"/>
    <s v="https://pbs.twimg.com/media/E7fhzF6XsAAoddH.jpg"/>
    <d v="2021-07-29T22:18:19"/>
    <d v="2021-07-29T00:00:00"/>
    <s v="22:18:19"/>
    <s v="https://twitter.com/mizbosslady82/status/1420871336847683588"/>
    <m/>
    <m/>
    <s v="1420871336847683588"/>
    <m/>
    <b v="0"/>
    <n v="0"/>
    <s v=""/>
    <b v="0"/>
    <s v="en"/>
    <m/>
    <s v=""/>
    <x v="0"/>
    <n v="14"/>
    <s v="1420871254492565510"/>
    <s v="Twitter for iPhone"/>
    <b v="0"/>
    <s v="1420871254492565510"/>
    <s v="Tweet"/>
    <n v="0"/>
    <n v="0"/>
    <m/>
    <x v="0"/>
    <x v="0"/>
    <x v="0"/>
    <m/>
    <x v="0"/>
    <m/>
    <m/>
    <n v="1"/>
    <s v="1"/>
    <s v="1"/>
  </r>
  <r>
    <x v="32"/>
    <s v="seccardona"/>
    <m/>
    <m/>
    <m/>
    <m/>
    <m/>
    <m/>
    <m/>
    <m/>
    <s v="No"/>
    <n v="229"/>
    <m/>
    <m/>
    <x v="4"/>
    <x v="116"/>
    <x v="62"/>
    <x v="0"/>
    <x v="0"/>
    <x v="1"/>
    <x v="53"/>
    <s v="https://pbs.twimg.com/media/E7fhzF6XsAAoddH.jpg"/>
    <d v="2021-07-29T22:20:57"/>
    <d v="2021-07-29T00:00:00"/>
    <s v="22:20:57"/>
    <s v="https://twitter.com/shirley10090505/status/1420871998654255107"/>
    <m/>
    <m/>
    <s v="1420871998654255107"/>
    <m/>
    <b v="0"/>
    <n v="0"/>
    <s v=""/>
    <b v="0"/>
    <s v="en"/>
    <m/>
    <s v=""/>
    <x v="0"/>
    <n v="14"/>
    <s v="1420871254492565510"/>
    <s v="Twitter for iPhone"/>
    <b v="0"/>
    <s v="1420871254492565510"/>
    <s v="Tweet"/>
    <n v="0"/>
    <n v="0"/>
    <m/>
    <x v="0"/>
    <x v="0"/>
    <x v="0"/>
    <m/>
    <x v="0"/>
    <m/>
    <m/>
    <n v="1"/>
    <s v="1"/>
    <s v="1"/>
  </r>
  <r>
    <x v="33"/>
    <s v="seccardona"/>
    <m/>
    <m/>
    <m/>
    <m/>
    <m/>
    <m/>
    <m/>
    <m/>
    <s v="No"/>
    <n v="230"/>
    <m/>
    <m/>
    <x v="4"/>
    <x v="117"/>
    <x v="62"/>
    <x v="0"/>
    <x v="0"/>
    <x v="1"/>
    <x v="53"/>
    <s v="https://pbs.twimg.com/media/E7fhzF6XsAAoddH.jpg"/>
    <d v="2021-07-29T22:22:55"/>
    <d v="2021-07-29T00:00:00"/>
    <s v="22:22:55"/>
    <s v="https://twitter.com/suemanning6/status/1420872494924304394"/>
    <m/>
    <m/>
    <s v="1420872494924304394"/>
    <m/>
    <b v="0"/>
    <n v="0"/>
    <s v=""/>
    <b v="0"/>
    <s v="en"/>
    <m/>
    <s v=""/>
    <x v="0"/>
    <n v="14"/>
    <s v="1420871254492565510"/>
    <s v="Twitter Web App"/>
    <b v="0"/>
    <s v="1420871254492565510"/>
    <s v="Tweet"/>
    <n v="0"/>
    <n v="0"/>
    <m/>
    <x v="0"/>
    <x v="0"/>
    <x v="0"/>
    <m/>
    <x v="0"/>
    <m/>
    <m/>
    <n v="1"/>
    <s v="1"/>
    <s v="1"/>
  </r>
  <r>
    <x v="34"/>
    <s v="seccardona"/>
    <m/>
    <m/>
    <m/>
    <m/>
    <m/>
    <m/>
    <m/>
    <m/>
    <s v="No"/>
    <n v="231"/>
    <m/>
    <m/>
    <x v="4"/>
    <x v="118"/>
    <x v="62"/>
    <x v="0"/>
    <x v="0"/>
    <x v="1"/>
    <x v="53"/>
    <s v="https://pbs.twimg.com/media/E7fhzF6XsAAoddH.jpg"/>
    <d v="2021-07-29T22:26:18"/>
    <d v="2021-07-29T00:00:00"/>
    <s v="22:26:18"/>
    <s v="https://twitter.com/julieworley14/status/1420873344078028805"/>
    <m/>
    <m/>
    <s v="1420873344078028805"/>
    <m/>
    <b v="0"/>
    <n v="0"/>
    <s v=""/>
    <b v="0"/>
    <s v="en"/>
    <m/>
    <s v=""/>
    <x v="0"/>
    <n v="14"/>
    <s v="1420871254492565510"/>
    <s v="Twitter Web App"/>
    <b v="0"/>
    <s v="1420871254492565510"/>
    <s v="Tweet"/>
    <n v="0"/>
    <n v="0"/>
    <m/>
    <x v="0"/>
    <x v="0"/>
    <x v="0"/>
    <m/>
    <x v="0"/>
    <m/>
    <m/>
    <n v="1"/>
    <s v="1"/>
    <s v="1"/>
  </r>
  <r>
    <x v="35"/>
    <s v="seccardona"/>
    <m/>
    <m/>
    <m/>
    <m/>
    <m/>
    <m/>
    <m/>
    <m/>
    <s v="No"/>
    <n v="232"/>
    <m/>
    <m/>
    <x v="4"/>
    <x v="119"/>
    <x v="62"/>
    <x v="0"/>
    <x v="0"/>
    <x v="1"/>
    <x v="53"/>
    <s v="https://pbs.twimg.com/media/E7fhzF6XsAAoddH.jpg"/>
    <d v="2021-07-29T22:44:16"/>
    <d v="2021-07-29T00:00:00"/>
    <s v="22:44:16"/>
    <s v="https://twitter.com/danadlaurens/status/1420877864895979523"/>
    <m/>
    <m/>
    <s v="1420877864895979523"/>
    <m/>
    <b v="0"/>
    <n v="0"/>
    <s v=""/>
    <b v="0"/>
    <s v="en"/>
    <m/>
    <s v=""/>
    <x v="0"/>
    <n v="14"/>
    <s v="1420871254492565510"/>
    <s v="Twitter for iPhone"/>
    <b v="0"/>
    <s v="1420871254492565510"/>
    <s v="Tweet"/>
    <n v="0"/>
    <n v="0"/>
    <m/>
    <x v="0"/>
    <x v="0"/>
    <x v="0"/>
    <m/>
    <x v="0"/>
    <m/>
    <m/>
    <n v="1"/>
    <s v="1"/>
    <s v="1"/>
  </r>
  <r>
    <x v="36"/>
    <s v="seccardona"/>
    <m/>
    <m/>
    <m/>
    <m/>
    <m/>
    <m/>
    <m/>
    <m/>
    <s v="No"/>
    <n v="233"/>
    <m/>
    <m/>
    <x v="4"/>
    <x v="120"/>
    <x v="62"/>
    <x v="0"/>
    <x v="0"/>
    <x v="1"/>
    <x v="53"/>
    <s v="https://pbs.twimg.com/media/E7fhzF6XsAAoddH.jpg"/>
    <d v="2021-07-29T22:51:46"/>
    <d v="2021-07-29T00:00:00"/>
    <s v="22:51:46"/>
    <s v="https://twitter.com/perla_51/status/1420879751233814529"/>
    <m/>
    <m/>
    <s v="1420879751233814529"/>
    <m/>
    <b v="0"/>
    <n v="0"/>
    <s v=""/>
    <b v="0"/>
    <s v="en"/>
    <m/>
    <s v=""/>
    <x v="0"/>
    <n v="14"/>
    <s v="1420871254492565510"/>
    <s v="Twitter for Android"/>
    <b v="0"/>
    <s v="1420871254492565510"/>
    <s v="Tweet"/>
    <n v="0"/>
    <n v="0"/>
    <m/>
    <x v="0"/>
    <x v="0"/>
    <x v="0"/>
    <m/>
    <x v="0"/>
    <m/>
    <m/>
    <n v="1"/>
    <s v="1"/>
    <s v="1"/>
  </r>
  <r>
    <x v="37"/>
    <s v="seccardona"/>
    <m/>
    <m/>
    <m/>
    <m/>
    <m/>
    <m/>
    <m/>
    <m/>
    <s v="No"/>
    <n v="234"/>
    <m/>
    <m/>
    <x v="4"/>
    <x v="121"/>
    <x v="62"/>
    <x v="0"/>
    <x v="0"/>
    <x v="1"/>
    <x v="53"/>
    <s v="https://pbs.twimg.com/media/E7fhzF6XsAAoddH.jpg"/>
    <d v="2021-07-29T23:11:37"/>
    <d v="2021-07-29T00:00:00"/>
    <s v="23:11:37"/>
    <s v="https://twitter.com/tlharnisch/status/1420884747157446657"/>
    <m/>
    <m/>
    <s v="1420884747157446657"/>
    <m/>
    <b v="0"/>
    <n v="0"/>
    <s v=""/>
    <b v="0"/>
    <s v="en"/>
    <m/>
    <s v=""/>
    <x v="0"/>
    <n v="14"/>
    <s v="1420871254492565510"/>
    <s v="Twitter Web App"/>
    <b v="0"/>
    <s v="1420871254492565510"/>
    <s v="Tweet"/>
    <n v="0"/>
    <n v="0"/>
    <m/>
    <x v="0"/>
    <x v="0"/>
    <x v="0"/>
    <m/>
    <x v="0"/>
    <m/>
    <m/>
    <n v="1"/>
    <s v="1"/>
    <s v="1"/>
  </r>
  <r>
    <x v="38"/>
    <s v="seccardona"/>
    <m/>
    <m/>
    <m/>
    <m/>
    <m/>
    <m/>
    <m/>
    <m/>
    <s v="No"/>
    <n v="236"/>
    <m/>
    <m/>
    <x v="4"/>
    <x v="122"/>
    <x v="62"/>
    <x v="0"/>
    <x v="0"/>
    <x v="1"/>
    <x v="53"/>
    <s v="https://pbs.twimg.com/media/E7fhzF6XsAAoddH.jpg"/>
    <d v="2021-07-30T15:31:00"/>
    <d v="2021-07-30T00:00:00"/>
    <s v="15:31:00"/>
    <s v="https://twitter.com/msn100ms46/status/1421131218402246657"/>
    <m/>
    <m/>
    <s v="1421131218402246657"/>
    <m/>
    <b v="0"/>
    <n v="0"/>
    <s v=""/>
    <b v="0"/>
    <s v="en"/>
    <m/>
    <s v=""/>
    <x v="0"/>
    <n v="14"/>
    <s v="1420871254492565510"/>
    <s v="Twitter for iPhone"/>
    <b v="0"/>
    <s v="1420871254492565510"/>
    <s v="Tweet"/>
    <n v="0"/>
    <n v="0"/>
    <m/>
    <x v="0"/>
    <x v="0"/>
    <x v="0"/>
    <m/>
    <x v="0"/>
    <m/>
    <m/>
    <n v="1"/>
    <s v="1"/>
    <s v="1"/>
  </r>
  <r>
    <x v="39"/>
    <s v="seccardona"/>
    <m/>
    <m/>
    <m/>
    <m/>
    <m/>
    <m/>
    <m/>
    <m/>
    <s v="No"/>
    <n v="237"/>
    <m/>
    <m/>
    <x v="4"/>
    <x v="123"/>
    <x v="62"/>
    <x v="0"/>
    <x v="0"/>
    <x v="1"/>
    <x v="53"/>
    <s v="https://pbs.twimg.com/media/E7fhzF6XsAAoddH.jpg"/>
    <d v="2021-07-30T18:27:57"/>
    <d v="2021-07-30T00:00:00"/>
    <s v="18:27:57"/>
    <s v="https://twitter.com/444sai/status/1421175748602126336"/>
    <m/>
    <m/>
    <s v="1421175748602126336"/>
    <m/>
    <b v="0"/>
    <n v="0"/>
    <s v=""/>
    <b v="0"/>
    <s v="en"/>
    <m/>
    <s v=""/>
    <x v="0"/>
    <n v="14"/>
    <s v="1420871254492565510"/>
    <s v="Twitter for iPhone"/>
    <b v="0"/>
    <s v="1420871254492565510"/>
    <s v="Tweet"/>
    <n v="0"/>
    <n v="0"/>
    <m/>
    <x v="0"/>
    <x v="0"/>
    <x v="0"/>
    <m/>
    <x v="0"/>
    <m/>
    <m/>
    <n v="1"/>
    <s v="1"/>
    <s v="1"/>
  </r>
  <r>
    <x v="40"/>
    <s v="seccardona"/>
    <m/>
    <m/>
    <m/>
    <m/>
    <m/>
    <m/>
    <m/>
    <m/>
    <s v="No"/>
    <n v="238"/>
    <m/>
    <m/>
    <x v="4"/>
    <x v="124"/>
    <x v="62"/>
    <x v="0"/>
    <x v="0"/>
    <x v="1"/>
    <x v="53"/>
    <s v="https://pbs.twimg.com/media/E7fhzF6XsAAoddH.jpg"/>
    <d v="2021-07-30T21:27:53"/>
    <d v="2021-07-30T00:00:00"/>
    <s v="21:27:53"/>
    <s v="https://twitter.com/nikolasvision/status/1421221030736154625"/>
    <m/>
    <m/>
    <s v="1421221030736154625"/>
    <m/>
    <b v="0"/>
    <n v="0"/>
    <s v=""/>
    <b v="0"/>
    <s v="en"/>
    <m/>
    <s v=""/>
    <x v="0"/>
    <n v="14"/>
    <s v="1420871254492565510"/>
    <s v="Twitter Web App"/>
    <b v="0"/>
    <s v="1420871254492565510"/>
    <s v="Tweet"/>
    <n v="0"/>
    <n v="0"/>
    <m/>
    <x v="0"/>
    <x v="0"/>
    <x v="0"/>
    <m/>
    <x v="0"/>
    <m/>
    <m/>
    <n v="1"/>
    <s v="1"/>
    <s v="1"/>
  </r>
  <r>
    <x v="41"/>
    <s v="repgwenmoore"/>
    <m/>
    <m/>
    <m/>
    <m/>
    <m/>
    <m/>
    <m/>
    <m/>
    <s v="No"/>
    <n v="240"/>
    <m/>
    <m/>
    <x v="1"/>
    <x v="125"/>
    <x v="86"/>
    <x v="0"/>
    <x v="0"/>
    <x v="36"/>
    <x v="27"/>
    <s v="https://pbs.twimg.com/profile_images/867414285898723328/dHpvU7Q-_normal.jpg"/>
    <d v="2021-07-27T15:27:25"/>
    <d v="2021-07-27T00:00:00"/>
    <s v="15:27:25"/>
    <s v="https://twitter.com/rader_trader/status/1420043153533374466"/>
    <m/>
    <m/>
    <s v="1420043153533374466"/>
    <m/>
    <b v="0"/>
    <n v="2"/>
    <s v=""/>
    <b v="0"/>
    <s v="en"/>
    <m/>
    <s v=""/>
    <x v="0"/>
    <n v="0"/>
    <s v=""/>
    <s v="Twitter for iPhone"/>
    <b v="0"/>
    <s v="1420043153533374466"/>
    <s v="Tweet"/>
    <n v="0"/>
    <n v="0"/>
    <m/>
    <x v="0"/>
    <x v="0"/>
    <x v="0"/>
    <m/>
    <x v="0"/>
    <m/>
    <m/>
    <n v="1"/>
    <s v="1"/>
    <s v="1"/>
  </r>
  <r>
    <x v="42"/>
    <s v="repgwenmoore"/>
    <m/>
    <m/>
    <m/>
    <m/>
    <m/>
    <m/>
    <m/>
    <m/>
    <s v="No"/>
    <n v="241"/>
    <m/>
    <m/>
    <x v="3"/>
    <x v="126"/>
    <x v="63"/>
    <x v="0"/>
    <x v="0"/>
    <x v="1"/>
    <x v="54"/>
    <s v="https://pbs.twimg.com/ext_tw_video_thumb/1420560954690088965/pu/img/mw30pB3lQf5fmFQ8.jpg"/>
    <d v="2021-07-29T04:23:02"/>
    <d v="2021-07-29T00:00:00"/>
    <s v="04:23:02"/>
    <s v="https://twitter.com/jkkahlden/status/1420600732139524097"/>
    <m/>
    <m/>
    <s v="1420600732139524097"/>
    <m/>
    <b v="0"/>
    <n v="0"/>
    <s v=""/>
    <b v="0"/>
    <s v="en"/>
    <m/>
    <s v=""/>
    <x v="0"/>
    <n v="8"/>
    <s v="1420560991012655106"/>
    <s v="Twitter for iPhone"/>
    <b v="0"/>
    <s v="1420560991012655106"/>
    <s v="Tweet"/>
    <n v="0"/>
    <n v="0"/>
    <m/>
    <x v="0"/>
    <x v="0"/>
    <x v="0"/>
    <m/>
    <x v="0"/>
    <m/>
    <m/>
    <n v="1"/>
    <s v="1"/>
    <s v="1"/>
  </r>
  <r>
    <x v="43"/>
    <s v="repgwenmoore"/>
    <m/>
    <m/>
    <m/>
    <m/>
    <m/>
    <m/>
    <m/>
    <m/>
    <s v="No"/>
    <n v="242"/>
    <m/>
    <m/>
    <x v="3"/>
    <x v="127"/>
    <x v="63"/>
    <x v="0"/>
    <x v="0"/>
    <x v="1"/>
    <x v="54"/>
    <s v="https://pbs.twimg.com/ext_tw_video_thumb/1420560954690088965/pu/img/mw30pB3lQf5fmFQ8.jpg"/>
    <d v="2021-07-29T04:23:34"/>
    <d v="2021-07-29T00:00:00"/>
    <s v="04:23:34"/>
    <s v="https://twitter.com/cory_lemay/status/1420600866482974721"/>
    <m/>
    <m/>
    <s v="1420600866482974721"/>
    <m/>
    <b v="0"/>
    <n v="0"/>
    <s v=""/>
    <b v="0"/>
    <s v="en"/>
    <m/>
    <s v=""/>
    <x v="0"/>
    <n v="8"/>
    <s v="1420560991012655106"/>
    <s v="Twitter Web App"/>
    <b v="0"/>
    <s v="1420560991012655106"/>
    <s v="Tweet"/>
    <n v="0"/>
    <n v="0"/>
    <m/>
    <x v="0"/>
    <x v="0"/>
    <x v="0"/>
    <m/>
    <x v="0"/>
    <m/>
    <m/>
    <n v="1"/>
    <s v="1"/>
    <s v="1"/>
  </r>
  <r>
    <x v="44"/>
    <s v="repgwenmoore"/>
    <m/>
    <m/>
    <m/>
    <m/>
    <m/>
    <m/>
    <m/>
    <m/>
    <s v="No"/>
    <n v="243"/>
    <m/>
    <m/>
    <x v="3"/>
    <x v="128"/>
    <x v="63"/>
    <x v="0"/>
    <x v="0"/>
    <x v="1"/>
    <x v="54"/>
    <s v="https://pbs.twimg.com/ext_tw_video_thumb/1420560954690088965/pu/img/mw30pB3lQf5fmFQ8.jpg"/>
    <d v="2021-07-29T14:16:09"/>
    <d v="2021-07-29T00:00:00"/>
    <s v="14:16:09"/>
    <s v="https://twitter.com/upward_boundesu/status/1420749992285724675"/>
    <m/>
    <m/>
    <s v="1420749992285724675"/>
    <m/>
    <b v="0"/>
    <n v="0"/>
    <s v=""/>
    <b v="0"/>
    <s v="en"/>
    <m/>
    <s v=""/>
    <x v="0"/>
    <n v="8"/>
    <s v="1420560991012655106"/>
    <s v="Twitter Web App"/>
    <b v="0"/>
    <s v="1420560991012655106"/>
    <s v="Tweet"/>
    <n v="0"/>
    <n v="0"/>
    <m/>
    <x v="0"/>
    <x v="0"/>
    <x v="0"/>
    <m/>
    <x v="0"/>
    <m/>
    <m/>
    <n v="1"/>
    <s v="1"/>
    <s v="1"/>
  </r>
  <r>
    <x v="45"/>
    <s v="repgwenmoore"/>
    <m/>
    <m/>
    <m/>
    <m/>
    <m/>
    <m/>
    <m/>
    <m/>
    <s v="No"/>
    <n v="244"/>
    <m/>
    <m/>
    <x v="3"/>
    <x v="129"/>
    <x v="63"/>
    <x v="0"/>
    <x v="0"/>
    <x v="1"/>
    <x v="54"/>
    <s v="https://pbs.twimg.com/ext_tw_video_thumb/1420560954690088965/pu/img/mw30pB3lQf5fmFQ8.jpg"/>
    <d v="2021-07-29T22:37:09"/>
    <d v="2021-07-29T00:00:00"/>
    <s v="22:37:09"/>
    <s v="https://twitter.com/kjcounsel/status/1420876074184060928"/>
    <m/>
    <m/>
    <s v="1420876074184060928"/>
    <m/>
    <b v="0"/>
    <n v="0"/>
    <s v=""/>
    <b v="0"/>
    <s v="en"/>
    <m/>
    <s v=""/>
    <x v="0"/>
    <n v="8"/>
    <s v="1420560991012655106"/>
    <s v="Twitter for iPhone"/>
    <b v="0"/>
    <s v="1420560991012655106"/>
    <s v="Tweet"/>
    <n v="0"/>
    <n v="0"/>
    <m/>
    <x v="0"/>
    <x v="0"/>
    <x v="0"/>
    <m/>
    <x v="0"/>
    <m/>
    <m/>
    <n v="1"/>
    <s v="6"/>
    <s v="1"/>
  </r>
  <r>
    <x v="46"/>
    <s v="repgwenmoore"/>
    <m/>
    <m/>
    <m/>
    <m/>
    <m/>
    <m/>
    <m/>
    <m/>
    <s v="No"/>
    <n v="245"/>
    <m/>
    <m/>
    <x v="3"/>
    <x v="130"/>
    <x v="63"/>
    <x v="0"/>
    <x v="0"/>
    <x v="1"/>
    <x v="54"/>
    <s v="https://pbs.twimg.com/ext_tw_video_thumb/1420560954690088965/pu/img/mw30pB3lQf5fmFQ8.jpg"/>
    <d v="2021-07-29T22:49:06"/>
    <d v="2021-07-29T00:00:00"/>
    <s v="22:49:06"/>
    <s v="https://twitter.com/independantdemo/status/1420879083693436928"/>
    <m/>
    <m/>
    <s v="1420879083693436928"/>
    <m/>
    <b v="0"/>
    <n v="0"/>
    <s v=""/>
    <b v="0"/>
    <s v="en"/>
    <m/>
    <s v=""/>
    <x v="0"/>
    <n v="8"/>
    <s v="1420560991012655106"/>
    <s v="Twitter for iPhone"/>
    <b v="0"/>
    <s v="1420560991012655106"/>
    <s v="Tweet"/>
    <n v="0"/>
    <n v="0"/>
    <m/>
    <x v="0"/>
    <x v="0"/>
    <x v="0"/>
    <m/>
    <x v="0"/>
    <m/>
    <m/>
    <n v="1"/>
    <s v="1"/>
    <s v="1"/>
  </r>
  <r>
    <x v="47"/>
    <s v="repgwenmoore"/>
    <m/>
    <m/>
    <m/>
    <m/>
    <m/>
    <m/>
    <m/>
    <m/>
    <s v="No"/>
    <n v="246"/>
    <m/>
    <m/>
    <x v="3"/>
    <x v="131"/>
    <x v="63"/>
    <x v="0"/>
    <x v="0"/>
    <x v="1"/>
    <x v="54"/>
    <s v="https://pbs.twimg.com/ext_tw_video_thumb/1420560954690088965/pu/img/mw30pB3lQf5fmFQ8.jpg"/>
    <d v="2021-07-29T22:53:31"/>
    <d v="2021-07-29T00:00:00"/>
    <s v="22:53:31"/>
    <s v="https://twitter.com/mickeybellet/status/1420880191577001985"/>
    <m/>
    <m/>
    <s v="1420880191577001985"/>
    <m/>
    <b v="0"/>
    <n v="0"/>
    <s v=""/>
    <b v="0"/>
    <s v="en"/>
    <m/>
    <s v=""/>
    <x v="0"/>
    <n v="8"/>
    <s v="1420560991012655106"/>
    <s v="Twitter for Android"/>
    <b v="0"/>
    <s v="1420560991012655106"/>
    <s v="Tweet"/>
    <n v="0"/>
    <n v="0"/>
    <m/>
    <x v="0"/>
    <x v="0"/>
    <x v="0"/>
    <m/>
    <x v="0"/>
    <m/>
    <m/>
    <n v="1"/>
    <s v="1"/>
    <s v="1"/>
  </r>
  <r>
    <x v="48"/>
    <s v="repgwenmoore"/>
    <m/>
    <m/>
    <m/>
    <m/>
    <m/>
    <m/>
    <m/>
    <m/>
    <s v="No"/>
    <n v="247"/>
    <m/>
    <m/>
    <x v="3"/>
    <x v="132"/>
    <x v="63"/>
    <x v="0"/>
    <x v="0"/>
    <x v="1"/>
    <x v="54"/>
    <s v="https://pbs.twimg.com/ext_tw_video_thumb/1420560954690088965/pu/img/mw30pB3lQf5fmFQ8.jpg"/>
    <d v="2021-07-29T23:41:15"/>
    <d v="2021-07-29T00:00:00"/>
    <s v="23:41:15"/>
    <s v="https://twitter.com/divinelyteressa/status/1420892207108825094"/>
    <m/>
    <m/>
    <s v="1420892207108825094"/>
    <m/>
    <b v="0"/>
    <n v="0"/>
    <s v=""/>
    <b v="0"/>
    <s v="en"/>
    <m/>
    <s v=""/>
    <x v="0"/>
    <n v="8"/>
    <s v="1420560991012655106"/>
    <s v="Twitter for iPhone"/>
    <b v="0"/>
    <s v="1420560991012655106"/>
    <s v="Tweet"/>
    <n v="0"/>
    <n v="0"/>
    <m/>
    <x v="0"/>
    <x v="0"/>
    <x v="0"/>
    <m/>
    <x v="0"/>
    <m/>
    <m/>
    <n v="1"/>
    <s v="1"/>
    <s v="1"/>
  </r>
  <r>
    <x v="49"/>
    <s v="repgwenmoore"/>
    <m/>
    <m/>
    <m/>
    <m/>
    <m/>
    <m/>
    <m/>
    <m/>
    <s v="No"/>
    <n v="248"/>
    <m/>
    <m/>
    <x v="3"/>
    <x v="133"/>
    <x v="63"/>
    <x v="0"/>
    <x v="0"/>
    <x v="1"/>
    <x v="54"/>
    <s v="https://pbs.twimg.com/ext_tw_video_thumb/1420560954690088965/pu/img/mw30pB3lQf5fmFQ8.jpg"/>
    <d v="2021-07-30T02:18:49"/>
    <d v="2021-07-30T00:00:00"/>
    <s v="02:18:49"/>
    <s v="https://twitter.com/socanderstacey/status/1420931858834104324"/>
    <m/>
    <m/>
    <s v="1420931858834104324"/>
    <m/>
    <b v="0"/>
    <n v="0"/>
    <s v=""/>
    <b v="0"/>
    <s v="en"/>
    <m/>
    <s v=""/>
    <x v="0"/>
    <n v="8"/>
    <s v="1420560991012655106"/>
    <s v="Twitter for iPhone"/>
    <b v="0"/>
    <s v="1420560991012655106"/>
    <s v="Tweet"/>
    <n v="0"/>
    <n v="0"/>
    <m/>
    <x v="0"/>
    <x v="0"/>
    <x v="0"/>
    <m/>
    <x v="0"/>
    <m/>
    <m/>
    <n v="1"/>
    <s v="1"/>
    <s v="1"/>
  </r>
  <r>
    <x v="50"/>
    <s v="repbonamici"/>
    <m/>
    <m/>
    <m/>
    <m/>
    <m/>
    <m/>
    <m/>
    <m/>
    <s v="No"/>
    <n v="249"/>
    <m/>
    <m/>
    <x v="3"/>
    <x v="134"/>
    <x v="65"/>
    <x v="0"/>
    <x v="0"/>
    <x v="1"/>
    <x v="56"/>
    <s v="https://pbs.twimg.com/ext_tw_video_thumb/1421161154945093639/pu/img/tbrT6qcfoLxlpRkV.jpg"/>
    <d v="2021-07-30T22:10:53"/>
    <d v="2021-07-30T00:00:00"/>
    <s v="22:10:53"/>
    <s v="https://twitter.com/terryluiken/status/1421231854368272384"/>
    <m/>
    <m/>
    <s v="1421231854368272384"/>
    <m/>
    <b v="0"/>
    <n v="0"/>
    <s v=""/>
    <b v="0"/>
    <s v="en"/>
    <m/>
    <s v=""/>
    <x v="0"/>
    <n v="1"/>
    <s v="1421161509527474187"/>
    <s v="Twitter for iPhone"/>
    <b v="0"/>
    <s v="1421161509527474187"/>
    <s v="Tweet"/>
    <n v="0"/>
    <n v="0"/>
    <m/>
    <x v="0"/>
    <x v="0"/>
    <x v="0"/>
    <m/>
    <x v="0"/>
    <m/>
    <m/>
    <n v="1"/>
    <s v="1"/>
    <s v="1"/>
  </r>
  <r>
    <x v="11"/>
    <s v="pisancheznyc"/>
    <m/>
    <m/>
    <m/>
    <m/>
    <m/>
    <m/>
    <m/>
    <m/>
    <s v="Yes"/>
    <n v="250"/>
    <m/>
    <m/>
    <x v="1"/>
    <x v="135"/>
    <x v="87"/>
    <x v="18"/>
    <x v="10"/>
    <x v="1"/>
    <x v="27"/>
    <s v="https://pbs.twimg.com/profile_images/1311001884824604676/RVdli881_normal.png"/>
    <d v="2021-07-27T13:25:00"/>
    <d v="2021-07-27T00:00:00"/>
    <s v="13:25:00"/>
    <s v="https://twitter.com/coetalk/status/1420012347259867148"/>
    <m/>
    <m/>
    <s v="1420012347259867148"/>
    <m/>
    <b v="0"/>
    <n v="4"/>
    <s v=""/>
    <b v="0"/>
    <s v="en"/>
    <m/>
    <s v=""/>
    <x v="0"/>
    <n v="0"/>
    <s v=""/>
    <s v="Hootsuite Inc."/>
    <b v="0"/>
    <s v="1420012347259867148"/>
    <s v="Tweet"/>
    <n v="0"/>
    <n v="0"/>
    <m/>
    <x v="0"/>
    <x v="0"/>
    <x v="0"/>
    <m/>
    <x v="0"/>
    <m/>
    <m/>
    <n v="1"/>
    <s v="1"/>
    <s v="1"/>
  </r>
  <r>
    <x v="9"/>
    <s v="na"/>
    <m/>
    <m/>
    <m/>
    <m/>
    <m/>
    <m/>
    <m/>
    <m/>
    <s v="No"/>
    <n v="252"/>
    <m/>
    <m/>
    <x v="1"/>
    <x v="136"/>
    <x v="88"/>
    <x v="19"/>
    <x v="4"/>
    <x v="37"/>
    <x v="27"/>
    <s v="https://pbs.twimg.com/profile_images/1190697450228584449/9iO4Mhxr_normal.jpg"/>
    <d v="2021-07-31T20:08:25"/>
    <d v="2021-07-31T00:00:00"/>
    <s v="20:08:25"/>
    <s v="https://twitter.com/jamillimabass/status/1421563420307070985"/>
    <m/>
    <m/>
    <s v="1421563420307070985"/>
    <m/>
    <b v="0"/>
    <n v="0"/>
    <s v=""/>
    <b v="0"/>
    <s v="en"/>
    <m/>
    <s v=""/>
    <x v="0"/>
    <n v="0"/>
    <s v=""/>
    <s v="Tumblr"/>
    <b v="0"/>
    <s v="1421563420307070985"/>
    <s v="Tweet"/>
    <n v="0"/>
    <n v="0"/>
    <m/>
    <x v="0"/>
    <x v="0"/>
    <x v="0"/>
    <m/>
    <x v="0"/>
    <m/>
    <m/>
    <n v="1"/>
    <s v="16"/>
    <s v="16"/>
  </r>
  <r>
    <x v="25"/>
    <s v="montanagearup"/>
    <m/>
    <m/>
    <m/>
    <m/>
    <m/>
    <m/>
    <m/>
    <m/>
    <s v="No"/>
    <n v="254"/>
    <m/>
    <m/>
    <x v="2"/>
    <x v="137"/>
    <x v="89"/>
    <x v="0"/>
    <x v="0"/>
    <x v="38"/>
    <x v="27"/>
    <s v="https://pbs.twimg.com/profile_images/1372636245281492992/uIjhEtk6_normal.jpg"/>
    <d v="2021-07-29T20:46:29"/>
    <d v="2021-07-29T00:00:00"/>
    <s v="20:46:29"/>
    <s v="https://twitter.com/success_prints/status/1420848226039599104"/>
    <m/>
    <m/>
    <s v="1420848226039599104"/>
    <s v="1420829932200943624"/>
    <b v="0"/>
    <n v="0"/>
    <s v="2730116696"/>
    <b v="0"/>
    <s v="en"/>
    <m/>
    <s v=""/>
    <x v="0"/>
    <n v="0"/>
    <s v=""/>
    <s v="Twitter Web App"/>
    <b v="0"/>
    <s v="1420829932200943624"/>
    <s v="Tweet"/>
    <n v="0"/>
    <n v="0"/>
    <m/>
    <x v="0"/>
    <x v="0"/>
    <x v="0"/>
    <m/>
    <x v="0"/>
    <m/>
    <m/>
    <n v="1"/>
    <s v="15"/>
    <s v="15"/>
  </r>
  <r>
    <x v="51"/>
    <s v="mcnairunc"/>
    <m/>
    <m/>
    <m/>
    <m/>
    <m/>
    <m/>
    <m/>
    <m/>
    <s v="No"/>
    <n v="255"/>
    <m/>
    <m/>
    <x v="3"/>
    <x v="138"/>
    <x v="69"/>
    <x v="0"/>
    <x v="0"/>
    <x v="1"/>
    <x v="60"/>
    <s v="https://pbs.twimg.com/media/E7VCWcGXMAQx84B.jpg"/>
    <d v="2021-07-27T20:15:49"/>
    <d v="2021-07-27T00:00:00"/>
    <s v="20:15:49"/>
    <s v="https://twitter.com/renaissancemars/status/1420115731555962882"/>
    <m/>
    <m/>
    <s v="1420115731555962882"/>
    <m/>
    <b v="0"/>
    <n v="0"/>
    <s v=""/>
    <b v="0"/>
    <s v="en"/>
    <m/>
    <s v=""/>
    <x v="0"/>
    <n v="21"/>
    <s v="1420114213658402821"/>
    <s v="Twitter Web App"/>
    <b v="0"/>
    <s v="1420114213658402821"/>
    <s v="Tweet"/>
    <n v="0"/>
    <n v="0"/>
    <m/>
    <x v="0"/>
    <x v="0"/>
    <x v="0"/>
    <m/>
    <x v="0"/>
    <m/>
    <m/>
    <n v="1"/>
    <s v="2"/>
    <s v="2"/>
  </r>
  <r>
    <x v="52"/>
    <s v="mcnairunc"/>
    <m/>
    <m/>
    <m/>
    <m/>
    <m/>
    <m/>
    <m/>
    <m/>
    <s v="No"/>
    <n v="256"/>
    <m/>
    <m/>
    <x v="3"/>
    <x v="139"/>
    <x v="69"/>
    <x v="0"/>
    <x v="0"/>
    <x v="1"/>
    <x v="60"/>
    <s v="https://pbs.twimg.com/media/E7VCWcGXMAQx84B.jpg"/>
    <d v="2021-07-27T20:25:40"/>
    <d v="2021-07-27T00:00:00"/>
    <s v="20:25:40"/>
    <s v="https://twitter.com/_kamoafo/status/1420118208187617280"/>
    <m/>
    <m/>
    <s v="1420118208187617280"/>
    <m/>
    <b v="0"/>
    <n v="0"/>
    <s v=""/>
    <b v="0"/>
    <s v="en"/>
    <m/>
    <s v=""/>
    <x v="0"/>
    <n v="21"/>
    <s v="1420114213658402821"/>
    <s v="Twitter for iPhone"/>
    <b v="0"/>
    <s v="1420114213658402821"/>
    <s v="Tweet"/>
    <n v="0"/>
    <n v="0"/>
    <m/>
    <x v="0"/>
    <x v="0"/>
    <x v="0"/>
    <m/>
    <x v="0"/>
    <m/>
    <m/>
    <n v="1"/>
    <s v="2"/>
    <s v="2"/>
  </r>
  <r>
    <x v="53"/>
    <s v="mcnairunc"/>
    <m/>
    <m/>
    <m/>
    <m/>
    <m/>
    <m/>
    <m/>
    <m/>
    <s v="No"/>
    <n v="257"/>
    <m/>
    <m/>
    <x v="3"/>
    <x v="140"/>
    <x v="69"/>
    <x v="0"/>
    <x v="0"/>
    <x v="1"/>
    <x v="60"/>
    <s v="https://pbs.twimg.com/media/E7VCWcGXMAQx84B.jpg"/>
    <d v="2021-07-27T20:52:01"/>
    <d v="2021-07-27T00:00:00"/>
    <s v="20:52:01"/>
    <s v="https://twitter.com/peiferlabunc/status/1420124842674720769"/>
    <m/>
    <m/>
    <s v="1420124842674720769"/>
    <m/>
    <b v="0"/>
    <n v="0"/>
    <s v=""/>
    <b v="0"/>
    <s v="en"/>
    <m/>
    <s v=""/>
    <x v="0"/>
    <n v="21"/>
    <s v="1420114213658402821"/>
    <s v="Twitter Web App"/>
    <b v="0"/>
    <s v="1420114213658402821"/>
    <s v="Tweet"/>
    <n v="0"/>
    <n v="0"/>
    <m/>
    <x v="0"/>
    <x v="0"/>
    <x v="0"/>
    <m/>
    <x v="0"/>
    <m/>
    <m/>
    <n v="1"/>
    <s v="2"/>
    <s v="2"/>
  </r>
  <r>
    <x v="54"/>
    <s v="mcnairunc"/>
    <m/>
    <m/>
    <m/>
    <m/>
    <m/>
    <m/>
    <m/>
    <m/>
    <s v="No"/>
    <n v="258"/>
    <m/>
    <m/>
    <x v="3"/>
    <x v="141"/>
    <x v="69"/>
    <x v="0"/>
    <x v="0"/>
    <x v="1"/>
    <x v="60"/>
    <s v="https://pbs.twimg.com/media/E7VCWcGXMAQx84B.jpg"/>
    <d v="2021-07-27T20:59:01"/>
    <d v="2021-07-27T00:00:00"/>
    <s v="20:59:01"/>
    <s v="https://twitter.com/blkingradschool/status/1420126604563451910"/>
    <m/>
    <m/>
    <s v="1420126604563451910"/>
    <m/>
    <b v="0"/>
    <n v="0"/>
    <s v=""/>
    <b v="0"/>
    <s v="en"/>
    <m/>
    <s v=""/>
    <x v="0"/>
    <n v="21"/>
    <s v="1420114213658402821"/>
    <s v="Twitter for iPhone"/>
    <b v="0"/>
    <s v="1420114213658402821"/>
    <s v="Tweet"/>
    <n v="0"/>
    <n v="0"/>
    <m/>
    <x v="0"/>
    <x v="0"/>
    <x v="0"/>
    <m/>
    <x v="0"/>
    <m/>
    <m/>
    <n v="1"/>
    <s v="2"/>
    <s v="2"/>
  </r>
  <r>
    <x v="55"/>
    <s v="mcnairunc"/>
    <m/>
    <m/>
    <m/>
    <m/>
    <m/>
    <m/>
    <m/>
    <m/>
    <s v="No"/>
    <n v="259"/>
    <m/>
    <m/>
    <x v="3"/>
    <x v="142"/>
    <x v="69"/>
    <x v="0"/>
    <x v="0"/>
    <x v="1"/>
    <x v="60"/>
    <s v="https://pbs.twimg.com/media/E7VCWcGXMAQx84B.jpg"/>
    <d v="2021-07-27T22:40:43"/>
    <d v="2021-07-27T00:00:00"/>
    <s v="22:40:43"/>
    <s v="https://twitter.com/beecyoung/status/1420152197489340416"/>
    <m/>
    <m/>
    <s v="1420152197489340416"/>
    <m/>
    <b v="0"/>
    <n v="0"/>
    <s v=""/>
    <b v="0"/>
    <s v="en"/>
    <m/>
    <s v=""/>
    <x v="0"/>
    <n v="21"/>
    <s v="1420114213658402821"/>
    <s v="Twitter for iPhone"/>
    <b v="0"/>
    <s v="1420114213658402821"/>
    <s v="Tweet"/>
    <n v="0"/>
    <n v="0"/>
    <m/>
    <x v="0"/>
    <x v="0"/>
    <x v="0"/>
    <m/>
    <x v="0"/>
    <m/>
    <m/>
    <n v="1"/>
    <s v="2"/>
    <s v="2"/>
  </r>
  <r>
    <x v="56"/>
    <s v="mcnairunc"/>
    <m/>
    <m/>
    <m/>
    <m/>
    <m/>
    <m/>
    <m/>
    <m/>
    <s v="No"/>
    <n v="260"/>
    <m/>
    <m/>
    <x v="3"/>
    <x v="143"/>
    <x v="69"/>
    <x v="0"/>
    <x v="0"/>
    <x v="1"/>
    <x v="60"/>
    <s v="https://pbs.twimg.com/media/E7VCWcGXMAQx84B.jpg"/>
    <d v="2021-07-27T23:27:55"/>
    <d v="2021-07-27T00:00:00"/>
    <s v="23:27:55"/>
    <s v="https://twitter.com/kaydontplay_12/status/1420164076441939969"/>
    <m/>
    <m/>
    <s v="1420164076441939969"/>
    <m/>
    <b v="0"/>
    <n v="0"/>
    <s v=""/>
    <b v="0"/>
    <s v="en"/>
    <m/>
    <s v=""/>
    <x v="0"/>
    <n v="21"/>
    <s v="1420114213658402821"/>
    <s v="Twitter for iPhone"/>
    <b v="0"/>
    <s v="1420114213658402821"/>
    <s v="Tweet"/>
    <n v="0"/>
    <n v="0"/>
    <m/>
    <x v="0"/>
    <x v="0"/>
    <x v="0"/>
    <m/>
    <x v="0"/>
    <m/>
    <m/>
    <n v="1"/>
    <s v="2"/>
    <s v="2"/>
  </r>
  <r>
    <x v="57"/>
    <s v="mcnairunc"/>
    <m/>
    <m/>
    <m/>
    <m/>
    <m/>
    <m/>
    <m/>
    <m/>
    <s v="No"/>
    <n v="261"/>
    <m/>
    <m/>
    <x v="4"/>
    <x v="144"/>
    <x v="70"/>
    <x v="10"/>
    <x v="5"/>
    <x v="1"/>
    <x v="27"/>
    <s v="https://pbs.twimg.com/profile_images/1397201966644830209/6IwLm778_normal.jpg"/>
    <d v="2021-07-27T23:42:24"/>
    <d v="2021-07-27T00:00:00"/>
    <s v="23:42:24"/>
    <s v="https://twitter.com/miajanai_/status/1420167720784515080"/>
    <m/>
    <m/>
    <s v="1420167720784515080"/>
    <m/>
    <b v="0"/>
    <n v="0"/>
    <s v=""/>
    <b v="1"/>
    <s v="en"/>
    <m/>
    <s v="1420114213658402821"/>
    <x v="0"/>
    <n v="5"/>
    <s v="1420124103806234635"/>
    <s v="Twitter for iPhone"/>
    <b v="0"/>
    <s v="1420124103806234635"/>
    <s v="Tweet"/>
    <n v="0"/>
    <n v="0"/>
    <m/>
    <x v="0"/>
    <x v="0"/>
    <x v="0"/>
    <m/>
    <x v="0"/>
    <m/>
    <m/>
    <n v="1"/>
    <s v="2"/>
    <s v="2"/>
  </r>
  <r>
    <x v="58"/>
    <s v="mcnairunc"/>
    <m/>
    <m/>
    <m/>
    <m/>
    <m/>
    <m/>
    <m/>
    <m/>
    <s v="No"/>
    <n v="262"/>
    <m/>
    <m/>
    <x v="3"/>
    <x v="145"/>
    <x v="69"/>
    <x v="0"/>
    <x v="0"/>
    <x v="1"/>
    <x v="60"/>
    <s v="https://pbs.twimg.com/media/E7VCWcGXMAQx84B.jpg"/>
    <d v="2021-07-28T00:07:26"/>
    <d v="2021-07-28T00:00:00"/>
    <s v="00:07:26"/>
    <s v="https://twitter.com/monieelovee_/status/1420174020666929157"/>
    <m/>
    <m/>
    <s v="1420174020666929157"/>
    <m/>
    <b v="0"/>
    <n v="0"/>
    <s v=""/>
    <b v="0"/>
    <s v="en"/>
    <m/>
    <s v=""/>
    <x v="0"/>
    <n v="21"/>
    <s v="1420114213658402821"/>
    <s v="Twitter for iPhone"/>
    <b v="0"/>
    <s v="1420114213658402821"/>
    <s v="Tweet"/>
    <n v="0"/>
    <n v="0"/>
    <m/>
    <x v="0"/>
    <x v="0"/>
    <x v="0"/>
    <m/>
    <x v="0"/>
    <m/>
    <m/>
    <n v="1"/>
    <s v="2"/>
    <s v="2"/>
  </r>
  <r>
    <x v="59"/>
    <s v="mcnairunc"/>
    <m/>
    <m/>
    <m/>
    <m/>
    <m/>
    <m/>
    <m/>
    <m/>
    <s v="No"/>
    <n v="263"/>
    <m/>
    <m/>
    <x v="4"/>
    <x v="146"/>
    <x v="70"/>
    <x v="10"/>
    <x v="5"/>
    <x v="1"/>
    <x v="27"/>
    <s v="https://pbs.twimg.com/profile_images/1149100954437869568/ADya6w5m_normal.jpg"/>
    <d v="2021-07-28T01:02:49"/>
    <d v="2021-07-28T00:00:00"/>
    <s v="01:02:49"/>
    <s v="https://twitter.com/logangin/status/1420187958502588417"/>
    <m/>
    <m/>
    <s v="1420187958502588417"/>
    <m/>
    <b v="0"/>
    <n v="0"/>
    <s v=""/>
    <b v="1"/>
    <s v="en"/>
    <m/>
    <s v="1420114213658402821"/>
    <x v="0"/>
    <n v="5"/>
    <s v="1420124103806234635"/>
    <s v="Twitter for iPhone"/>
    <b v="0"/>
    <s v="1420124103806234635"/>
    <s v="Tweet"/>
    <n v="0"/>
    <n v="0"/>
    <m/>
    <x v="0"/>
    <x v="0"/>
    <x v="0"/>
    <m/>
    <x v="0"/>
    <m/>
    <m/>
    <n v="1"/>
    <s v="2"/>
    <s v="2"/>
  </r>
  <r>
    <x v="60"/>
    <s v="mcnairunc"/>
    <m/>
    <m/>
    <m/>
    <m/>
    <m/>
    <m/>
    <m/>
    <m/>
    <s v="No"/>
    <n v="264"/>
    <m/>
    <m/>
    <x v="3"/>
    <x v="147"/>
    <x v="69"/>
    <x v="0"/>
    <x v="0"/>
    <x v="1"/>
    <x v="60"/>
    <s v="https://pbs.twimg.com/media/E7VCWcGXMAQx84B.jpg"/>
    <d v="2021-07-28T02:10:04"/>
    <d v="2021-07-28T00:00:00"/>
    <s v="02:10:04"/>
    <s v="https://twitter.com/lamarrichards_/status/1420204880652906500"/>
    <m/>
    <m/>
    <s v="1420204880652906500"/>
    <m/>
    <b v="0"/>
    <n v="0"/>
    <s v=""/>
    <b v="0"/>
    <s v="en"/>
    <m/>
    <s v=""/>
    <x v="0"/>
    <n v="21"/>
    <s v="1420114213658402821"/>
    <s v="Twitter for iPhone"/>
    <b v="0"/>
    <s v="1420114213658402821"/>
    <s v="Tweet"/>
    <n v="0"/>
    <n v="0"/>
    <m/>
    <x v="0"/>
    <x v="0"/>
    <x v="0"/>
    <m/>
    <x v="0"/>
    <m/>
    <m/>
    <n v="1"/>
    <s v="2"/>
    <s v="2"/>
  </r>
  <r>
    <x v="61"/>
    <s v="mcnairunc"/>
    <m/>
    <m/>
    <m/>
    <m/>
    <m/>
    <m/>
    <m/>
    <m/>
    <s v="No"/>
    <n v="265"/>
    <m/>
    <m/>
    <x v="3"/>
    <x v="148"/>
    <x v="69"/>
    <x v="0"/>
    <x v="0"/>
    <x v="1"/>
    <x v="60"/>
    <s v="https://pbs.twimg.com/media/E7VCWcGXMAQx84B.jpg"/>
    <d v="2021-07-28T02:18:28"/>
    <d v="2021-07-28T00:00:00"/>
    <s v="02:18:28"/>
    <s v="https://twitter.com/blasiangoddessx/status/1420206994749861892"/>
    <m/>
    <m/>
    <s v="1420206994749861892"/>
    <m/>
    <b v="0"/>
    <n v="0"/>
    <s v=""/>
    <b v="0"/>
    <s v="en"/>
    <m/>
    <s v=""/>
    <x v="0"/>
    <n v="21"/>
    <s v="1420114213658402821"/>
    <s v="Twitter for iPhone"/>
    <b v="0"/>
    <s v="1420114213658402821"/>
    <s v="Tweet"/>
    <n v="0"/>
    <n v="0"/>
    <m/>
    <x v="0"/>
    <x v="0"/>
    <x v="0"/>
    <m/>
    <x v="0"/>
    <m/>
    <m/>
    <n v="1"/>
    <s v="2"/>
    <s v="2"/>
  </r>
  <r>
    <x v="62"/>
    <s v="mcnairunc"/>
    <m/>
    <m/>
    <m/>
    <m/>
    <m/>
    <m/>
    <m/>
    <m/>
    <s v="No"/>
    <n v="266"/>
    <m/>
    <m/>
    <x v="3"/>
    <x v="149"/>
    <x v="69"/>
    <x v="0"/>
    <x v="0"/>
    <x v="1"/>
    <x v="60"/>
    <s v="https://pbs.twimg.com/media/E7VCWcGXMAQx84B.jpg"/>
    <d v="2021-07-28T02:50:33"/>
    <d v="2021-07-28T00:00:00"/>
    <s v="02:50:33"/>
    <s v="https://twitter.com/jbookthacrook/status/1420215068940292096"/>
    <m/>
    <m/>
    <s v="1420215068940292096"/>
    <m/>
    <b v="0"/>
    <n v="0"/>
    <s v=""/>
    <b v="0"/>
    <s v="en"/>
    <m/>
    <s v=""/>
    <x v="0"/>
    <n v="21"/>
    <s v="1420114213658402821"/>
    <s v="Twitter for iPhone"/>
    <b v="0"/>
    <s v="1420114213658402821"/>
    <s v="Tweet"/>
    <n v="0"/>
    <n v="0"/>
    <m/>
    <x v="0"/>
    <x v="0"/>
    <x v="0"/>
    <m/>
    <x v="0"/>
    <m/>
    <m/>
    <n v="1"/>
    <s v="2"/>
    <s v="2"/>
  </r>
  <r>
    <x v="63"/>
    <s v="mcnairunc"/>
    <m/>
    <m/>
    <m/>
    <m/>
    <m/>
    <m/>
    <m/>
    <m/>
    <s v="No"/>
    <n v="267"/>
    <m/>
    <m/>
    <x v="3"/>
    <x v="150"/>
    <x v="69"/>
    <x v="0"/>
    <x v="0"/>
    <x v="1"/>
    <x v="60"/>
    <s v="https://pbs.twimg.com/media/E7VCWcGXMAQx84B.jpg"/>
    <d v="2021-07-28T04:15:35"/>
    <d v="2021-07-28T00:00:00"/>
    <s v="04:15:35"/>
    <s v="https://twitter.com/nike_bass95/status/1420236468702924801"/>
    <m/>
    <m/>
    <s v="1420236468702924801"/>
    <m/>
    <b v="0"/>
    <n v="0"/>
    <s v=""/>
    <b v="0"/>
    <s v="en"/>
    <m/>
    <s v=""/>
    <x v="0"/>
    <n v="21"/>
    <s v="1420114213658402821"/>
    <s v="Twitter for iPhone"/>
    <b v="0"/>
    <s v="1420114213658402821"/>
    <s v="Tweet"/>
    <n v="0"/>
    <n v="0"/>
    <m/>
    <x v="0"/>
    <x v="0"/>
    <x v="0"/>
    <m/>
    <x v="0"/>
    <m/>
    <m/>
    <n v="1"/>
    <s v="2"/>
    <s v="2"/>
  </r>
  <r>
    <x v="64"/>
    <s v="mcnairunc"/>
    <m/>
    <m/>
    <m/>
    <m/>
    <m/>
    <m/>
    <m/>
    <m/>
    <s v="No"/>
    <n v="268"/>
    <m/>
    <m/>
    <x v="3"/>
    <x v="151"/>
    <x v="69"/>
    <x v="0"/>
    <x v="0"/>
    <x v="1"/>
    <x v="60"/>
    <s v="https://pbs.twimg.com/media/E7VCWcGXMAQx84B.jpg"/>
    <d v="2021-07-28T05:04:26"/>
    <d v="2021-07-28T00:00:00"/>
    <s v="05:04:26"/>
    <s v="https://twitter.com/alitebrand/status/1420248762006523904"/>
    <m/>
    <m/>
    <s v="1420248762006523904"/>
    <m/>
    <b v="0"/>
    <n v="0"/>
    <s v=""/>
    <b v="0"/>
    <s v="en"/>
    <m/>
    <s v=""/>
    <x v="0"/>
    <n v="21"/>
    <s v="1420114213658402821"/>
    <s v="Twitter for iPhone"/>
    <b v="0"/>
    <s v="1420114213658402821"/>
    <s v="Tweet"/>
    <n v="0"/>
    <n v="0"/>
    <m/>
    <x v="0"/>
    <x v="0"/>
    <x v="0"/>
    <m/>
    <x v="0"/>
    <m/>
    <m/>
    <n v="1"/>
    <s v="2"/>
    <s v="2"/>
  </r>
  <r>
    <x v="65"/>
    <s v="mcnairunc"/>
    <m/>
    <m/>
    <m/>
    <m/>
    <m/>
    <m/>
    <m/>
    <m/>
    <s v="No"/>
    <n v="269"/>
    <m/>
    <m/>
    <x v="3"/>
    <x v="152"/>
    <x v="69"/>
    <x v="0"/>
    <x v="0"/>
    <x v="1"/>
    <x v="60"/>
    <s v="https://pbs.twimg.com/media/E7VCWcGXMAQx84B.jpg"/>
    <d v="2021-07-28T10:11:55"/>
    <d v="2021-07-28T00:00:00"/>
    <s v="10:11:55"/>
    <s v="https://twitter.com/lotsofsassblog/status/1420326141664051201"/>
    <m/>
    <m/>
    <s v="1420326141664051201"/>
    <m/>
    <b v="0"/>
    <n v="0"/>
    <s v=""/>
    <b v="0"/>
    <s v="en"/>
    <m/>
    <s v=""/>
    <x v="0"/>
    <n v="21"/>
    <s v="1420114213658402821"/>
    <s v="Twitter for iPhone"/>
    <b v="0"/>
    <s v="1420114213658402821"/>
    <s v="Tweet"/>
    <n v="0"/>
    <n v="0"/>
    <m/>
    <x v="0"/>
    <x v="0"/>
    <x v="0"/>
    <m/>
    <x v="0"/>
    <m/>
    <m/>
    <n v="1"/>
    <s v="2"/>
    <s v="2"/>
  </r>
  <r>
    <x v="66"/>
    <s v="mcnairunc"/>
    <m/>
    <m/>
    <m/>
    <m/>
    <m/>
    <m/>
    <m/>
    <m/>
    <s v="No"/>
    <n v="270"/>
    <m/>
    <m/>
    <x v="3"/>
    <x v="153"/>
    <x v="69"/>
    <x v="0"/>
    <x v="0"/>
    <x v="1"/>
    <x v="60"/>
    <s v="https://pbs.twimg.com/media/E7VCWcGXMAQx84B.jpg"/>
    <d v="2021-07-28T11:32:56"/>
    <d v="2021-07-28T00:00:00"/>
    <s v="11:32:56"/>
    <s v="https://twitter.com/a_r_palmer/status/1420346530595319808"/>
    <m/>
    <m/>
    <s v="1420346530595319808"/>
    <m/>
    <b v="0"/>
    <n v="0"/>
    <s v=""/>
    <b v="0"/>
    <s v="en"/>
    <m/>
    <s v=""/>
    <x v="0"/>
    <n v="21"/>
    <s v="1420114213658402821"/>
    <s v="Twitter for Android"/>
    <b v="0"/>
    <s v="1420114213658402821"/>
    <s v="Tweet"/>
    <n v="0"/>
    <n v="0"/>
    <m/>
    <x v="0"/>
    <x v="0"/>
    <x v="0"/>
    <m/>
    <x v="0"/>
    <m/>
    <m/>
    <n v="1"/>
    <s v="2"/>
    <s v="2"/>
  </r>
  <r>
    <x v="67"/>
    <s v="mcnairunc"/>
    <m/>
    <m/>
    <m/>
    <m/>
    <m/>
    <m/>
    <m/>
    <m/>
    <s v="No"/>
    <n v="271"/>
    <m/>
    <m/>
    <x v="4"/>
    <x v="154"/>
    <x v="70"/>
    <x v="10"/>
    <x v="5"/>
    <x v="1"/>
    <x v="27"/>
    <s v="https://pbs.twimg.com/profile_images/1321252358664454145/7HmMzwjD_normal.jpg"/>
    <d v="2021-07-28T11:52:02"/>
    <d v="2021-07-28T00:00:00"/>
    <s v="11:52:02"/>
    <s v="https://twitter.com/ecsuhonors/status/1420351339348074501"/>
    <m/>
    <m/>
    <s v="1420351339348074501"/>
    <m/>
    <b v="0"/>
    <n v="0"/>
    <s v=""/>
    <b v="1"/>
    <s v="en"/>
    <m/>
    <s v="1420114213658402821"/>
    <x v="0"/>
    <n v="5"/>
    <s v="1420124103806234635"/>
    <s v="Twitter Web App"/>
    <b v="0"/>
    <s v="1420124103806234635"/>
    <s v="Tweet"/>
    <n v="0"/>
    <n v="0"/>
    <m/>
    <x v="0"/>
    <x v="0"/>
    <x v="0"/>
    <m/>
    <x v="0"/>
    <m/>
    <m/>
    <n v="1"/>
    <s v="2"/>
    <s v="2"/>
  </r>
  <r>
    <x v="68"/>
    <s v="mcnairunc"/>
    <m/>
    <m/>
    <m/>
    <m/>
    <m/>
    <m/>
    <m/>
    <m/>
    <s v="No"/>
    <n v="272"/>
    <m/>
    <m/>
    <x v="3"/>
    <x v="155"/>
    <x v="69"/>
    <x v="0"/>
    <x v="0"/>
    <x v="1"/>
    <x v="60"/>
    <s v="https://pbs.twimg.com/media/E7VCWcGXMAQx84B.jpg"/>
    <d v="2021-07-28T12:05:46"/>
    <d v="2021-07-28T00:00:00"/>
    <s v="12:05:46"/>
    <s v="https://twitter.com/adamkirkedge/status/1420354795974668290"/>
    <m/>
    <m/>
    <s v="1420354795974668290"/>
    <m/>
    <b v="0"/>
    <n v="0"/>
    <s v=""/>
    <b v="0"/>
    <s v="en"/>
    <m/>
    <s v=""/>
    <x v="0"/>
    <n v="21"/>
    <s v="1420114213658402821"/>
    <s v="Twitter for Android"/>
    <b v="0"/>
    <s v="1420114213658402821"/>
    <s v="Tweet"/>
    <n v="0"/>
    <n v="0"/>
    <m/>
    <x v="0"/>
    <x v="0"/>
    <x v="0"/>
    <m/>
    <x v="0"/>
    <m/>
    <m/>
    <n v="1"/>
    <s v="2"/>
    <s v="2"/>
  </r>
  <r>
    <x v="69"/>
    <s v="mcnairunc"/>
    <m/>
    <m/>
    <m/>
    <m/>
    <m/>
    <m/>
    <m/>
    <m/>
    <s v="No"/>
    <n v="273"/>
    <m/>
    <m/>
    <x v="1"/>
    <x v="156"/>
    <x v="90"/>
    <x v="0"/>
    <x v="0"/>
    <x v="1"/>
    <x v="27"/>
    <s v="https://pbs.twimg.com/profile_images/3042548870/bfa8c8093e0da871ba9c734f472fe580_normal.jpeg"/>
    <d v="2021-07-28T15:22:33"/>
    <d v="2021-07-28T00:00:00"/>
    <s v="15:22:33"/>
    <s v="https://twitter.com/clcphd2004/status/1420404318184755200"/>
    <m/>
    <m/>
    <s v="1420404318184755200"/>
    <s v="1420114213658402821"/>
    <b v="0"/>
    <n v="4"/>
    <s v="1097348284203585537"/>
    <b v="0"/>
    <s v="en"/>
    <m/>
    <s v=""/>
    <x v="0"/>
    <n v="0"/>
    <s v=""/>
    <s v="Twitter Web App"/>
    <b v="0"/>
    <s v="1420114213658402821"/>
    <s v="Tweet"/>
    <n v="0"/>
    <n v="0"/>
    <m/>
    <x v="0"/>
    <x v="0"/>
    <x v="0"/>
    <m/>
    <x v="0"/>
    <m/>
    <m/>
    <n v="1"/>
    <s v="2"/>
    <s v="2"/>
  </r>
  <r>
    <x v="70"/>
    <s v="kumcnair"/>
    <m/>
    <m/>
    <m/>
    <m/>
    <m/>
    <m/>
    <m/>
    <m/>
    <s v="Yes"/>
    <n v="275"/>
    <m/>
    <m/>
    <x v="1"/>
    <x v="157"/>
    <x v="91"/>
    <x v="0"/>
    <x v="0"/>
    <x v="1"/>
    <x v="69"/>
    <s v="https://pbs.twimg.com/media/E7AvFTuWEAIxRbr.jpg"/>
    <d v="2021-07-23T21:35:47"/>
    <d v="2021-07-23T00:00:00"/>
    <s v="21:35:47"/>
    <s v="https://twitter.com/ceopmedia/status/1418686305224077315"/>
    <m/>
    <m/>
    <s v="1418686305224077315"/>
    <m/>
    <b v="0"/>
    <n v="12"/>
    <s v=""/>
    <b v="0"/>
    <s v="en"/>
    <m/>
    <s v=""/>
    <x v="0"/>
    <n v="1"/>
    <s v=""/>
    <s v="Twitter Web App"/>
    <b v="0"/>
    <s v="1418686305224077315"/>
    <s v="Retweet"/>
    <n v="0"/>
    <n v="0"/>
    <m/>
    <x v="0"/>
    <x v="0"/>
    <x v="0"/>
    <m/>
    <x v="0"/>
    <m/>
    <m/>
    <n v="1"/>
    <s v="14"/>
    <s v="14"/>
  </r>
  <r>
    <x v="71"/>
    <s v="kstatesuccess"/>
    <m/>
    <m/>
    <m/>
    <m/>
    <m/>
    <m/>
    <m/>
    <m/>
    <s v="No"/>
    <n v="276"/>
    <m/>
    <m/>
    <x v="1"/>
    <x v="158"/>
    <x v="92"/>
    <x v="20"/>
    <x v="11"/>
    <x v="39"/>
    <x v="70"/>
    <s v="https://pbs.twimg.com/media/E6_v8_lWUAoUB-Q.jpg"/>
    <d v="2021-07-23T17:04:35"/>
    <d v="2021-07-23T00:00:00"/>
    <s v="17:04:35"/>
    <s v="https://twitter.com/ess_kstate/status/1418618052510470147"/>
    <m/>
    <m/>
    <s v="1418618052510470147"/>
    <m/>
    <b v="0"/>
    <n v="2"/>
    <s v=""/>
    <b v="0"/>
    <s v="en"/>
    <m/>
    <s v=""/>
    <x v="0"/>
    <n v="2"/>
    <s v=""/>
    <s v="Twitter Web App"/>
    <b v="0"/>
    <s v="1418618052510470147"/>
    <s v="Retweet"/>
    <n v="0"/>
    <n v="0"/>
    <m/>
    <x v="0"/>
    <x v="0"/>
    <x v="0"/>
    <m/>
    <x v="0"/>
    <m/>
    <m/>
    <n v="1"/>
    <s v="7"/>
    <s v="7"/>
  </r>
  <r>
    <x v="72"/>
    <s v="kstatesuccess"/>
    <m/>
    <m/>
    <m/>
    <m/>
    <m/>
    <m/>
    <m/>
    <m/>
    <s v="No"/>
    <n v="277"/>
    <m/>
    <m/>
    <x v="3"/>
    <x v="159"/>
    <x v="92"/>
    <x v="20"/>
    <x v="11"/>
    <x v="39"/>
    <x v="70"/>
    <s v="https://pbs.twimg.com/media/E6_v8_lWUAoUB-Q.jpg"/>
    <d v="2021-07-24T17:52:42"/>
    <d v="2021-07-24T00:00:00"/>
    <s v="17:52:42"/>
    <s v="https://twitter.com/aceducation/status/1418992550153687043"/>
    <m/>
    <m/>
    <s v="1418992550153687043"/>
    <m/>
    <b v="0"/>
    <n v="0"/>
    <s v=""/>
    <b v="0"/>
    <s v="en"/>
    <m/>
    <s v=""/>
    <x v="0"/>
    <n v="2"/>
    <s v="1418618052510470147"/>
    <s v="Twitter Web App"/>
    <b v="0"/>
    <s v="1418618052510470147"/>
    <s v="Tweet"/>
    <n v="0"/>
    <n v="0"/>
    <m/>
    <x v="0"/>
    <x v="0"/>
    <x v="0"/>
    <m/>
    <x v="0"/>
    <m/>
    <m/>
    <n v="1"/>
    <s v="7"/>
    <s v="7"/>
  </r>
  <r>
    <x v="73"/>
    <s v="kstatesuccess"/>
    <m/>
    <m/>
    <m/>
    <m/>
    <m/>
    <m/>
    <m/>
    <m/>
    <s v="No"/>
    <n v="278"/>
    <m/>
    <m/>
    <x v="3"/>
    <x v="160"/>
    <x v="92"/>
    <x v="20"/>
    <x v="11"/>
    <x v="39"/>
    <x v="70"/>
    <s v="https://pbs.twimg.com/media/E6_v8_lWUAoUB-Q.jpg"/>
    <d v="2021-07-24T17:58:06"/>
    <d v="2021-07-24T00:00:00"/>
    <s v="17:58:06"/>
    <s v="https://twitter.com/jonriskindatace/status/1418993911645843456"/>
    <m/>
    <m/>
    <s v="1418993911645843456"/>
    <m/>
    <b v="0"/>
    <n v="0"/>
    <s v=""/>
    <b v="0"/>
    <s v="en"/>
    <m/>
    <s v=""/>
    <x v="0"/>
    <n v="2"/>
    <s v="1418618052510470147"/>
    <s v="Twitter for iPhone"/>
    <b v="0"/>
    <s v="1418618052510470147"/>
    <s v="Tweet"/>
    <n v="0"/>
    <n v="0"/>
    <m/>
    <x v="0"/>
    <x v="0"/>
    <x v="0"/>
    <m/>
    <x v="0"/>
    <m/>
    <m/>
    <n v="1"/>
    <s v="7"/>
    <s v="7"/>
  </r>
  <r>
    <x v="26"/>
    <s v="kjcounsel"/>
    <m/>
    <m/>
    <m/>
    <m/>
    <m/>
    <m/>
    <m/>
    <m/>
    <s v="No"/>
    <n v="282"/>
    <m/>
    <m/>
    <x v="4"/>
    <x v="161"/>
    <x v="93"/>
    <x v="0"/>
    <x v="0"/>
    <x v="40"/>
    <x v="71"/>
    <s v="https://pbs.twimg.com/media/E4GT9sbXwAckPlC.jpg"/>
    <d v="2021-07-27T15:40:22"/>
    <d v="2021-07-27T00:00:00"/>
    <s v="15:40:22"/>
    <s v="https://twitter.com/swasaptrio/status/1420046410918027264"/>
    <m/>
    <m/>
    <s v="1420046410918027264"/>
    <m/>
    <b v="0"/>
    <n v="0"/>
    <s v=""/>
    <b v="0"/>
    <s v="en"/>
    <m/>
    <s v=""/>
    <x v="0"/>
    <n v="3"/>
    <s v="1405568263455662082"/>
    <s v="Twitter Web App"/>
    <b v="0"/>
    <s v="1405568263455662082"/>
    <s v="Tweet"/>
    <n v="0"/>
    <n v="0"/>
    <m/>
    <x v="0"/>
    <x v="0"/>
    <x v="0"/>
    <m/>
    <x v="0"/>
    <m/>
    <m/>
    <n v="1"/>
    <s v="6"/>
    <s v="6"/>
  </r>
  <r>
    <x v="74"/>
    <s v="keyofe_pro"/>
    <m/>
    <m/>
    <m/>
    <m/>
    <m/>
    <m/>
    <m/>
    <m/>
    <s v="No"/>
    <n v="283"/>
    <m/>
    <m/>
    <x v="0"/>
    <x v="162"/>
    <x v="94"/>
    <x v="0"/>
    <x v="0"/>
    <x v="1"/>
    <x v="27"/>
    <s v="https://pbs.twimg.com/profile_images/1410294139736952839/I-Umq40g_normal.jpg"/>
    <d v="2021-07-26T13:21:41"/>
    <d v="2021-07-26T00:00:00"/>
    <s v="13:21:41"/>
    <s v="https://twitter.com/keyofe_pro/status/1419649123582631950"/>
    <m/>
    <m/>
    <s v="1419649123582631950"/>
    <m/>
    <b v="0"/>
    <n v="1"/>
    <s v=""/>
    <b v="0"/>
    <s v="en"/>
    <m/>
    <s v=""/>
    <x v="0"/>
    <n v="0"/>
    <s v=""/>
    <s v="Twitter for iPhone"/>
    <b v="0"/>
    <s v="1419649123582631950"/>
    <s v="Tweet"/>
    <n v="0"/>
    <n v="0"/>
    <m/>
    <x v="0"/>
    <x v="0"/>
    <x v="0"/>
    <m/>
    <x v="0"/>
    <m/>
    <m/>
    <n v="1"/>
    <s v="5"/>
    <s v="5"/>
  </r>
  <r>
    <x v="75"/>
    <s v="janetadamsspeak"/>
    <m/>
    <m/>
    <m/>
    <m/>
    <m/>
    <m/>
    <m/>
    <m/>
    <s v="No"/>
    <n v="285"/>
    <m/>
    <m/>
    <x v="0"/>
    <x v="163"/>
    <x v="95"/>
    <x v="0"/>
    <x v="0"/>
    <x v="41"/>
    <x v="72"/>
    <s v="https://pbs.twimg.com/media/E7Oo8tBWYAQa1p-.jpg"/>
    <d v="2021-07-26T14:21:05"/>
    <d v="2021-07-26T00:00:00"/>
    <s v="14:21:05"/>
    <s v="https://twitter.com/janetadamsspeak/status/1419664072442884105"/>
    <m/>
    <m/>
    <s v="1419664072442884105"/>
    <m/>
    <b v="0"/>
    <n v="0"/>
    <s v=""/>
    <b v="0"/>
    <s v="en"/>
    <m/>
    <s v=""/>
    <x v="0"/>
    <n v="0"/>
    <s v=""/>
    <s v="Buffer"/>
    <b v="0"/>
    <s v="1419664072442884105"/>
    <s v="Tweet"/>
    <n v="0"/>
    <n v="0"/>
    <m/>
    <x v="0"/>
    <x v="0"/>
    <x v="0"/>
    <m/>
    <x v="0"/>
    <m/>
    <m/>
    <n v="1"/>
    <s v="5"/>
    <s v="5"/>
  </r>
  <r>
    <x v="29"/>
    <s v="indianatrio"/>
    <m/>
    <m/>
    <m/>
    <m/>
    <m/>
    <m/>
    <m/>
    <m/>
    <s v="No"/>
    <n v="289"/>
    <m/>
    <m/>
    <x v="0"/>
    <x v="164"/>
    <x v="96"/>
    <x v="21"/>
    <x v="12"/>
    <x v="42"/>
    <x v="73"/>
    <s v="https://pbs.twimg.com/media/E7eZM2FWEAAk4p5.jpg"/>
    <d v="2021-07-29T15:46:38"/>
    <d v="2021-07-29T00:00:00"/>
    <s v="15:46:38"/>
    <s v="https://twitter.com/indianatrio/status/1420772765863485440"/>
    <m/>
    <m/>
    <s v="1420772765863485440"/>
    <m/>
    <b v="0"/>
    <n v="0"/>
    <s v=""/>
    <b v="0"/>
    <s v="en"/>
    <m/>
    <s v=""/>
    <x v="0"/>
    <n v="0"/>
    <s v=""/>
    <s v="Twitter Web App"/>
    <b v="0"/>
    <s v="1420772765863485440"/>
    <s v="Tweet"/>
    <n v="0"/>
    <n v="0"/>
    <m/>
    <x v="0"/>
    <x v="0"/>
    <x v="0"/>
    <m/>
    <x v="0"/>
    <m/>
    <m/>
    <n v="1"/>
    <s v="1"/>
    <s v="1"/>
  </r>
  <r>
    <x v="16"/>
    <s v="iflyhouston"/>
    <m/>
    <m/>
    <m/>
    <m/>
    <m/>
    <m/>
    <m/>
    <m/>
    <s v="No"/>
    <n v="291"/>
    <m/>
    <m/>
    <x v="1"/>
    <x v="165"/>
    <x v="97"/>
    <x v="0"/>
    <x v="0"/>
    <x v="43"/>
    <x v="74"/>
    <s v="https://pbs.twimg.com/media/E7PGuLqXEAAocXy.jpg"/>
    <d v="2021-07-26T16:31:12"/>
    <d v="2021-07-26T00:00:00"/>
    <s v="16:31:12"/>
    <s v="https://twitter.com/ub_trio_sjc/status/1419696816849838083"/>
    <m/>
    <m/>
    <s v="1419696816849838083"/>
    <m/>
    <b v="0"/>
    <n v="0"/>
    <s v=""/>
    <b v="0"/>
    <s v="en"/>
    <m/>
    <s v=""/>
    <x v="0"/>
    <n v="0"/>
    <s v=""/>
    <s v="Twitter for Android"/>
    <b v="0"/>
    <s v="1419696816849838083"/>
    <s v="Tweet"/>
    <n v="0"/>
    <n v="0"/>
    <m/>
    <x v="0"/>
    <x v="0"/>
    <x v="0"/>
    <m/>
    <x v="0"/>
    <m/>
    <m/>
    <n v="1"/>
    <s v="10"/>
    <s v="10"/>
  </r>
  <r>
    <x v="76"/>
    <s v="go2missionsc"/>
    <m/>
    <m/>
    <m/>
    <m/>
    <m/>
    <m/>
    <m/>
    <m/>
    <s v="No"/>
    <n v="292"/>
    <m/>
    <m/>
    <x v="1"/>
    <x v="166"/>
    <x v="98"/>
    <x v="0"/>
    <x v="0"/>
    <x v="44"/>
    <x v="75"/>
    <s v="https://pbs.twimg.com/media/E7flQVGUUAETJfT.jpg"/>
    <d v="2021-07-29T21:19:03"/>
    <d v="2021-07-29T00:00:00"/>
    <s v="21:19:03"/>
    <s v="https://twitter.com/trio_sss_mc/status/1420856420522594304"/>
    <m/>
    <m/>
    <s v="1420856420522594304"/>
    <m/>
    <b v="0"/>
    <n v="0"/>
    <s v=""/>
    <b v="0"/>
    <s v="en"/>
    <m/>
    <s v=""/>
    <x v="0"/>
    <n v="0"/>
    <s v=""/>
    <s v="Twitter Web App"/>
    <b v="0"/>
    <s v="1420856420522594304"/>
    <s v="Tweet"/>
    <n v="0"/>
    <n v="0"/>
    <m/>
    <x v="0"/>
    <x v="0"/>
    <x v="0"/>
    <m/>
    <x v="0"/>
    <m/>
    <m/>
    <n v="1"/>
    <s v="13"/>
    <s v="13"/>
  </r>
  <r>
    <x v="77"/>
    <s v="fiu_sss"/>
    <m/>
    <m/>
    <m/>
    <m/>
    <m/>
    <m/>
    <m/>
    <m/>
    <s v="No"/>
    <n v="293"/>
    <m/>
    <m/>
    <x v="2"/>
    <x v="167"/>
    <x v="99"/>
    <x v="22"/>
    <x v="13"/>
    <x v="45"/>
    <x v="76"/>
    <s v="https://pbs.twimg.com/media/E7Os9FjX0AAJ6GO.jpg"/>
    <d v="2021-07-26T14:44:41"/>
    <d v="2021-07-26T00:00:00"/>
    <s v="14:44:41"/>
    <s v="https://twitter.com/fiuferre/status/1419670012516868104"/>
    <m/>
    <m/>
    <s v="1419670012516868104"/>
    <m/>
    <b v="0"/>
    <n v="0"/>
    <s v="398062533"/>
    <b v="0"/>
    <s v="en"/>
    <m/>
    <s v=""/>
    <x v="0"/>
    <n v="0"/>
    <s v=""/>
    <s v="Twitter Web App"/>
    <b v="0"/>
    <s v="1419670012516868104"/>
    <s v="Tweet"/>
    <n v="0"/>
    <n v="0"/>
    <m/>
    <x v="0"/>
    <x v="0"/>
    <x v="0"/>
    <m/>
    <x v="0"/>
    <m/>
    <m/>
    <n v="1"/>
    <s v="12"/>
    <s v="12"/>
  </r>
  <r>
    <x v="78"/>
    <s v="fceatrio"/>
    <m/>
    <m/>
    <m/>
    <m/>
    <m/>
    <m/>
    <m/>
    <m/>
    <s v="No"/>
    <n v="295"/>
    <m/>
    <m/>
    <x v="0"/>
    <x v="168"/>
    <x v="100"/>
    <x v="23"/>
    <x v="14"/>
    <x v="46"/>
    <x v="77"/>
    <s v="https://pbs.twimg.com/ext_tw_video_thumb/1419782084458131459/pu/img/pI-K0wFjdCwZGDfw.jpg"/>
    <d v="2021-07-26T22:10:11"/>
    <d v="2021-07-26T00:00:00"/>
    <s v="22:10:11"/>
    <s v="https://twitter.com/fceatrio/status/1419782124903837697"/>
    <m/>
    <m/>
    <s v="1419782124903837697"/>
    <m/>
    <b v="0"/>
    <n v="1"/>
    <s v=""/>
    <b v="0"/>
    <s v="en"/>
    <m/>
    <s v=""/>
    <x v="0"/>
    <n v="0"/>
    <s v=""/>
    <s v="Loomly"/>
    <b v="0"/>
    <s v="1419782124903837697"/>
    <s v="Tweet"/>
    <n v="0"/>
    <n v="0"/>
    <m/>
    <x v="0"/>
    <x v="0"/>
    <x v="0"/>
    <m/>
    <x v="0"/>
    <m/>
    <m/>
    <n v="1"/>
    <s v="5"/>
    <s v="5"/>
  </r>
  <r>
    <x v="7"/>
    <s v="ekumcnair"/>
    <m/>
    <m/>
    <m/>
    <m/>
    <m/>
    <m/>
    <m/>
    <m/>
    <s v="No"/>
    <n v="298"/>
    <m/>
    <m/>
    <x v="1"/>
    <x v="169"/>
    <x v="101"/>
    <x v="0"/>
    <x v="0"/>
    <x v="47"/>
    <x v="78"/>
    <s v="https://pbs.twimg.com/media/E7ZTTvjX0AIZwC0.jpg"/>
    <d v="2021-07-28T16:02:22"/>
    <d v="2021-07-28T00:00:00"/>
    <s v="16:02:22"/>
    <s v="https://twitter.com/eku_nova/status/1420414335856357376"/>
    <m/>
    <m/>
    <s v="1420414335856357376"/>
    <m/>
    <b v="0"/>
    <n v="1"/>
    <s v=""/>
    <b v="0"/>
    <s v="en"/>
    <m/>
    <s v=""/>
    <x v="0"/>
    <n v="0"/>
    <s v=""/>
    <s v="Hootsuite Inc."/>
    <b v="0"/>
    <s v="1420414335856357376"/>
    <s v="Tweet"/>
    <n v="0"/>
    <n v="0"/>
    <m/>
    <x v="0"/>
    <x v="0"/>
    <x v="0"/>
    <m/>
    <x v="0"/>
    <m/>
    <m/>
    <n v="1"/>
    <s v="11"/>
    <s v="11"/>
  </r>
  <r>
    <x v="79"/>
    <s v="coetalk"/>
    <m/>
    <m/>
    <m/>
    <m/>
    <m/>
    <m/>
    <m/>
    <m/>
    <s v="Yes"/>
    <n v="303"/>
    <m/>
    <m/>
    <x v="2"/>
    <x v="170"/>
    <x v="102"/>
    <x v="0"/>
    <x v="0"/>
    <x v="1"/>
    <x v="27"/>
    <s v="https://pbs.twimg.com/profile_images/1277648169476685824/byxD6bs4_normal.jpg"/>
    <d v="2021-07-27T23:53:24"/>
    <d v="2021-07-27T00:00:00"/>
    <s v="23:53:24"/>
    <s v="https://twitter.com/pisancheznyc/status/1420170486227611648"/>
    <m/>
    <m/>
    <s v="1420170486227611648"/>
    <s v="1420012347259867148"/>
    <b v="0"/>
    <n v="2"/>
    <s v="105154667"/>
    <b v="0"/>
    <s v="en"/>
    <m/>
    <s v=""/>
    <x v="0"/>
    <n v="0"/>
    <s v=""/>
    <s v="Twitter Web App"/>
    <b v="0"/>
    <s v="1420012347259867148"/>
    <s v="Tweet"/>
    <n v="0"/>
    <n v="0"/>
    <m/>
    <x v="0"/>
    <x v="0"/>
    <x v="0"/>
    <m/>
    <x v="0"/>
    <m/>
    <m/>
    <n v="1"/>
    <s v="1"/>
    <s v="1"/>
  </r>
  <r>
    <x v="80"/>
    <s v="coetalk"/>
    <m/>
    <m/>
    <m/>
    <m/>
    <m/>
    <m/>
    <m/>
    <m/>
    <s v="Yes"/>
    <n v="311"/>
    <m/>
    <m/>
    <x v="1"/>
    <x v="171"/>
    <x v="62"/>
    <x v="0"/>
    <x v="0"/>
    <x v="1"/>
    <x v="53"/>
    <s v="https://pbs.twimg.com/media/E7fhzF6XsAAoddH.jpg"/>
    <d v="2021-07-29T22:18:00"/>
    <d v="2021-07-29T00:00:00"/>
    <s v="22:18:00"/>
    <s v="https://twitter.com/seccardona/status/1420871254492565510"/>
    <m/>
    <m/>
    <s v="1420871254492565510"/>
    <m/>
    <b v="0"/>
    <n v="60"/>
    <s v=""/>
    <b v="0"/>
    <s v="en"/>
    <m/>
    <s v=""/>
    <x v="0"/>
    <n v="14"/>
    <s v=""/>
    <s v="Twitter Web App"/>
    <b v="0"/>
    <s v="1420871254492565510"/>
    <s v="Tweet"/>
    <n v="0"/>
    <n v="0"/>
    <m/>
    <x v="0"/>
    <x v="0"/>
    <x v="0"/>
    <m/>
    <x v="0"/>
    <m/>
    <m/>
    <n v="1"/>
    <s v="1"/>
    <s v="1"/>
  </r>
  <r>
    <x v="81"/>
    <s v="cheopunc"/>
    <m/>
    <m/>
    <m/>
    <m/>
    <m/>
    <m/>
    <m/>
    <m/>
    <s v="No"/>
    <n v="329"/>
    <m/>
    <m/>
    <x v="1"/>
    <x v="172"/>
    <x v="70"/>
    <x v="10"/>
    <x v="5"/>
    <x v="1"/>
    <x v="27"/>
    <s v="https://pbs.twimg.com/profile_images/694541205259042818/QcSFzUsp_normal.png"/>
    <d v="2021-07-27T20:49:05"/>
    <d v="2021-07-27T00:00:00"/>
    <s v="20:49:05"/>
    <s v="https://twitter.com/mcnairunc/status/1420124103806234635"/>
    <m/>
    <m/>
    <s v="1420124103806234635"/>
    <m/>
    <b v="0"/>
    <n v="35"/>
    <s v=""/>
    <b v="1"/>
    <s v="en"/>
    <m/>
    <s v="1420114213658402821"/>
    <x v="0"/>
    <n v="5"/>
    <s v=""/>
    <s v="Twitter Web App"/>
    <b v="0"/>
    <s v="1420124103806234635"/>
    <s v="Tweet"/>
    <n v="0"/>
    <n v="0"/>
    <m/>
    <x v="0"/>
    <x v="0"/>
    <x v="0"/>
    <m/>
    <x v="0"/>
    <m/>
    <m/>
    <n v="1"/>
    <s v="2"/>
    <s v="2"/>
  </r>
  <r>
    <x v="82"/>
    <s v="ceopmedia"/>
    <m/>
    <m/>
    <m/>
    <m/>
    <m/>
    <m/>
    <m/>
    <m/>
    <s v="Yes"/>
    <n v="335"/>
    <m/>
    <m/>
    <x v="4"/>
    <x v="173"/>
    <x v="91"/>
    <x v="0"/>
    <x v="0"/>
    <x v="1"/>
    <x v="69"/>
    <s v="https://pbs.twimg.com/media/E7AvFTuWEAIxRbr.jpg"/>
    <d v="2021-07-24T19:15:57"/>
    <d v="2021-07-24T00:00:00"/>
    <s v="19:15:57"/>
    <s v="https://twitter.com/kumcnair/status/1419013502350630914"/>
    <m/>
    <m/>
    <s v="1419013502350630914"/>
    <m/>
    <b v="0"/>
    <n v="0"/>
    <s v=""/>
    <b v="0"/>
    <s v="en"/>
    <m/>
    <s v=""/>
    <x v="0"/>
    <n v="1"/>
    <s v="1418686305224077315"/>
    <s v="Twitter Web App"/>
    <b v="0"/>
    <s v="1418686305224077315"/>
    <s v="Tweet"/>
    <n v="0"/>
    <n v="0"/>
    <m/>
    <x v="0"/>
    <x v="0"/>
    <x v="0"/>
    <m/>
    <x v="0"/>
    <m/>
    <m/>
    <n v="1"/>
    <s v="14"/>
    <s v="14"/>
  </r>
  <r>
    <x v="21"/>
    <s v="aeeetrio"/>
    <m/>
    <m/>
    <m/>
    <m/>
    <m/>
    <m/>
    <m/>
    <m/>
    <s v="No"/>
    <n v="340"/>
    <m/>
    <m/>
    <x v="0"/>
    <x v="174"/>
    <x v="103"/>
    <x v="0"/>
    <x v="0"/>
    <x v="48"/>
    <x v="27"/>
    <s v="https://pbs.twimg.com/profile_images/1409551882087960582/EN_K-fIZ_normal.jpg"/>
    <d v="2021-07-28T22:58:26"/>
    <d v="2021-07-28T00:00:00"/>
    <s v="22:58:26"/>
    <s v="https://twitter.com/aeeetrio/status/1420519044868972545"/>
    <m/>
    <m/>
    <s v="1420519044868972545"/>
    <m/>
    <b v="0"/>
    <n v="1"/>
    <s v=""/>
    <b v="0"/>
    <s v="en"/>
    <m/>
    <s v=""/>
    <x v="0"/>
    <n v="0"/>
    <s v=""/>
    <s v="Twitter Web App"/>
    <b v="0"/>
    <s v="1420519044868972545"/>
    <s v="Tweet"/>
    <n v="0"/>
    <n v="0"/>
    <m/>
    <x v="0"/>
    <x v="0"/>
    <x v="0"/>
    <m/>
    <x v="0"/>
    <m/>
    <m/>
    <n v="1"/>
    <s v="8"/>
    <s v="8"/>
  </r>
  <r>
    <x v="83"/>
    <s v="_maburnett"/>
    <m/>
    <m/>
    <m/>
    <m/>
    <m/>
    <m/>
    <m/>
    <m/>
    <s v="No"/>
    <n v="343"/>
    <m/>
    <m/>
    <x v="2"/>
    <x v="175"/>
    <x v="104"/>
    <x v="0"/>
    <x v="0"/>
    <x v="1"/>
    <x v="27"/>
    <s v="https://pbs.twimg.com/profile_images/1416529138287104004/CkD5igB__normal.jpg"/>
    <d v="2021-07-27T20:25:06"/>
    <d v="2021-07-27T00:00:00"/>
    <s v="20:25:06"/>
    <s v="https://twitter.com/252trinnettec/status/1420118065921073152"/>
    <m/>
    <m/>
    <s v="1420118065921073152"/>
    <s v="1420114213658402821"/>
    <b v="0"/>
    <n v="2"/>
    <s v="1097348284203585537"/>
    <b v="0"/>
    <s v="en"/>
    <m/>
    <s v=""/>
    <x v="0"/>
    <n v="0"/>
    <s v=""/>
    <s v="Twitter for iPhone"/>
    <b v="0"/>
    <s v="1420114213658402821"/>
    <s v="Tweet"/>
    <n v="0"/>
    <n v="0"/>
    <m/>
    <x v="0"/>
    <x v="0"/>
    <x v="0"/>
    <m/>
    <x v="0"/>
    <m/>
    <m/>
    <n v="1"/>
    <s v="2"/>
    <s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CE39CC-8310-4AE4-A1F8-3A16727FA643}" name="TimeSeries" cacheId="0"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1">
  <location ref="A25:B40" firstHeaderRow="1" firstDataRow="1" firstDataCol="1"/>
  <pivotFields count="59">
    <pivotField showAll="0">
      <items count="85">
        <item x="52"/>
        <item x="13"/>
        <item x="83"/>
        <item x="39"/>
        <item x="66"/>
        <item x="12"/>
        <item x="72"/>
        <item x="68"/>
        <item x="24"/>
        <item x="21"/>
        <item x="64"/>
        <item x="30"/>
        <item x="55"/>
        <item x="61"/>
        <item x="54"/>
        <item x="70"/>
        <item x="69"/>
        <item x="11"/>
        <item x="43"/>
        <item x="35"/>
        <item x="48"/>
        <item x="67"/>
        <item x="5"/>
        <item x="7"/>
        <item x="71"/>
        <item x="78"/>
        <item x="77"/>
        <item x="23"/>
        <item x="46"/>
        <item x="29"/>
        <item x="0"/>
        <item x="27"/>
        <item x="9"/>
        <item x="75"/>
        <item x="62"/>
        <item x="42"/>
        <item x="73"/>
        <item x="34"/>
        <item x="56"/>
        <item x="74"/>
        <item x="45"/>
        <item x="82"/>
        <item x="60"/>
        <item x="4"/>
        <item x="59"/>
        <item x="65"/>
        <item x="81"/>
        <item x="57"/>
        <item x="47"/>
        <item x="31"/>
        <item x="58"/>
        <item x="2"/>
        <item x="38"/>
        <item x="19"/>
        <item x="6"/>
        <item x="63"/>
        <item x="40"/>
        <item x="53"/>
        <item x="36"/>
        <item x="79"/>
        <item x="41"/>
        <item x="51"/>
        <item x="80"/>
        <item x="32"/>
        <item x="49"/>
        <item x="28"/>
        <item x="22"/>
        <item x="25"/>
        <item x="33"/>
        <item x="26"/>
        <item x="3"/>
        <item x="50"/>
        <item x="37"/>
        <item x="76"/>
        <item x="20"/>
        <item x="18"/>
        <item x="17"/>
        <item x="8"/>
        <item x="15"/>
        <item x="16"/>
        <item x="1"/>
        <item x="14"/>
        <item x="44"/>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1"/>
        <item x="3"/>
        <item x="2"/>
        <item x="4"/>
        <item x="0"/>
        <item t="default"/>
      </items>
    </pivotField>
    <pivotField axis="axisRow" dataField="1"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06">
        <item x="59"/>
        <item x="60"/>
        <item x="79"/>
        <item x="66"/>
        <item x="64"/>
        <item x="104"/>
        <item x="90"/>
        <item x="28"/>
        <item x="32"/>
        <item x="33"/>
        <item x="31"/>
        <item x="29"/>
        <item x="30"/>
        <item x="34"/>
        <item x="35"/>
        <item x="25"/>
        <item x="37"/>
        <item x="102"/>
        <item x="99"/>
        <item x="89"/>
        <item x="78"/>
        <item x="69"/>
        <item x="94"/>
        <item x="86"/>
        <item x="68"/>
        <item x="41"/>
        <item x="73"/>
        <item x="82"/>
        <item x="1"/>
        <item x="6"/>
        <item x="10"/>
        <item x="5"/>
        <item x="7"/>
        <item x="8"/>
        <item x="2"/>
        <item x="9"/>
        <item x="4"/>
        <item x="39"/>
        <item x="50"/>
        <item x="65"/>
        <item x="63"/>
        <item x="87"/>
        <item x="11"/>
        <item x="20"/>
        <item x="14"/>
        <item x="13"/>
        <item x="19"/>
        <item x="18"/>
        <item x="15"/>
        <item x="16"/>
        <item x="17"/>
        <item x="21"/>
        <item x="12"/>
        <item x="38"/>
        <item x="61"/>
        <item x="92"/>
        <item x="67"/>
        <item x="22"/>
        <item x="91"/>
        <item x="81"/>
        <item x="95"/>
        <item x="96"/>
        <item x="62"/>
        <item x="48"/>
        <item x="49"/>
        <item x="44"/>
        <item x="47"/>
        <item x="46"/>
        <item x="76"/>
        <item x="51"/>
        <item x="40"/>
        <item x="43"/>
        <item x="27"/>
        <item x="26"/>
        <item x="36"/>
        <item x="42"/>
        <item x="54"/>
        <item x="53"/>
        <item x="103"/>
        <item x="84"/>
        <item x="93"/>
        <item x="98"/>
        <item x="83"/>
        <item x="3"/>
        <item x="45"/>
        <item x="75"/>
        <item x="72"/>
        <item x="77"/>
        <item x="24"/>
        <item x="23"/>
        <item x="0"/>
        <item x="71"/>
        <item x="80"/>
        <item x="101"/>
        <item x="74"/>
        <item x="70"/>
        <item x="97"/>
        <item x="52"/>
        <item x="100"/>
        <item x="85"/>
        <item x="56"/>
        <item x="58"/>
        <item x="57"/>
        <item x="88"/>
        <item x="55"/>
        <item t="default"/>
      </items>
    </pivotField>
    <pivotField showAll="0">
      <items count="25">
        <item x="21"/>
        <item x="20"/>
        <item x="23"/>
        <item x="13"/>
        <item x="22"/>
        <item x="5"/>
        <item x="19"/>
        <item x="6"/>
        <item x="7"/>
        <item x="8"/>
        <item x="18"/>
        <item x="17"/>
        <item x="12"/>
        <item x="10"/>
        <item x="15"/>
        <item x="14"/>
        <item x="9"/>
        <item x="4"/>
        <item x="11"/>
        <item x="1"/>
        <item x="16"/>
        <item x="3"/>
        <item x="2"/>
        <item x="0"/>
        <item t="default"/>
      </items>
    </pivotField>
    <pivotField showAll="0">
      <items count="16">
        <item x="3"/>
        <item x="11"/>
        <item x="13"/>
        <item x="14"/>
        <item x="10"/>
        <item x="8"/>
        <item x="6"/>
        <item x="12"/>
        <item x="9"/>
        <item x="7"/>
        <item x="4"/>
        <item x="5"/>
        <item x="2"/>
        <item x="1"/>
        <item x="0"/>
        <item t="default"/>
      </items>
    </pivotField>
    <pivotField showAll="0">
      <items count="50">
        <item x="48"/>
        <item x="5"/>
        <item x="41"/>
        <item x="25"/>
        <item x="7"/>
        <item x="46"/>
        <item x="32"/>
        <item x="3"/>
        <item x="39"/>
        <item x="17"/>
        <item x="37"/>
        <item x="15"/>
        <item x="16"/>
        <item x="18"/>
        <item x="45"/>
        <item x="4"/>
        <item x="36"/>
        <item x="42"/>
        <item x="0"/>
        <item x="12"/>
        <item x="13"/>
        <item x="14"/>
        <item x="19"/>
        <item x="23"/>
        <item x="34"/>
        <item x="24"/>
        <item x="40"/>
        <item x="20"/>
        <item x="8"/>
        <item x="43"/>
        <item x="31"/>
        <item x="38"/>
        <item x="44"/>
        <item x="2"/>
        <item x="33"/>
        <item x="21"/>
        <item x="1"/>
        <item x="30"/>
        <item x="22"/>
        <item x="9"/>
        <item x="11"/>
        <item x="29"/>
        <item x="10"/>
        <item x="35"/>
        <item x="47"/>
        <item x="6"/>
        <item x="28"/>
        <item x="26"/>
        <item x="27"/>
        <item t="default"/>
      </items>
    </pivotField>
    <pivotField showAll="0">
      <items count="80">
        <item x="58"/>
        <item x="77"/>
        <item x="54"/>
        <item x="5"/>
        <item x="56"/>
        <item x="16"/>
        <item x="19"/>
        <item x="21"/>
        <item x="38"/>
        <item x="71"/>
        <item x="67"/>
        <item x="37"/>
        <item x="40"/>
        <item x="70"/>
        <item x="22"/>
        <item x="23"/>
        <item x="24"/>
        <item x="35"/>
        <item x="31"/>
        <item x="28"/>
        <item x="30"/>
        <item x="29"/>
        <item x="32"/>
        <item x="33"/>
        <item x="34"/>
        <item x="69"/>
        <item x="55"/>
        <item x="44"/>
        <item x="36"/>
        <item x="41"/>
        <item x="73"/>
        <item x="49"/>
        <item x="51"/>
        <item x="53"/>
        <item x="75"/>
        <item x="0"/>
        <item x="57"/>
        <item x="1"/>
        <item x="2"/>
        <item x="3"/>
        <item x="66"/>
        <item x="4"/>
        <item x="45"/>
        <item x="6"/>
        <item x="7"/>
        <item x="8"/>
        <item x="20"/>
        <item x="9"/>
        <item x="10"/>
        <item x="11"/>
        <item x="52"/>
        <item x="12"/>
        <item x="13"/>
        <item x="15"/>
        <item x="14"/>
        <item x="17"/>
        <item x="18"/>
        <item x="50"/>
        <item x="42"/>
        <item x="72"/>
        <item x="76"/>
        <item x="46"/>
        <item x="25"/>
        <item x="64"/>
        <item x="63"/>
        <item x="74"/>
        <item x="39"/>
        <item x="65"/>
        <item x="26"/>
        <item x="43"/>
        <item x="47"/>
        <item x="68"/>
        <item x="61"/>
        <item x="60"/>
        <item x="62"/>
        <item x="48"/>
        <item x="78"/>
        <item x="59"/>
        <item x="27"/>
        <item t="default"/>
      </items>
    </pivotField>
    <pivotField showAll="0"/>
    <pivotField numFmtId="22"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
        <item x="0"/>
        <item t="default"/>
      </items>
    </pivotField>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items count="12">
        <item x="6"/>
        <item x="4"/>
        <item x="5"/>
        <item x="1"/>
        <item x="8"/>
        <item x="9"/>
        <item x="3"/>
        <item x="10"/>
        <item x="7"/>
        <item x="2"/>
        <item x="0"/>
        <item t="default"/>
      </items>
    </pivotField>
    <pivotField showAll="0"/>
    <pivotField showAll="0">
      <items count="12">
        <item x="6"/>
        <item x="4"/>
        <item x="5"/>
        <item x="1"/>
        <item x="8"/>
        <item x="9"/>
        <item x="3"/>
        <item x="10"/>
        <item x="7"/>
        <item x="2"/>
        <item x="0"/>
        <item t="default"/>
      </items>
    </pivotField>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3">
    <field x="58"/>
    <field x="57"/>
    <field x="15"/>
  </rowFields>
  <rowItems count="15">
    <i>
      <x v="1"/>
    </i>
    <i r="1">
      <x v="7"/>
    </i>
    <i r="2">
      <x v="194"/>
    </i>
    <i r="2">
      <x v="205"/>
    </i>
    <i r="2">
      <x v="206"/>
    </i>
    <i r="2">
      <x v="207"/>
    </i>
    <i r="2">
      <x v="208"/>
    </i>
    <i r="2">
      <x v="209"/>
    </i>
    <i r="2">
      <x v="210"/>
    </i>
    <i r="2">
      <x v="211"/>
    </i>
    <i r="2">
      <x v="212"/>
    </i>
    <i r="2">
      <x v="213"/>
    </i>
    <i r="1">
      <x v="8"/>
    </i>
    <i r="2">
      <x v="214"/>
    </i>
    <i t="grand">
      <x/>
    </i>
  </rowItems>
  <colItems count="1">
    <i/>
  </colItems>
  <dataFields count="1">
    <dataField name="Count of Relationship Date (UTC)" fld="1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BE362" totalsRowShown="0" headerRowDxfId="438" dataDxfId="437">
  <autoFilter ref="A2:BE362" xr:uid="{00000000-0009-0000-0100-000001000000}"/>
  <sortState ref="A3:BE362">
    <sortCondition descending="1" ref="BC2:BC362"/>
  </sortState>
  <tableColumns count="57">
    <tableColumn id="1" xr3:uid="{00000000-0010-0000-0000-000001000000}" name="Vertex 1" dataDxfId="436" dataCellStyle="NodeXL Required"/>
    <tableColumn id="2" xr3:uid="{00000000-0010-0000-0000-000002000000}" name="Vertex 2" dataDxfId="435" dataCellStyle="NodeXL Required"/>
    <tableColumn id="3" xr3:uid="{00000000-0010-0000-0000-000003000000}" name="Color" dataDxfId="434" dataCellStyle="NodeXL Visual Property"/>
    <tableColumn id="4" xr3:uid="{00000000-0010-0000-0000-000004000000}" name="Width" dataDxfId="433" dataCellStyle="NodeXL Visual Property"/>
    <tableColumn id="11" xr3:uid="{00000000-0010-0000-0000-00000B000000}" name="Style" dataDxfId="432" dataCellStyle="NodeXL Visual Property"/>
    <tableColumn id="5" xr3:uid="{00000000-0010-0000-0000-000005000000}" name="Opacity" dataDxfId="431" dataCellStyle="NodeXL Visual Property"/>
    <tableColumn id="6" xr3:uid="{00000000-0010-0000-0000-000006000000}" name="Visibility" dataDxfId="430" dataCellStyle="NodeXL Visual Property"/>
    <tableColumn id="10" xr3:uid="{00000000-0010-0000-0000-00000A000000}" name="Label" dataDxfId="429" dataCellStyle="NodeXL Label"/>
    <tableColumn id="12" xr3:uid="{00000000-0010-0000-0000-00000C000000}" name="Label Text Color" dataDxfId="428" dataCellStyle="NodeXL Label"/>
    <tableColumn id="13" xr3:uid="{00000000-0010-0000-0000-00000D000000}" name="Label Font Size" dataDxfId="427" dataCellStyle="NodeXL Label"/>
    <tableColumn id="14" xr3:uid="{00000000-0010-0000-0000-00000E000000}" name="Reciprocated?" dataDxfId="426" dataCellStyle="NodeXL Graph Metric"/>
    <tableColumn id="7" xr3:uid="{00000000-0010-0000-0000-000007000000}" name="ID" dataDxfId="425" dataCellStyle="NodeXL Do Not Edit"/>
    <tableColumn id="9" xr3:uid="{00000000-0010-0000-0000-000009000000}" name="Dynamic Filter" dataDxfId="424" dataCellStyle="NodeXL Do Not Edit">
      <calculatedColumnFormula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calculatedColumnFormula>
    </tableColumn>
    <tableColumn id="8" xr3:uid="{00000000-0010-0000-0000-000008000000}" name="Add Your Own Columns Here" dataDxfId="423" dataCellStyle="NodeXL Other Column"/>
    <tableColumn id="15" xr3:uid="{A3F71B32-4280-4098-A386-D38E1C448494}" name="Relationship" dataDxfId="422" dataCellStyle="Normal"/>
    <tableColumn id="16" xr3:uid="{411FECA7-35F6-48DC-8B89-7457E1D72DFE}" name="Relationship Date (UTC)" dataDxfId="421" dataCellStyle="Normal"/>
    <tableColumn id="17" xr3:uid="{74D4B7AB-4D05-455F-BF14-8C1FCB5E8BFA}" name="Tweet" dataDxfId="420" dataCellStyle="Normal"/>
    <tableColumn id="18" xr3:uid="{99B925F7-65FF-48CC-BA54-E8007781CD91}" name="URLs in Tweet" dataDxfId="419" dataCellStyle="Normal"/>
    <tableColumn id="19" xr3:uid="{364079D5-CEBB-4DE6-A8C1-F7A2580EB6DD}" name="Domains in Tweet" dataDxfId="418" dataCellStyle="Normal"/>
    <tableColumn id="20" xr3:uid="{E9C28FAA-8D00-42BE-8B72-6C472A37D190}" name="Hashtags in Tweet" dataDxfId="417" dataCellStyle="Normal"/>
    <tableColumn id="21" xr3:uid="{DBE5DD78-3C06-4A52-8B9F-1630E2A9B013}" name="Media in Tweet" dataDxfId="416" dataCellStyle="Normal"/>
    <tableColumn id="22" xr3:uid="{A46009D8-BB21-4070-A511-FE9D1041FDB0}" name="Tweet Image File" dataDxfId="415" dataCellStyle="Normal"/>
    <tableColumn id="23" xr3:uid="{EC1BD9A3-1ACB-456E-8F4B-17A3692FC0BA}" name="Tweet Date (UTC)" dataDxfId="414" dataCellStyle="Normal"/>
    <tableColumn id="24" xr3:uid="{9FF2284B-EF1F-4EFD-9A44-403AC6D1E5D1}" name="Date" dataDxfId="413" dataCellStyle="Normal"/>
    <tableColumn id="25" xr3:uid="{EC1698D2-3EE2-4DF8-9D67-3ED4F173DC9F}" name="Time" dataDxfId="412" dataCellStyle="Normal"/>
    <tableColumn id="26" xr3:uid="{06CC3E1E-CD1C-4AC2-94C3-4D2E0A0A720B}" name="Twitter Page for Tweet" dataDxfId="411" dataCellStyle="Normal"/>
    <tableColumn id="27" xr3:uid="{988A3CDA-E356-4537-8FD9-B41E1F7332F5}" name="Latitude" dataDxfId="410" dataCellStyle="Normal"/>
    <tableColumn id="28" xr3:uid="{8D9782F0-D0F5-4BCA-A3F1-18A8533A2447}" name="Longitude" dataDxfId="409" dataCellStyle="Normal"/>
    <tableColumn id="29" xr3:uid="{38C76527-67BA-4A46-89E9-5F3D71E85B5A}" name="Imported ID" dataDxfId="408" dataCellStyle="Normal"/>
    <tableColumn id="30" xr3:uid="{5A7295C4-4907-4597-AB83-51F0DA7F78DE}" name="In-Reply-To Tweet ID" dataDxfId="407" dataCellStyle="Normal"/>
    <tableColumn id="31" xr3:uid="{44C3399D-BC46-4D68-B409-FD24436F1D1A}" name="Favorited" dataDxfId="406" dataCellStyle="Normal"/>
    <tableColumn id="32" xr3:uid="{F6A638D0-6854-4202-A509-14B7BC70C9F1}" name="Favorite Count" dataDxfId="405" dataCellStyle="Normal"/>
    <tableColumn id="33" xr3:uid="{1CCE3265-9CE3-4ACD-804C-AA06944B47D6}" name="In-Reply-To User ID" dataDxfId="404" dataCellStyle="Normal"/>
    <tableColumn id="34" xr3:uid="{8B7032BE-4822-4197-BDD9-BBA2D34BB6A6}" name="Is Quote Status" dataDxfId="403" dataCellStyle="Normal"/>
    <tableColumn id="35" xr3:uid="{860569D3-920B-4536-B63C-4FEB6623E539}" name="Language" dataDxfId="402" dataCellStyle="Normal"/>
    <tableColumn id="36" xr3:uid="{BD5394FE-CC47-4775-AD55-A768C4ECB55A}" name="Possibly Sensitive" dataDxfId="401" dataCellStyle="Normal"/>
    <tableColumn id="37" xr3:uid="{9CBDFF55-D047-4403-8456-958BC7C52496}" name="Quoted Status ID" dataDxfId="400" dataCellStyle="Normal"/>
    <tableColumn id="38" xr3:uid="{DE2D1D78-EF1A-40E8-A69D-E38DBBA89E38}" name="Retweeted" dataDxfId="399" dataCellStyle="Normal"/>
    <tableColumn id="39" xr3:uid="{01974360-6237-4A9D-9A4F-0C2963B225B7}" name="Retweet Count" dataDxfId="398" dataCellStyle="Normal"/>
    <tableColumn id="40" xr3:uid="{15917087-7E20-49D7-A42A-064C5A715F4B}" name="Retweet ID" dataDxfId="397" dataCellStyle="Normal"/>
    <tableColumn id="41" xr3:uid="{CE20B626-D927-4D0F-89C8-B9738A6B043B}" name="Source" dataDxfId="396" dataCellStyle="Normal"/>
    <tableColumn id="42" xr3:uid="{D53F8FBC-1784-487B-A1D8-EC34A31DFF5E}" name="Truncated" dataDxfId="395" dataCellStyle="Normal"/>
    <tableColumn id="43" xr3:uid="{54F57284-03D9-4E8B-928F-26CB84F1575B}" name="Unified Twitter ID" dataDxfId="394" dataCellStyle="Normal"/>
    <tableColumn id="44" xr3:uid="{C135BF6A-4EC0-4BC6-ACB2-EC8AA2C4CCD3}" name="Imported Tweet Type" dataDxfId="393" dataCellStyle="Normal"/>
    <tableColumn id="45" xr3:uid="{9DB0D64F-ADA6-40F7-B654-61BF1EFB5C7B}" name="Added By Extended Analysis" dataDxfId="392" dataCellStyle="Normal"/>
    <tableColumn id="46" xr3:uid="{CD8BED3E-AE33-4D5C-A4AE-43B66EDC603B}" name="Corrected By Extended Analysis" dataDxfId="391" dataCellStyle="Normal"/>
    <tableColumn id="47" xr3:uid="{B19ACCBB-476B-4BA4-89F2-7CBE3F3DE0AB}" name="Place Bounding Box" dataDxfId="390" dataCellStyle="Normal"/>
    <tableColumn id="48" xr3:uid="{2F3CD36D-D0C8-48FD-8856-1A69576757D7}" name="Place Country" dataDxfId="389" dataCellStyle="Normal"/>
    <tableColumn id="49" xr3:uid="{0135D605-3B01-4EDB-A070-75A8A926C481}" name="Place Country Code" dataDxfId="388" dataCellStyle="Normal"/>
    <tableColumn id="50" xr3:uid="{257044AA-24E8-4F82-87A8-82BC84068684}" name="Place Full Name" dataDxfId="387" dataCellStyle="Normal"/>
    <tableColumn id="51" xr3:uid="{73AD7A0A-F083-4063-92FC-BA740CF7D83F}" name="Place ID" dataDxfId="386" dataCellStyle="Normal"/>
    <tableColumn id="52" xr3:uid="{B1507925-1E8F-486C-A5E7-F1741B8A0683}" name="Place Name" dataDxfId="385" dataCellStyle="Normal"/>
    <tableColumn id="53" xr3:uid="{8C91AC87-113C-4050-83B0-B7EBAE598209}" name="Place Type" dataDxfId="384" dataCellStyle="Normal"/>
    <tableColumn id="54" xr3:uid="{8FF164C2-9616-474D-81BB-92C3ECC61162}" name="Place URL" dataDxfId="383" dataCellStyle="Normal"/>
    <tableColumn id="55" xr3:uid="{72C92B29-BFFE-4046-9BC8-97AEE3E09065}" name="Edge Weight" dataCellStyle="Normal"/>
    <tableColumn id="56" xr3:uid="{BBFAFC67-86A3-4262-89E3-73C1941D8260}" name="Vertex 1 Group" dataDxfId="382" dataCellStyle="Normal">
      <calculatedColumnFormula>REPLACE(INDEX(GroupVertices[Group], MATCH(Edges[[#This Row],[Vertex 1]],GroupVertices[Vertex],0)),1,1,"")</calculatedColumnFormula>
    </tableColumn>
    <tableColumn id="57" xr3:uid="{01EFED68-27F2-4A08-B784-19554C959FC4}" name="Vertex 2 Group" dataDxfId="381" dataCellStyle="Normal">
      <calculatedColumnFormula>REPLACE(INDEX(GroupVertices[Group], MATCH(Edges[[#This Row],[Vertex 2]],GroupVertices[Vertex],0)),1,1,"")</calculatedColumnFormula>
    </table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7" totalsRowShown="0" headerRowDxfId="279">
  <autoFilter ref="M1:P27"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3081439-82CB-4053-86D3-70DE401A26F4}" name="GroupEdges" displayName="GroupEdges" ref="A2:C22" totalsRowShown="0" headerRowDxfId="278" dataDxfId="277" dataCellStyle="NodeXL Required">
  <autoFilter ref="A2:C22" xr:uid="{DFE3F4A1-1092-411C-94D4-46B8A853C41C}"/>
  <tableColumns count="3">
    <tableColumn id="1" xr3:uid="{D06DAA58-598C-4823-9EEE-74CBC595C34C}" name="Group 1" dataDxfId="276" dataCellStyle="NodeXL Required"/>
    <tableColumn id="2" xr3:uid="{8BC88A38-DA64-4211-BD15-747FB1810F40}" name="Group 2" dataDxfId="275" dataCellStyle="NodeXL Required"/>
    <tableColumn id="3" xr3:uid="{15338E11-5316-4C91-ABD0-9048998DF98B}" name="Edges" dataDxfId="274" dataCellStyle="NodeXL Graph Metric"/>
  </tableColumns>
  <tableStyleInfo name="NodeXL Tab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4733E06-2694-4C01-B78E-064E2BB81F43}" name="Edges13" displayName="Edges13" ref="A2:BE178" totalsRowShown="0" headerRowDxfId="273" dataDxfId="272">
  <autoFilter ref="A2:BE178" xr:uid="{00000000-0009-0000-0100-000001000000}"/>
  <sortState ref="A3:BE178">
    <sortCondition descending="1" ref="BC2:BC362"/>
  </sortState>
  <tableColumns count="57">
    <tableColumn id="1" xr3:uid="{E37A260D-6DF2-4582-8203-50C4379155FF}" name="Vertex 1" dataDxfId="271" dataCellStyle="NodeXL Required"/>
    <tableColumn id="2" xr3:uid="{F943F723-9DF3-4DD7-BFEA-DBF733F8EAF7}" name="Vertex 2" dataDxfId="270" dataCellStyle="NodeXL Required"/>
    <tableColumn id="3" xr3:uid="{B42BC743-B099-4B65-8C16-E4F401B8B6B3}" name="Color" dataDxfId="269" dataCellStyle="NodeXL Visual Property"/>
    <tableColumn id="4" xr3:uid="{CC9111AF-A70E-4958-8C8D-11696BB29A0E}" name="Width" dataDxfId="268" dataCellStyle="NodeXL Visual Property"/>
    <tableColumn id="11" xr3:uid="{ED532FA0-8100-434F-AD89-23923A994D7F}" name="Style" dataDxfId="267" dataCellStyle="NodeXL Visual Property"/>
    <tableColumn id="5" xr3:uid="{4D3923A7-F815-4656-8670-17AB2F354FBE}" name="Opacity" dataDxfId="266" dataCellStyle="NodeXL Visual Property"/>
    <tableColumn id="6" xr3:uid="{79B53F00-468F-4FD5-AEFB-19AF390350D1}" name="Visibility" dataDxfId="265" dataCellStyle="NodeXL Visual Property"/>
    <tableColumn id="10" xr3:uid="{D6ECE09E-87BB-47CB-A4FF-7DF3585A943E}" name="Label" dataDxfId="264" dataCellStyle="NodeXL Label"/>
    <tableColumn id="12" xr3:uid="{0C33F337-FB90-480E-AA58-03D5D4CC7767}" name="Label Text Color" dataDxfId="263" dataCellStyle="NodeXL Label"/>
    <tableColumn id="13" xr3:uid="{8C87CDB4-7DA9-4CA9-9B96-6F03C67A9B65}" name="Label Font Size" dataDxfId="262" dataCellStyle="NodeXL Label"/>
    <tableColumn id="14" xr3:uid="{B8FB4229-DC9D-48C0-832F-44232B7243B3}" name="Reciprocated?" dataDxfId="261" dataCellStyle="NodeXL Graph Metric"/>
    <tableColumn id="7" xr3:uid="{5E482622-8BAE-461B-88F1-76DDA6F1DBB7}" name="ID" dataDxfId="260" dataCellStyle="NodeXL Do Not Edit"/>
    <tableColumn id="9" xr3:uid="{8B31825B-39CE-4282-9242-06BFBE28B5BD}" name="Dynamic Filter" dataDxfId="259" dataCellStyle="NodeXL Do Not Edit"/>
    <tableColumn id="8" xr3:uid="{20755E8F-57B4-49CE-851D-94ADA656CEB9}" name="Add Your Own Columns Here" dataDxfId="258" dataCellStyle="NodeXL Other Column"/>
    <tableColumn id="15" xr3:uid="{BE4BD47F-4CA2-4244-B227-719D3312A1AC}" name="Relationship" dataDxfId="257" dataCellStyle="Normal"/>
    <tableColumn id="16" xr3:uid="{8D46E7D2-8DDB-4C23-8E7E-BD5BC775FFCC}" name="Relationship Date (UTC)" dataDxfId="256" dataCellStyle="Normal"/>
    <tableColumn id="17" xr3:uid="{7CF0EA40-607A-45F0-B7F3-00856101B102}" name="Tweet" dataDxfId="255" dataCellStyle="Normal"/>
    <tableColumn id="18" xr3:uid="{6E9EF89D-ECE3-4662-85CF-942132E3CB1D}" name="URLs in Tweet" dataDxfId="254" dataCellStyle="Normal"/>
    <tableColumn id="19" xr3:uid="{3434E0FA-2E0B-4B7B-ADC3-F1B137D2C490}" name="Domains in Tweet" dataDxfId="253" dataCellStyle="Normal"/>
    <tableColumn id="20" xr3:uid="{6B040A83-52D7-4D80-A799-7F24E2413811}" name="Hashtags in Tweet" dataDxfId="252" dataCellStyle="Normal"/>
    <tableColumn id="21" xr3:uid="{391C2028-EDBF-463E-BE13-1FB0C7D2F329}" name="Media in Tweet" dataDxfId="251" dataCellStyle="Normal"/>
    <tableColumn id="22" xr3:uid="{97D4A8AE-EA66-4559-8C9A-6CC855E619ED}" name="Tweet Image File" dataDxfId="250" dataCellStyle="Normal"/>
    <tableColumn id="23" xr3:uid="{7646610C-BFF2-4F15-A69C-D3D010A2E075}" name="Tweet Date (UTC)" dataDxfId="249" dataCellStyle="Normal"/>
    <tableColumn id="24" xr3:uid="{C3EE46AC-1B75-4654-8DDB-540222ADB997}" name="Date" dataDxfId="248" dataCellStyle="Normal"/>
    <tableColumn id="25" xr3:uid="{0D8F113D-30CB-4F44-8E46-2ED519101DE9}" name="Time" dataDxfId="247" dataCellStyle="Normal"/>
    <tableColumn id="26" xr3:uid="{FD7EF0BC-A750-4710-981E-D86C5C27EAF5}" name="Twitter Page for Tweet" dataDxfId="246" dataCellStyle="Normal"/>
    <tableColumn id="27" xr3:uid="{BF64FFA3-EF43-4FC3-B1E5-686257E58E69}" name="Latitude" dataDxfId="245" dataCellStyle="Normal"/>
    <tableColumn id="28" xr3:uid="{02506CE1-2C94-45D7-9567-6578CFA3A390}" name="Longitude" dataDxfId="244" dataCellStyle="Normal"/>
    <tableColumn id="29" xr3:uid="{DE77DEA0-0552-4197-9B8B-E18AC96DC3B3}" name="Imported ID" dataDxfId="243" dataCellStyle="Normal"/>
    <tableColumn id="30" xr3:uid="{35F59164-95FC-43C1-938F-0E448F60D13C}" name="In-Reply-To Tweet ID" dataDxfId="242" dataCellStyle="Normal"/>
    <tableColumn id="31" xr3:uid="{767933F6-2F9A-40D1-B5A8-C317E8B60B6B}" name="Favorited" dataDxfId="241" dataCellStyle="Normal"/>
    <tableColumn id="32" xr3:uid="{39E06930-EE02-43CD-B3D3-2ED372D9ACF6}" name="Favorite Count" dataDxfId="240" dataCellStyle="Normal"/>
    <tableColumn id="33" xr3:uid="{182F1F2E-1AFB-491C-A2B3-7EBEE3179771}" name="In-Reply-To User ID" dataDxfId="239" dataCellStyle="Normal"/>
    <tableColumn id="34" xr3:uid="{50A535CB-A85A-43BC-AD74-4CBB28B87A0E}" name="Is Quote Status" dataDxfId="238" dataCellStyle="Normal"/>
    <tableColumn id="35" xr3:uid="{241CA8CC-C23A-4A24-AF66-BCC44DECD2C2}" name="Language" dataDxfId="237" dataCellStyle="Normal"/>
    <tableColumn id="36" xr3:uid="{CCD9856F-2B14-434D-997C-32005B8BAA79}" name="Possibly Sensitive" dataDxfId="236" dataCellStyle="Normal"/>
    <tableColumn id="37" xr3:uid="{51278439-0B02-45BF-806E-E37C2E85A627}" name="Quoted Status ID" dataDxfId="235" dataCellStyle="Normal"/>
    <tableColumn id="38" xr3:uid="{2BC9072D-D6A8-42E5-B6AC-586AF388D746}" name="Retweeted" dataDxfId="234" dataCellStyle="Normal"/>
    <tableColumn id="39" xr3:uid="{A4662A0F-FF19-46E6-B2F0-5F08749226DC}" name="Retweet Count" dataDxfId="233" dataCellStyle="Normal"/>
    <tableColumn id="40" xr3:uid="{15296028-98B6-4A01-9234-00FC6D5EB40F}" name="Retweet ID" dataDxfId="232" dataCellStyle="Normal"/>
    <tableColumn id="41" xr3:uid="{C7D4DD78-9945-40A1-B979-129605327F68}" name="Source" dataDxfId="231" dataCellStyle="Normal"/>
    <tableColumn id="42" xr3:uid="{784B1A26-0132-4931-990E-3E151729D88B}" name="Truncated" dataDxfId="230" dataCellStyle="Normal"/>
    <tableColumn id="43" xr3:uid="{2B8EE938-7CA0-498E-9D0D-0F011C46359D}" name="Unified Twitter ID" dataDxfId="229" dataCellStyle="Normal"/>
    <tableColumn id="44" xr3:uid="{56A64112-C728-4698-94B4-58DC3DBD473C}" name="Imported Tweet Type" dataDxfId="228" dataCellStyle="Normal"/>
    <tableColumn id="45" xr3:uid="{F1F029AE-7EA9-41C0-AE4D-9A15C18D55E0}" name="Added By Extended Analysis" dataDxfId="227" dataCellStyle="Normal"/>
    <tableColumn id="46" xr3:uid="{285A8CD1-BB0A-446B-95C6-C5F28A58833E}" name="Corrected By Extended Analysis" dataDxfId="226" dataCellStyle="Normal"/>
    <tableColumn id="47" xr3:uid="{CD940CB1-8B44-442F-8DAA-DB7055F33D94}" name="Place Bounding Box" dataDxfId="225" dataCellStyle="Normal"/>
    <tableColumn id="48" xr3:uid="{DF76065A-FE5B-4668-AB4A-824AED74E776}" name="Place Country" dataDxfId="224" dataCellStyle="Normal"/>
    <tableColumn id="49" xr3:uid="{BDEB582A-6035-44A9-A985-179438F200D8}" name="Place Country Code" dataDxfId="223" dataCellStyle="Normal"/>
    <tableColumn id="50" xr3:uid="{3E17E500-BF01-4341-B25D-40D3D9282AF7}" name="Place Full Name" dataDxfId="222" dataCellStyle="Normal"/>
    <tableColumn id="51" xr3:uid="{F63E4CE3-0BB0-4EDC-B6FB-DC3CB8AFE81D}" name="Place ID" dataDxfId="221" dataCellStyle="Normal"/>
    <tableColumn id="52" xr3:uid="{6700CA77-6DCA-47D2-91B7-D4DF40D71CE4}" name="Place Name" dataDxfId="220" dataCellStyle="Normal"/>
    <tableColumn id="53" xr3:uid="{36087E2C-44C1-4C02-8214-ACFF4DA18A40}" name="Place Type" dataDxfId="219" dataCellStyle="Normal"/>
    <tableColumn id="54" xr3:uid="{8926F9D5-23F9-4916-B231-44C871998515}" name="Place URL" dataDxfId="218" dataCellStyle="Normal"/>
    <tableColumn id="55" xr3:uid="{F0B972C3-D6F0-444E-8F48-3CB0E2A5F3FC}" name="Edge Weight" dataCellStyle="Normal"/>
    <tableColumn id="56" xr3:uid="{F5BA63FC-A6F7-4C4F-95F5-BDD6E6DBFF5F}" name="Vertex 1 Group" dataDxfId="217" dataCellStyle="Normal">
      <calculatedColumnFormula>REPLACE(INDEX(GroupVertices[Group], MATCH(Edges13[[#This Row],[Vertex 1]],GroupVertices[Vertex],0)),1,1,"")</calculatedColumnFormula>
    </tableColumn>
    <tableColumn id="57" xr3:uid="{03E43E70-2C96-4506-B95E-AAD84A02C840}" name="Vertex 2 Group" dataDxfId="216" dataCellStyle="Normal">
      <calculatedColumnFormula>REPLACE(INDEX(GroupVertices[Group], MATCH(Edges13[[#This Row],[Vertex 2]],GroupVertices[Vertex],0)),1,1,"")</calculatedColumnFormula>
    </tableColumn>
  </tableColumns>
  <tableStyleInfo name="NodeXL Tabl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1BA3CAE-5540-4864-9C1C-DEB6C4CB5D01}" name="ExportOptions" displayName="ExportOptions" ref="A1:B7" totalsRowShown="0" headerRowDxfId="215" dataDxfId="214" dataCellStyle="Normal">
  <autoFilter ref="A1:B7" xr:uid="{00B936B6-9B3F-42C2-99F2-6AB20517712B}"/>
  <tableColumns count="2">
    <tableColumn id="1" xr3:uid="{4F336B06-7CFC-4477-81F6-804D456D7EBD}" name="Key" dataDxfId="1" dataCellStyle="Normal"/>
    <tableColumn id="2" xr3:uid="{D38A0F17-0FD8-4754-94F8-8FC7818FCFA5}" name="Value" dataDxfId="0" dataCellStyle="Normal"/>
  </tableColumns>
  <tableStyleInfo name="NodeXL Tabl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1C0759A-7DCC-42AA-BC37-4BDC8EA68B46}" name="TwitterSearchNetworkTopItems_1" displayName="TwitterSearchNetworkTopItems_1" ref="A1:V11" totalsRowShown="0" headerRowDxfId="213" dataDxfId="212" dataCellStyle="Normal">
  <autoFilter ref="A1:V11" xr:uid="{5219CB81-E605-4201-B448-C6727CF26DE0}"/>
  <tableColumns count="22">
    <tableColumn id="1" xr3:uid="{73E6AFF3-66DB-4FC0-937A-03802924BE42}" name="Top URLs in Tweet in Entire Graph" dataDxfId="211" dataCellStyle="Normal"/>
    <tableColumn id="2" xr3:uid="{28495160-8DEF-4066-9A18-A7B59F4C8680}" name="Entire Graph Count" dataDxfId="210" dataCellStyle="Normal"/>
    <tableColumn id="3" xr3:uid="{8E7B343E-581A-4A91-93A2-AE088E1A039B}" name="Top URLs in Tweet in G1" dataDxfId="209" dataCellStyle="Normal"/>
    <tableColumn id="4" xr3:uid="{07C694DC-D0BF-4B3D-8548-CD4166790ABD}" name="G1 Count" dataDxfId="208" dataCellStyle="Normal"/>
    <tableColumn id="5" xr3:uid="{1AC25BEA-E2AC-4EEB-9EDB-59BA1F682FE0}" name="Top URLs in Tweet in G2" dataDxfId="207" dataCellStyle="Normal"/>
    <tableColumn id="6" xr3:uid="{56A9B527-133B-4B7A-B60C-E7883193EE6D}" name="G2 Count" dataDxfId="206" dataCellStyle="Normal"/>
    <tableColumn id="7" xr3:uid="{5CE751C4-5236-4D44-92B7-9C9AF430CC01}" name="Top URLs in Tweet in G3" dataDxfId="205" dataCellStyle="Normal"/>
    <tableColumn id="8" xr3:uid="{9A6DF68C-F399-4D6C-9B7D-EC5BA6A5E6A4}" name="G3 Count" dataDxfId="204" dataCellStyle="Normal"/>
    <tableColumn id="9" xr3:uid="{1F8FFEA9-1F9F-4A94-8BBF-416892C9FB13}" name="Top URLs in Tweet in G4" dataDxfId="203" dataCellStyle="Normal"/>
    <tableColumn id="10" xr3:uid="{B116958C-A39D-46E3-A2BD-1745F7F1183C}" name="G4 Count" dataDxfId="202" dataCellStyle="Normal"/>
    <tableColumn id="11" xr3:uid="{EB5E8956-1D26-4E29-B315-73612DF82721}" name="Top URLs in Tweet in G5" dataDxfId="201" dataCellStyle="Normal"/>
    <tableColumn id="12" xr3:uid="{C4B8F8FC-42BC-44EC-8BE4-4F3BC8256072}" name="G5 Count" dataDxfId="200" dataCellStyle="Normal"/>
    <tableColumn id="13" xr3:uid="{4D82648D-0702-486A-842A-1F8324E5A776}" name="Top URLs in Tweet in G6" dataDxfId="199" dataCellStyle="Normal"/>
    <tableColumn id="14" xr3:uid="{E02E5300-0131-4AE0-A4C4-8194B93A5D7C}" name="G6 Count" dataDxfId="198" dataCellStyle="Normal"/>
    <tableColumn id="15" xr3:uid="{4B9AED82-F47F-462C-AC1A-AEEBD53344DF}" name="Top URLs in Tweet in G7" dataDxfId="197" dataCellStyle="Normal"/>
    <tableColumn id="16" xr3:uid="{EE068ED4-C013-4DC7-B016-6AC13DCD60B9}" name="G7 Count" dataDxfId="196" dataCellStyle="Normal"/>
    <tableColumn id="17" xr3:uid="{8A3C3331-38D2-4526-BDCC-143B8FF5408B}" name="Top URLs in Tweet in G8" dataDxfId="195" dataCellStyle="Normal"/>
    <tableColumn id="18" xr3:uid="{DE97936C-7FFA-41D0-A9AF-CAC5F4C3F85C}" name="G8 Count" dataDxfId="194" dataCellStyle="Normal"/>
    <tableColumn id="19" xr3:uid="{7C065626-690F-41AB-85CD-3CF322A676EF}" name="Top URLs in Tweet in G9" dataDxfId="193" dataCellStyle="Normal"/>
    <tableColumn id="20" xr3:uid="{15BD2CE5-2AD6-4AE8-AEF1-11A4D1F8ADE7}" name="G9 Count" dataDxfId="192" dataCellStyle="Normal"/>
    <tableColumn id="21" xr3:uid="{23BC7E46-EAD9-434E-8ACE-3AAF2378F605}" name="Top URLs in Tweet in G10" dataDxfId="191" dataCellStyle="Normal"/>
    <tableColumn id="22" xr3:uid="{471C3D0A-32CB-47C6-B113-5931B54DACF0}" name="G10 Count" dataDxfId="190" dataCellStyle="Normal"/>
  </tableColumns>
  <tableStyleInfo name="NodeXL Tabl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F95D413-7FDA-46A5-A492-F28C9B344069}" name="TwitterSearchNetworkTopItems_2" displayName="TwitterSearchNetworkTopItems_2" ref="A14:V24" totalsRowShown="0" headerRowDxfId="188" dataDxfId="187" dataCellStyle="Normal">
  <autoFilter ref="A14:V24" xr:uid="{C0A3557F-9E28-41FE-A6FF-F1690B0CC8BE}"/>
  <tableColumns count="22">
    <tableColumn id="1" xr3:uid="{D73250AF-4EFC-449C-B6E0-120EE9270D38}" name="Top Domains in Tweet in Entire Graph" dataDxfId="186" dataCellStyle="Normal"/>
    <tableColumn id="2" xr3:uid="{8D5B2F7A-0538-4A71-B3A9-D763A55CE7BD}" name="Entire Graph Count" dataDxfId="185" dataCellStyle="Normal"/>
    <tableColumn id="3" xr3:uid="{ECFA5D96-85FD-4040-81B0-C06446EF5072}" name="Top Domains in Tweet in G1" dataDxfId="184" dataCellStyle="Normal"/>
    <tableColumn id="4" xr3:uid="{3BECAC1A-1EAE-4728-8E71-677B7688BD65}" name="G1 Count" dataDxfId="183" dataCellStyle="Normal"/>
    <tableColumn id="5" xr3:uid="{E67D8CD5-FA7A-4A57-A30B-E1D6B945A2D8}" name="Top Domains in Tweet in G2" dataDxfId="182" dataCellStyle="Normal"/>
    <tableColumn id="6" xr3:uid="{12F93A2B-F24E-405B-89C9-6D6B39FCB2CA}" name="G2 Count" dataDxfId="181" dataCellStyle="Normal"/>
    <tableColumn id="7" xr3:uid="{47892929-4004-4AD6-9F85-C083A2B59A18}" name="Top Domains in Tweet in G3" dataDxfId="180" dataCellStyle="Normal"/>
    <tableColumn id="8" xr3:uid="{E6C4F05F-3488-4C38-91BC-6B4362A4558F}" name="G3 Count" dataDxfId="179" dataCellStyle="Normal"/>
    <tableColumn id="9" xr3:uid="{A265A1F5-2D2F-4EB4-932C-0D203C3853E4}" name="Top Domains in Tweet in G4" dataDxfId="178" dataCellStyle="Normal"/>
    <tableColumn id="10" xr3:uid="{D4EE47C9-9D86-4767-9A03-BA3CDB3A6C35}" name="G4 Count" dataDxfId="177" dataCellStyle="Normal"/>
    <tableColumn id="11" xr3:uid="{97213DF6-96CE-4C86-A163-05A15E44EC46}" name="Top Domains in Tweet in G5" dataDxfId="176" dataCellStyle="Normal"/>
    <tableColumn id="12" xr3:uid="{7BE93591-ACAE-452A-8F7D-BADDD0415881}" name="G5 Count" dataDxfId="175" dataCellStyle="Normal"/>
    <tableColumn id="13" xr3:uid="{54C21B3E-35FE-482E-8976-8B44C7CEAF77}" name="Top Domains in Tweet in G6" dataDxfId="174" dataCellStyle="Normal"/>
    <tableColumn id="14" xr3:uid="{B7DDC422-1769-40AE-8986-3F54C465BF13}" name="G6 Count" dataDxfId="173" dataCellStyle="Normal"/>
    <tableColumn id="15" xr3:uid="{E1FE27C1-17E5-4E49-A178-E0F5A12A1571}" name="Top Domains in Tweet in G7" dataDxfId="172" dataCellStyle="Normal"/>
    <tableColumn id="16" xr3:uid="{6FE92065-88F0-4928-A446-ADA572815CEF}" name="G7 Count" dataDxfId="171" dataCellStyle="Normal"/>
    <tableColumn id="17" xr3:uid="{EE9B3FC1-A6DC-432E-A379-1D70052DA612}" name="Top Domains in Tweet in G8" dataDxfId="170" dataCellStyle="Normal"/>
    <tableColumn id="18" xr3:uid="{B11C74A3-815A-473B-9C97-98CE6087310B}" name="G8 Count" dataDxfId="169" dataCellStyle="Normal"/>
    <tableColumn id="19" xr3:uid="{35960266-9368-46C7-83AB-92D735DC0A2A}" name="Top Domains in Tweet in G9" dataDxfId="168" dataCellStyle="Normal"/>
    <tableColumn id="20" xr3:uid="{C01395BD-9555-4419-9560-57B9D93E50A2}" name="G9 Count" dataDxfId="167" dataCellStyle="Normal"/>
    <tableColumn id="21" xr3:uid="{22E25FEE-2733-4875-82F3-19B357C1F1D7}" name="Top Domains in Tweet in G10" dataDxfId="166" dataCellStyle="Normal"/>
    <tableColumn id="22" xr3:uid="{40205482-CDC5-4D55-8FEE-59447A776035}" name="G10 Count" dataDxfId="165" dataCellStyle="Normal"/>
  </tableColumns>
  <tableStyleInfo name="NodeXL Tabl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F22AEAB-1203-4C10-90A7-621439270E79}" name="TwitterSearchNetworkTopItems_3" displayName="TwitterSearchNetworkTopItems_3" ref="A27:V37" totalsRowShown="0" headerRowDxfId="163" dataDxfId="162" dataCellStyle="Normal">
  <autoFilter ref="A27:V37" xr:uid="{E30E3975-4715-4C08-9340-C4ECA39C2053}"/>
  <tableColumns count="22">
    <tableColumn id="1" xr3:uid="{329C269E-FADA-42EF-A8ED-292921717E79}" name="Top Hashtags in Tweet in Entire Graph" dataDxfId="161" dataCellStyle="Normal"/>
    <tableColumn id="2" xr3:uid="{329EE9D1-11A8-4589-81C3-BFF6048D45C1}" name="Entire Graph Count" dataDxfId="160" dataCellStyle="Normal"/>
    <tableColumn id="3" xr3:uid="{BE44CD15-E13B-4CE6-BEAE-2570A9C669A0}" name="Top Hashtags in Tweet in G1" dataDxfId="159" dataCellStyle="Normal"/>
    <tableColumn id="4" xr3:uid="{17237823-202B-4476-870C-095D1636F385}" name="G1 Count" dataDxfId="158" dataCellStyle="Normal"/>
    <tableColumn id="5" xr3:uid="{0EC2BE55-3115-4B3B-9BB0-0B14A45C9E3C}" name="Top Hashtags in Tweet in G2" dataDxfId="157" dataCellStyle="Normal"/>
    <tableColumn id="6" xr3:uid="{F0DE6186-6E3D-4A73-B79F-C87E6E2EAD01}" name="G2 Count" dataDxfId="156" dataCellStyle="Normal"/>
    <tableColumn id="7" xr3:uid="{A07118A7-FCDB-4FE6-B9A7-6FA1816C8A4E}" name="Top Hashtags in Tweet in G3" dataDxfId="155" dataCellStyle="Normal"/>
    <tableColumn id="8" xr3:uid="{DEA7FD03-430A-4D47-A772-A59C7FCE99AD}" name="G3 Count" dataDxfId="154" dataCellStyle="Normal"/>
    <tableColumn id="9" xr3:uid="{B98FAA09-65D1-4D4B-9E29-1522CA880290}" name="Top Hashtags in Tweet in G4" dataDxfId="153" dataCellStyle="Normal"/>
    <tableColumn id="10" xr3:uid="{4B7034ED-0919-434B-AA10-0A60E71078E3}" name="G4 Count" dataDxfId="152" dataCellStyle="Normal"/>
    <tableColumn id="11" xr3:uid="{BDD089B3-1252-4ADF-A29E-198CF679DB20}" name="Top Hashtags in Tweet in G5" dataDxfId="151" dataCellStyle="Normal"/>
    <tableColumn id="12" xr3:uid="{7E108041-63E6-41D2-A4D2-F6C5D54697BA}" name="G5 Count" dataDxfId="150" dataCellStyle="Normal"/>
    <tableColumn id="13" xr3:uid="{05D6FD5F-4A75-40CB-9A3A-A420DB9C955B}" name="Top Hashtags in Tweet in G6" dataDxfId="149" dataCellStyle="Normal"/>
    <tableColumn id="14" xr3:uid="{4CE5F221-F3E6-490A-8FD7-DA90DE398BDF}" name="G6 Count" dataDxfId="148" dataCellStyle="Normal"/>
    <tableColumn id="15" xr3:uid="{84DAED0A-FAF0-4B9F-ABCF-24F3010852F2}" name="Top Hashtags in Tweet in G7" dataDxfId="147" dataCellStyle="Normal"/>
    <tableColumn id="16" xr3:uid="{9EB41E7A-4601-4EBD-9D72-C9BC65ED0C59}" name="G7 Count" dataDxfId="146" dataCellStyle="Normal"/>
    <tableColumn id="17" xr3:uid="{9DB4E843-B4FC-4A39-B6CF-1A82DCC0A268}" name="Top Hashtags in Tweet in G8" dataDxfId="145" dataCellStyle="Normal"/>
    <tableColumn id="18" xr3:uid="{D0D78AAF-1450-46FC-B488-3C00E722F727}" name="G8 Count" dataDxfId="144" dataCellStyle="Normal"/>
    <tableColumn id="19" xr3:uid="{49910A7D-22E2-4F5A-A19E-19402014AC27}" name="Top Hashtags in Tweet in G9" dataDxfId="143" dataCellStyle="Normal"/>
    <tableColumn id="20" xr3:uid="{D149E8FC-DDD5-4154-B29A-27D19E918C20}" name="G9 Count" dataDxfId="142" dataCellStyle="Normal"/>
    <tableColumn id="21" xr3:uid="{51865B46-FE4D-4F72-8746-65ABE13660BA}" name="Top Hashtags in Tweet in G10" dataDxfId="141" dataCellStyle="Normal"/>
    <tableColumn id="22" xr3:uid="{4CDE7976-B14C-4EB3-85AE-084DF0F02FAC}" name="G10 Count" dataDxfId="140" dataCellStyle="Normal"/>
  </tableColumns>
  <tableStyleInfo name="NodeXL Tabl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B40EC604-34C5-4EFC-9AF0-55B72AF88D5C}" name="TwitterSearchNetworkTopItems_4" displayName="TwitterSearchNetworkTopItems_4" ref="A40:V50" totalsRowShown="0" headerRowDxfId="138" dataDxfId="137" dataCellStyle="Normal">
  <autoFilter ref="A40:V50" xr:uid="{0437E30D-5B80-4651-A051-D9DE76BB6C3F}"/>
  <tableColumns count="22">
    <tableColumn id="1" xr3:uid="{C1AB1C86-7097-4392-BB57-1B0B5EC3DAF4}" name="Top Words in Tweet in Entire Graph" dataDxfId="136" dataCellStyle="Normal"/>
    <tableColumn id="2" xr3:uid="{23293FEC-FE52-420F-92C7-EDAEDEE5843D}" name="Entire Graph Count" dataDxfId="135" dataCellStyle="Normal"/>
    <tableColumn id="3" xr3:uid="{D54D182A-E836-4594-9A3A-C318DF50B628}" name="Top Words in Tweet in G1" dataDxfId="134" dataCellStyle="Normal"/>
    <tableColumn id="4" xr3:uid="{6DF565F5-3D38-4280-91EE-7E16182B56A2}" name="G1 Count" dataDxfId="133" dataCellStyle="Normal"/>
    <tableColumn id="5" xr3:uid="{19D6397D-0364-4528-82CE-D10BEAABA0D1}" name="Top Words in Tweet in G2" dataDxfId="132" dataCellStyle="Normal"/>
    <tableColumn id="6" xr3:uid="{3797264B-F567-4322-84CC-7F3D5C68C9DA}" name="G2 Count" dataDxfId="131" dataCellStyle="Normal"/>
    <tableColumn id="7" xr3:uid="{BADBFA1F-8CF1-4B66-B755-BD91496CD644}" name="Top Words in Tweet in G3" dataDxfId="130" dataCellStyle="Normal"/>
    <tableColumn id="8" xr3:uid="{8818C8E6-7680-4769-B059-74E1A60D552C}" name="G3 Count" dataDxfId="129" dataCellStyle="Normal"/>
    <tableColumn id="9" xr3:uid="{B3AD4B39-C865-43DA-8AAB-3683B3A1968E}" name="Top Words in Tweet in G4" dataDxfId="128" dataCellStyle="Normal"/>
    <tableColumn id="10" xr3:uid="{FFD310F7-6787-422D-B418-732C47ACDF5E}" name="G4 Count" dataDxfId="127" dataCellStyle="Normal"/>
    <tableColumn id="11" xr3:uid="{AC47ED63-3BBB-43FB-B701-261634FDF51E}" name="Top Words in Tweet in G5" dataDxfId="126" dataCellStyle="Normal"/>
    <tableColumn id="12" xr3:uid="{760A792D-31F7-4614-B68F-C81CA2F1F4F4}" name="G5 Count" dataDxfId="125" dataCellStyle="Normal"/>
    <tableColumn id="13" xr3:uid="{64091F80-3CCD-4F74-9B8E-E92F35844FCC}" name="Top Words in Tweet in G6" dataDxfId="124" dataCellStyle="Normal"/>
    <tableColumn id="14" xr3:uid="{BA8190B4-5D01-46CE-9998-8E4962779D48}" name="G6 Count" dataDxfId="123" dataCellStyle="Normal"/>
    <tableColumn id="15" xr3:uid="{44D7486F-34C6-47D4-8C28-1662A631FAF5}" name="Top Words in Tweet in G7" dataDxfId="122" dataCellStyle="Normal"/>
    <tableColumn id="16" xr3:uid="{22BC9124-748D-4DF9-B43C-9514425994E6}" name="G7 Count" dataDxfId="121" dataCellStyle="Normal"/>
    <tableColumn id="17" xr3:uid="{65946390-1E78-4000-8AEE-E8F32AC9265B}" name="Top Words in Tweet in G8" dataDxfId="120" dataCellStyle="Normal"/>
    <tableColumn id="18" xr3:uid="{24CF0F92-432C-447E-9CEF-3D2254D25D6F}" name="G8 Count" dataDxfId="119" dataCellStyle="Normal"/>
    <tableColumn id="19" xr3:uid="{E43797F7-7E55-4048-B1D5-6E02002D5586}" name="Top Words in Tweet in G9" dataDxfId="118" dataCellStyle="Normal"/>
    <tableColumn id="20" xr3:uid="{19B29B2B-D287-404D-B6BC-EB107A53CA02}" name="G9 Count" dataDxfId="117" dataCellStyle="Normal"/>
    <tableColumn id="21" xr3:uid="{DDDE5A59-E936-4389-906F-9702C041C1F0}" name="Top Words in Tweet in G10" dataDxfId="116" dataCellStyle="Normal"/>
    <tableColumn id="22" xr3:uid="{060722AA-5587-4783-91F3-B0BECFD3CCBF}" name="G10 Count" dataDxfId="115" dataCellStyle="Normal"/>
  </tableColumns>
  <tableStyleInfo name="NodeXL Tabl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1F02057-72CD-4F50-9B6A-0037226435FA}" name="TwitterSearchNetworkTopItems_5" displayName="TwitterSearchNetworkTopItems_5" ref="A53:V63" totalsRowShown="0" headerRowDxfId="113" dataDxfId="112" dataCellStyle="Normal">
  <autoFilter ref="A53:V63" xr:uid="{527D8668-A4E1-4989-B8AC-3BFCA4DEB900}"/>
  <tableColumns count="22">
    <tableColumn id="1" xr3:uid="{FA598D02-AED3-4C6B-A4E2-358673D9B07C}" name="Top Word Pairs in Tweet in Entire Graph" dataDxfId="111" dataCellStyle="Normal"/>
    <tableColumn id="2" xr3:uid="{E9E0D16A-4220-49E9-9950-7B86AE77619D}" name="Entire Graph Count" dataDxfId="110" dataCellStyle="Normal"/>
    <tableColumn id="3" xr3:uid="{87CB47E4-3848-410E-B6BF-C49DCE57BFD1}" name="Top Word Pairs in Tweet in G1" dataDxfId="109" dataCellStyle="Normal"/>
    <tableColumn id="4" xr3:uid="{41F16DA6-8943-43CF-8412-240DE01D0F85}" name="G1 Count" dataDxfId="108" dataCellStyle="Normal"/>
    <tableColumn id="5" xr3:uid="{288C3F78-8787-4B0E-87CD-0C7D79201A68}" name="Top Word Pairs in Tweet in G2" dataDxfId="107" dataCellStyle="Normal"/>
    <tableColumn id="6" xr3:uid="{1370E1DB-D3D7-4131-B322-21585F9FE540}" name="G2 Count" dataDxfId="106" dataCellStyle="Normal"/>
    <tableColumn id="7" xr3:uid="{47297B68-5537-4EF4-BFF5-B7F8DD99D725}" name="Top Word Pairs in Tweet in G3" dataDxfId="105" dataCellStyle="Normal"/>
    <tableColumn id="8" xr3:uid="{236F86D6-512F-4F7D-8534-A428B25C561B}" name="G3 Count" dataDxfId="104" dataCellStyle="Normal"/>
    <tableColumn id="9" xr3:uid="{5421C118-9838-4A95-9D35-CB3DFFFF7162}" name="Top Word Pairs in Tweet in G4" dataDxfId="103" dataCellStyle="Normal"/>
    <tableColumn id="10" xr3:uid="{BA464466-822D-4E49-9790-2FCA08B9BBD7}" name="G4 Count" dataDxfId="102" dataCellStyle="Normal"/>
    <tableColumn id="11" xr3:uid="{CB7A5EDF-37D2-4B53-81B6-949FC043A629}" name="Top Word Pairs in Tweet in G5" dataDxfId="101" dataCellStyle="Normal"/>
    <tableColumn id="12" xr3:uid="{E1900E4C-44CA-46C2-8D62-0991633468AF}" name="G5 Count" dataDxfId="100" dataCellStyle="Normal"/>
    <tableColumn id="13" xr3:uid="{3443B123-4CAA-4403-B5CB-506142D98143}" name="Top Word Pairs in Tweet in G6" dataDxfId="99" dataCellStyle="Normal"/>
    <tableColumn id="14" xr3:uid="{857A2626-7163-41EE-83F6-817E69C1346D}" name="G6 Count" dataDxfId="98" dataCellStyle="Normal"/>
    <tableColumn id="15" xr3:uid="{A155BBF0-6CE8-4FBC-9A63-5D3A1FBC073A}" name="Top Word Pairs in Tweet in G7" dataDxfId="97" dataCellStyle="Normal"/>
    <tableColumn id="16" xr3:uid="{8B447559-24EE-41D7-9BF2-B7D70A0005FF}" name="G7 Count" dataDxfId="96" dataCellStyle="Normal"/>
    <tableColumn id="17" xr3:uid="{E6D123AC-A176-490C-B828-A9771425FE9E}" name="Top Word Pairs in Tweet in G8" dataDxfId="95" dataCellStyle="Normal"/>
    <tableColumn id="18" xr3:uid="{51F78F98-78E3-4C68-82F8-F44930D61874}" name="G8 Count" dataDxfId="94" dataCellStyle="Normal"/>
    <tableColumn id="19" xr3:uid="{C02392BC-DB0A-4C3F-9B37-76E8A74A7126}" name="Top Word Pairs in Tweet in G9" dataDxfId="93" dataCellStyle="Normal"/>
    <tableColumn id="20" xr3:uid="{A5AAF945-F623-4557-B4D6-DC6A6606D956}" name="G9 Count" dataDxfId="92" dataCellStyle="Normal"/>
    <tableColumn id="21" xr3:uid="{3FA0D29F-E21B-4BC4-A32C-25B8F5C78FB2}" name="Top Word Pairs in Tweet in G10" dataDxfId="91" dataCellStyle="Normal"/>
    <tableColumn id="22" xr3:uid="{658422A5-0C22-42B8-A62D-315840BE4040}" name="G10 Count" dataDxfId="90" dataCellStyle="Normal"/>
  </tableColumns>
  <tableStyleInfo name="NodeXL Tabl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4C38631-8EE3-407B-87AC-4FFF82EF002B}" name="TwitterSearchNetworkTopItems_6" displayName="TwitterSearchNetworkTopItems_6" ref="A66:V71" totalsRowShown="0" headerRowDxfId="88" dataDxfId="87" dataCellStyle="Normal">
  <autoFilter ref="A66:V71" xr:uid="{81E30E7A-25BE-437A-8081-F9E1EA1E6942}"/>
  <tableColumns count="22">
    <tableColumn id="1" xr3:uid="{D6F6F6C5-2EDF-4373-8D05-22B6B37B5B84}" name="Top Replied-To in Entire Graph" dataDxfId="86" dataCellStyle="Normal"/>
    <tableColumn id="2" xr3:uid="{9F94C3A4-E1ED-4947-9C7D-A2A6E5332596}" name="Entire Graph Count" dataDxfId="82" dataCellStyle="Normal"/>
    <tableColumn id="3" xr3:uid="{82611D89-3975-4AC6-92E4-C09728B94BDC}" name="Top Replied-To in G1" dataDxfId="81" dataCellStyle="Normal"/>
    <tableColumn id="4" xr3:uid="{737BAEA6-B506-45C5-B719-A0CC3E3A113D}" name="G1 Count" dataDxfId="78" dataCellStyle="Normal"/>
    <tableColumn id="5" xr3:uid="{5195372E-13B4-436B-A59F-F599090569F1}" name="Top Replied-To in G2" dataDxfId="77" dataCellStyle="Normal"/>
    <tableColumn id="6" xr3:uid="{55EA5BD1-E231-443B-9576-C30E758FCFD4}" name="G2 Count" dataDxfId="74" dataCellStyle="Normal"/>
    <tableColumn id="7" xr3:uid="{196422FA-454E-43C1-9515-2A3EEB111A9A}" name="Top Replied-To in G3" dataDxfId="73" dataCellStyle="Normal"/>
    <tableColumn id="8" xr3:uid="{46F00AFC-BF28-417E-8E7D-84B02EA6CD59}" name="G3 Count" dataDxfId="70" dataCellStyle="Normal"/>
    <tableColumn id="9" xr3:uid="{6D2DA68D-844D-4057-94AA-E7009B776097}" name="Top Replied-To in G4" dataDxfId="69" dataCellStyle="Normal"/>
    <tableColumn id="10" xr3:uid="{9698E51A-1D9D-47FE-A7AA-F4F84B2F75AF}" name="G4 Count" dataDxfId="66" dataCellStyle="Normal"/>
    <tableColumn id="11" xr3:uid="{A53DFBC2-4B45-4DC0-8B25-AFC61114E274}" name="Top Replied-To in G5" dataDxfId="65" dataCellStyle="Normal"/>
    <tableColumn id="12" xr3:uid="{E14E4351-13CD-43A9-81A3-1DD76BB4C100}" name="G5 Count" dataDxfId="62" dataCellStyle="Normal"/>
    <tableColumn id="13" xr3:uid="{B4141E4D-1A6A-4998-A9BF-4120227D3040}" name="Top Replied-To in G6" dataDxfId="61" dataCellStyle="Normal"/>
    <tableColumn id="14" xr3:uid="{FEF45CF2-5683-42A6-8510-245C1E59F421}" name="G6 Count" dataDxfId="58" dataCellStyle="Normal"/>
    <tableColumn id="15" xr3:uid="{97F11AB7-67B7-4FB6-B69E-1DC5DC155C5F}" name="Top Replied-To in G7" dataDxfId="57" dataCellStyle="Normal"/>
    <tableColumn id="16" xr3:uid="{763EF0CD-3564-447E-86BC-4736BC456F61}" name="G7 Count" dataDxfId="54" dataCellStyle="Normal"/>
    <tableColumn id="17" xr3:uid="{2E2908B3-BF35-429A-A1A4-61499807725D}" name="Top Replied-To in G8" dataDxfId="53" dataCellStyle="Normal"/>
    <tableColumn id="18" xr3:uid="{8EE16CD4-52D4-496E-8180-A221B6F64B90}" name="G8 Count" dataDxfId="50" dataCellStyle="Normal"/>
    <tableColumn id="19" xr3:uid="{5CF0BC5E-E7D9-46D3-8E53-792C3B9FD0C6}" name="Top Replied-To in G9" dataDxfId="49" dataCellStyle="Normal"/>
    <tableColumn id="20" xr3:uid="{A3925820-12F6-444E-BC52-5AC8F405F8F6}" name="G9 Count" dataDxfId="46" dataCellStyle="Normal"/>
    <tableColumn id="21" xr3:uid="{773930D2-E211-45A4-BFCD-023B462ECFC5}" name="Top Replied-To in G10" dataDxfId="45" dataCellStyle="Normal"/>
    <tableColumn id="22" xr3:uid="{406510DE-DBF4-422D-8AB1-986FD34366A8}" name="G10 Count" dataDxfId="44" dataCellStyle="Normal"/>
  </tableColumns>
  <tableStyleInfo name="NodeXL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BK124" totalsRowShown="0" headerRowDxfId="380" dataDxfId="379">
  <autoFilter ref="A2:BK124" xr:uid="{00000000-0009-0000-0100-000002000000}"/>
  <sortState ref="A3:BA124">
    <sortCondition descending="1" ref="U2:U124"/>
  </sortState>
  <tableColumns count="63">
    <tableColumn id="1" xr3:uid="{00000000-0010-0000-0100-000001000000}" name="Vertex" dataDxfId="378" dataCellStyle="NodeXL Required"/>
    <tableColumn id="2" xr3:uid="{00000000-0010-0000-0100-000002000000}" name="Color" dataDxfId="377" dataCellStyle="NodeXL Visual Property"/>
    <tableColumn id="5" xr3:uid="{00000000-0010-0000-0100-000005000000}" name="Shape" dataDxfId="376" dataCellStyle="NodeXL Visual Property"/>
    <tableColumn id="6" xr3:uid="{00000000-0010-0000-0100-000006000000}" name="Size" dataDxfId="375" dataCellStyle="NodeXL Visual Property"/>
    <tableColumn id="4" xr3:uid="{00000000-0010-0000-0100-000004000000}" name="Opacity" dataDxfId="374" dataCellStyle="NodeXL Visual Property"/>
    <tableColumn id="7" xr3:uid="{00000000-0010-0000-0100-000007000000}" name="Image File" dataDxfId="373" dataCellStyle="NodeXL Visual Property"/>
    <tableColumn id="3" xr3:uid="{00000000-0010-0000-0100-000003000000}" name="Visibility" dataDxfId="372" dataCellStyle="NodeXL Visual Property"/>
    <tableColumn id="10" xr3:uid="{00000000-0010-0000-0100-00000A000000}" name="Label" dataDxfId="371" dataCellStyle="NodeXL Label"/>
    <tableColumn id="16" xr3:uid="{00000000-0010-0000-0100-000010000000}" name="Label Fill Color" dataDxfId="370" dataCellStyle="NodeXL Label"/>
    <tableColumn id="9" xr3:uid="{00000000-0010-0000-0100-000009000000}" name="Label Position" dataDxfId="369" dataCellStyle="NodeXL Label"/>
    <tableColumn id="8" xr3:uid="{00000000-0010-0000-0100-000008000000}" name="Tooltip" dataDxfId="368" dataCellStyle="NodeXL Label"/>
    <tableColumn id="18" xr3:uid="{00000000-0010-0000-0100-000012000000}" name="Layout Order" dataDxfId="367" dataCellStyle="NodeXL Layout"/>
    <tableColumn id="13" xr3:uid="{00000000-0010-0000-0100-00000D000000}" name="X" dataDxfId="366" dataCellStyle="NodeXL Layout"/>
    <tableColumn id="14" xr3:uid="{00000000-0010-0000-0100-00000E000000}" name="Y" dataDxfId="365" dataCellStyle="NodeXL Layout"/>
    <tableColumn id="12" xr3:uid="{00000000-0010-0000-0100-00000C000000}" name="Locked?" dataDxfId="364" dataCellStyle="NodeXL Layout"/>
    <tableColumn id="19" xr3:uid="{00000000-0010-0000-0100-000013000000}" name="Polar R" dataDxfId="363" dataCellStyle="NodeXL Layout"/>
    <tableColumn id="20" xr3:uid="{00000000-0010-0000-0100-000014000000}" name="Polar Angle" dataDxfId="362" dataCellStyle="NodeXL Layout"/>
    <tableColumn id="21" xr3:uid="{00000000-0010-0000-0100-000015000000}" name="Degree" dataDxfId="361" dataCellStyle="NodeXL Graph Metric"/>
    <tableColumn id="22" xr3:uid="{00000000-0010-0000-0100-000016000000}" name="In-Degree" dataDxfId="360" dataCellStyle="NodeXL Graph Metric"/>
    <tableColumn id="23" xr3:uid="{00000000-0010-0000-0100-000017000000}" name="Out-Degree" dataDxfId="359" dataCellStyle="NodeXL Graph Metric"/>
    <tableColumn id="24" xr3:uid="{00000000-0010-0000-0100-000018000000}" name="Betweenness Centrality" dataDxfId="358" dataCellStyle="NodeXL Graph Metric"/>
    <tableColumn id="25" xr3:uid="{00000000-0010-0000-0100-000019000000}" name="Closeness Centrality" dataDxfId="357" dataCellStyle="NodeXL Graph Metric"/>
    <tableColumn id="26" xr3:uid="{00000000-0010-0000-0100-00001A000000}" name="Eigenvector Centrality" dataDxfId="356" dataCellStyle="NodeXL Graph Metric"/>
    <tableColumn id="15" xr3:uid="{00000000-0010-0000-0100-00000F000000}" name="PageRank" dataDxfId="355" dataCellStyle="NodeXL Graph Metric"/>
    <tableColumn id="27" xr3:uid="{00000000-0010-0000-0100-00001B000000}" name="Clustering Coefficient" dataDxfId="354" dataCellStyle="NodeXL Graph Metric"/>
    <tableColumn id="29" xr3:uid="{00000000-0010-0000-0100-00001D000000}" name="Reciprocated Vertex Pair Ratio" dataDxfId="353" dataCellStyle="NodeXL Graph Metric"/>
    <tableColumn id="11" xr3:uid="{00000000-0010-0000-0100-00000B000000}" name="ID" dataDxfId="352" dataCellStyle="NodeXL Do Not Edit"/>
    <tableColumn id="28" xr3:uid="{00000000-0010-0000-0100-00001C000000}" name="Dynamic Filter" dataDxfId="351" dataCellStyle="NodeXL Do Not Edit">
      <calculatedColumnFormula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calculatedColumnFormula>
    </tableColumn>
    <tableColumn id="17" xr3:uid="{00000000-0010-0000-0100-000011000000}" name="Add Your Own Columns Here" dataDxfId="350" dataCellStyle="NodeXL Other Column"/>
    <tableColumn id="30" xr3:uid="{45C9C63D-DF5B-4EDB-BA56-B8D326809AA4}" name="Name" dataDxfId="349" dataCellStyle="Normal"/>
    <tableColumn id="31" xr3:uid="{164673C2-85BF-4DC0-93E2-7C2E720A0B16}" name="User ID" dataDxfId="348" dataCellStyle="Normal"/>
    <tableColumn id="32" xr3:uid="{F9AD3292-01D8-48F9-BC00-BB82CC78ECE5}" name="Followed" dataDxfId="347" dataCellStyle="Normal"/>
    <tableColumn id="33" xr3:uid="{3F5F45FD-C3F8-4232-9187-B4C7D185795A}" name="Followers" dataDxfId="346" dataCellStyle="Normal"/>
    <tableColumn id="34" xr3:uid="{5B95B3C8-C7F0-44F6-A30B-EAD4A82B1606}" name="Tweets" dataDxfId="345" dataCellStyle="Normal"/>
    <tableColumn id="35" xr3:uid="{2113422F-0F9C-4ABB-8B51-1DAAB2ACAF9D}" name="Favorites" dataDxfId="344" dataCellStyle="Normal"/>
    <tableColumn id="36" xr3:uid="{04C1CC47-6528-4171-BDC7-E1093D4F3BCA}" name="Time Zone UTC Offset (Seconds)" dataDxfId="343" dataCellStyle="Normal"/>
    <tableColumn id="37" xr3:uid="{189E9925-32EA-4979-976E-A584E14548EF}" name="Description" dataDxfId="342" dataCellStyle="Normal"/>
    <tableColumn id="38" xr3:uid="{9504549F-C344-46AB-9C4C-C4FE2825D5FD}" name="Location" dataDxfId="341" dataCellStyle="Normal"/>
    <tableColumn id="39" xr3:uid="{70E1318C-70BF-41EA-BF48-EA3B53C9D125}" name="Web" dataDxfId="340" dataCellStyle="Normal"/>
    <tableColumn id="40" xr3:uid="{1E795500-B19F-4B90-935B-CD564C3E342A}" name="Time Zone" dataDxfId="339" dataCellStyle="Normal"/>
    <tableColumn id="41" xr3:uid="{1009ACB3-306D-4DB4-B663-37CB8539789D}" name="Joined Twitter Date (UTC)" dataDxfId="338" dataCellStyle="Normal"/>
    <tableColumn id="42" xr3:uid="{89FEA362-80B3-4550-9EA9-572D5C572FA3}" name="Profile Banner Url" dataDxfId="337" dataCellStyle="Normal"/>
    <tableColumn id="43" xr3:uid="{AB5141BF-D8A3-4B6E-AA13-12F8D1B7A5AC}" name="Default Profile" dataDxfId="336" dataCellStyle="Normal"/>
    <tableColumn id="44" xr3:uid="{7A349CAF-1661-4B90-B928-98A036F83CE4}" name="Default Profile Image" dataDxfId="335" dataCellStyle="Normal"/>
    <tableColumn id="45" xr3:uid="{28591F7B-8E8C-45F6-972C-F74461DCD852}" name="Geo Enabled" dataDxfId="334" dataCellStyle="Normal"/>
    <tableColumn id="46" xr3:uid="{C4B82504-9E29-427C-9BC9-FF44B617A651}" name="Language" dataDxfId="333" dataCellStyle="Normal"/>
    <tableColumn id="47" xr3:uid="{01A36416-32B9-4F73-A914-B79D2A17BDDF}" name="Listed Count" dataDxfId="332" dataCellStyle="Normal"/>
    <tableColumn id="48" xr3:uid="{7C6FD14E-EDE6-463B-9AC1-29BB1F877AF8}" name="Profile Background Image Url" dataDxfId="331" dataCellStyle="Normal"/>
    <tableColumn id="49" xr3:uid="{7107BB38-A6CB-4141-97C2-D535372DBFDF}" name="Verified" dataDxfId="330" dataCellStyle="Normal"/>
    <tableColumn id="50" xr3:uid="{583D5560-0231-4F5C-B0D7-509B290DCBAF}" name="Custom Menu Item Text" dataDxfId="329" dataCellStyle="Normal"/>
    <tableColumn id="51" xr3:uid="{6ED32417-16D1-4D21-B4E6-32907D61DAF5}" name="Custom Menu Item Action" dataDxfId="328" dataCellStyle="Normal"/>
    <tableColumn id="52" xr3:uid="{AF9D614B-CEDD-44E0-B8EE-5059D693F191}" name="Tweeted Search Term?" dataDxfId="327" dataCellStyle="Normal"/>
    <tableColumn id="53" xr3:uid="{B9491A38-884D-4BC5-AF23-3BF41315F625}" name="Vertex Group" dataDxfId="12" dataCellStyle="Normal">
      <calculatedColumnFormula>REPLACE(INDEX(GroupVertices[Group], MATCH(Vertices[[#This Row],[Vertex]],GroupVertices[Vertex],0)),1,1,"")</calculatedColumnFormula>
    </tableColumn>
    <tableColumn id="54" xr3:uid="{EF280853-F41D-4DAF-A18E-BF1ECB054A41}" name="Top URLs in Tweet by Count" dataDxfId="11" dataCellStyle="NodeXL Graph Metric"/>
    <tableColumn id="55" xr3:uid="{4F1ECAC2-0A09-4DFD-9EDC-CF798032A547}" name="Top URLs in Tweet by Salience" dataDxfId="10" dataCellStyle="NodeXL Graph Metric"/>
    <tableColumn id="56" xr3:uid="{A648DB63-7ADA-4F13-A6BB-9547060BC7E1}" name="Top Domains in Tweet by Count" dataDxfId="9" dataCellStyle="NodeXL Graph Metric"/>
    <tableColumn id="57" xr3:uid="{99CB2C47-4840-4FEB-B4CB-6604FF3E1A68}" name="Top Domains in Tweet by Salience" dataDxfId="8" dataCellStyle="NodeXL Graph Metric"/>
    <tableColumn id="58" xr3:uid="{1F3E9FFD-C82A-40F5-882A-B6E3B11CAF1A}" name="Top Hashtags in Tweet by Count" dataDxfId="7" dataCellStyle="NodeXL Graph Metric"/>
    <tableColumn id="59" xr3:uid="{E2F29C7A-9D2B-4BA4-9FC0-A7A917C2306D}" name="Top Hashtags in Tweet by Salience" dataDxfId="6" dataCellStyle="NodeXL Graph Metric"/>
    <tableColumn id="60" xr3:uid="{000C3754-0BA7-4172-9D77-3C89DF3A8AB7}" name="Top Words in Tweet by Count" dataDxfId="5" dataCellStyle="NodeXL Graph Metric"/>
    <tableColumn id="61" xr3:uid="{F3A7D387-A000-4FAF-AECB-2B7B3F232342}" name="Top Words in Tweet by Salience" dataDxfId="4" dataCellStyle="NodeXL Graph Metric"/>
    <tableColumn id="62" xr3:uid="{83DEFBFC-C845-4EA5-A545-5322D2A9A0EF}" name="Top Word Pairs in Tweet by Count" dataDxfId="3" dataCellStyle="NodeXL Graph Metric"/>
    <tableColumn id="63" xr3:uid="{138074FF-C2FD-4E10-909E-9CF7538E4944}" name="Top Word Pairs in Tweet by Salience" dataDxfId="2" dataCellStyle="NodeXL Graph Metric"/>
  </tableColumns>
  <tableStyleInfo name="NodeXL Table"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5516C21-AC97-4322-B462-FB84C1A267AB}" name="TwitterSearchNetworkTopItems_7" displayName="TwitterSearchNetworkTopItems_7" ref="A74:V84" totalsRowShown="0" headerRowDxfId="85" dataDxfId="84" dataCellStyle="Normal">
  <autoFilter ref="A74:V84" xr:uid="{EE342FD7-7E31-4DBA-BF59-16414627F5EC}"/>
  <tableColumns count="22">
    <tableColumn id="1" xr3:uid="{0CC280FA-6923-4683-96E7-0AA5B3A645B7}" name="Top Mentioned in Entire Graph" dataDxfId="83" dataCellStyle="Normal"/>
    <tableColumn id="2" xr3:uid="{28BD3EE9-03D9-40A6-9AF2-C250420C5110}" name="Entire Graph Count" dataDxfId="80" dataCellStyle="Normal"/>
    <tableColumn id="3" xr3:uid="{DAA9B07E-1467-4136-86AC-1692ECB17D34}" name="Top Mentioned in G1" dataDxfId="79" dataCellStyle="Normal"/>
    <tableColumn id="4" xr3:uid="{77E1F8EB-DB0E-4E90-9162-F1BD5F0E5076}" name="G1 Count" dataDxfId="76" dataCellStyle="Normal"/>
    <tableColumn id="5" xr3:uid="{042E176F-DE54-4A34-BC6D-034711AC9841}" name="Top Mentioned in G2" dataDxfId="75" dataCellStyle="Normal"/>
    <tableColumn id="6" xr3:uid="{FEF075AF-DAFD-4E9E-B068-BCBE96CA1689}" name="G2 Count" dataDxfId="72" dataCellStyle="Normal"/>
    <tableColumn id="7" xr3:uid="{015A87BB-0695-4663-B11F-13EF4A8E4112}" name="Top Mentioned in G3" dataDxfId="71" dataCellStyle="Normal"/>
    <tableColumn id="8" xr3:uid="{5E3CB01A-F636-46DD-8AF5-F1F6F03DCC19}" name="G3 Count" dataDxfId="68" dataCellStyle="Normal"/>
    <tableColumn id="9" xr3:uid="{040F454F-C048-465D-A1CE-767B82747517}" name="Top Mentioned in G4" dataDxfId="67" dataCellStyle="Normal"/>
    <tableColumn id="10" xr3:uid="{BD80DF23-6233-4EC2-AA26-9562700BEC26}" name="G4 Count" dataDxfId="64" dataCellStyle="Normal"/>
    <tableColumn id="11" xr3:uid="{0BBAB348-6F56-4AD3-A6B1-F7027CDC3B5D}" name="Top Mentioned in G5" dataDxfId="63" dataCellStyle="Normal"/>
    <tableColumn id="12" xr3:uid="{255C6D9F-B7D6-4D63-B2E4-6861A1DE9126}" name="G5 Count" dataDxfId="60" dataCellStyle="Normal"/>
    <tableColumn id="13" xr3:uid="{8EE3D99A-28E0-4CDD-8C87-95012F5CD96A}" name="Top Mentioned in G6" dataDxfId="59" dataCellStyle="Normal"/>
    <tableColumn id="14" xr3:uid="{4202C012-04FC-45E9-8042-9DEA61B075CA}" name="G6 Count" dataDxfId="56" dataCellStyle="Normal"/>
    <tableColumn id="15" xr3:uid="{BCEDBF2B-9220-4D70-BD23-9649FC4E573A}" name="Top Mentioned in G7" dataDxfId="55" dataCellStyle="Normal"/>
    <tableColumn id="16" xr3:uid="{AE3CD666-E660-45DA-A275-560D722CD5FE}" name="G7 Count" dataDxfId="52" dataCellStyle="Normal"/>
    <tableColumn id="17" xr3:uid="{A6ACE427-C129-4E27-9D31-AD42D9374C15}" name="Top Mentioned in G8" dataDxfId="51" dataCellStyle="Normal"/>
    <tableColumn id="18" xr3:uid="{B392F90D-9A3D-4EFC-8E8D-D471617CF8B8}" name="G8 Count" dataDxfId="48" dataCellStyle="Normal"/>
    <tableColumn id="19" xr3:uid="{8711C527-53B7-422F-AB73-AB9F1BD488ED}" name="Top Mentioned in G9" dataDxfId="47" dataCellStyle="Normal"/>
    <tableColumn id="20" xr3:uid="{37B66E78-DE63-4127-9064-40A100389F00}" name="G9 Count" dataDxfId="43" dataCellStyle="Normal"/>
    <tableColumn id="21" xr3:uid="{2115E11C-4C92-4645-B7EE-A5DF0A0FACD2}" name="Top Mentioned in G10" dataDxfId="42" dataCellStyle="Normal"/>
    <tableColumn id="22" xr3:uid="{9E96E2AF-55A1-4DA0-BA62-77D4B641E244}" name="G10 Count" dataDxfId="41" dataCellStyle="Normal"/>
  </tableColumns>
  <tableStyleInfo name="NodeXL Tabl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43822FD-2DB3-40B6-914E-67D0CF5D781D}" name="TwitterSearchNetworkTopItems_8" displayName="TwitterSearchNetworkTopItems_8" ref="A87:V97" totalsRowShown="0" headerRowDxfId="38" dataDxfId="37" dataCellStyle="Normal">
  <autoFilter ref="A87:V97" xr:uid="{1E1B1EF0-62D4-4055-82D6-4B9D909312CC}"/>
  <tableColumns count="22">
    <tableColumn id="1" xr3:uid="{14283646-5092-4F32-88FC-84D9835EC849}" name="Top Tweeters in Entire Graph" dataDxfId="36" dataCellStyle="Normal"/>
    <tableColumn id="2" xr3:uid="{3D1E6B0F-B82C-47FB-8961-FEC7EF6ED78C}" name="Entire Graph Count" dataDxfId="35" dataCellStyle="Normal"/>
    <tableColumn id="3" xr3:uid="{DE8B63F7-2729-4709-9910-14D46F8E7D74}" name="Top Tweeters in G1" dataDxfId="34" dataCellStyle="Normal"/>
    <tableColumn id="4" xr3:uid="{397E4620-71ED-44E5-B76D-AC07159C0922}" name="G1 Count" dataDxfId="33" dataCellStyle="Normal"/>
    <tableColumn id="5" xr3:uid="{C30893A2-C482-4C16-AAE2-05C99BD8D641}" name="Top Tweeters in G2" dataDxfId="32" dataCellStyle="Normal"/>
    <tableColumn id="6" xr3:uid="{42E09EAF-CA30-43CB-B14F-E88882C142DC}" name="G2 Count" dataDxfId="31" dataCellStyle="Normal"/>
    <tableColumn id="7" xr3:uid="{4FA7DB5F-7EF1-47DB-812C-F74D9C7DD488}" name="Top Tweeters in G3" dataDxfId="30" dataCellStyle="Normal"/>
    <tableColumn id="8" xr3:uid="{93AF9ED0-D51F-410D-B41D-50F12B89A9E6}" name="G3 Count" dataDxfId="29" dataCellStyle="Normal"/>
    <tableColumn id="9" xr3:uid="{0B03A441-8F67-4336-AD61-D2781091D28A}" name="Top Tweeters in G4" dataDxfId="28" dataCellStyle="Normal"/>
    <tableColumn id="10" xr3:uid="{492F59AD-4245-4C3E-8984-62B6DDE7D5D1}" name="G4 Count" dataDxfId="27" dataCellStyle="Normal"/>
    <tableColumn id="11" xr3:uid="{82D178CA-3CF9-4D56-912D-F911A8707B45}" name="Top Tweeters in G5" dataDxfId="26" dataCellStyle="Normal"/>
    <tableColumn id="12" xr3:uid="{C5222350-3B5F-4519-A00F-2FE5DD42D468}" name="G5 Count" dataDxfId="25" dataCellStyle="Normal"/>
    <tableColumn id="13" xr3:uid="{9D934009-4620-4CE0-90F6-34E0EA2F54E6}" name="Top Tweeters in G6" dataDxfId="24" dataCellStyle="Normal"/>
    <tableColumn id="14" xr3:uid="{EB4C0588-0FD3-408D-9204-124BE00C358E}" name="G6 Count" dataDxfId="23" dataCellStyle="Normal"/>
    <tableColumn id="15" xr3:uid="{58EBFB4C-CA9A-4C2F-B46E-7EC5C9531E75}" name="Top Tweeters in G7" dataDxfId="22" dataCellStyle="Normal"/>
    <tableColumn id="16" xr3:uid="{F79D3D4B-A3B6-48D1-B2F4-4B9BB2129D88}" name="G7 Count" dataDxfId="21" dataCellStyle="Normal"/>
    <tableColumn id="17" xr3:uid="{152A6D56-F974-4372-AB2E-23847E75EE80}" name="Top Tweeters in G8" dataDxfId="20" dataCellStyle="Normal"/>
    <tableColumn id="18" xr3:uid="{71BC66EB-772C-424D-9E5F-E45F2FE00098}" name="G8 Count" dataDxfId="19" dataCellStyle="Normal"/>
    <tableColumn id="19" xr3:uid="{FCBAB1D9-BA69-4AC6-89F5-F425ED78D6E7}" name="Top Tweeters in G9" dataDxfId="18" dataCellStyle="Normal"/>
    <tableColumn id="20" xr3:uid="{5DA8EC75-FA25-40DF-8C1F-613357D786EC}" name="G9 Count" dataDxfId="17" dataCellStyle="Normal"/>
    <tableColumn id="21" xr3:uid="{6743A558-3772-465C-B82E-430125CA3780}" name="Top Tweeters in G10" dataDxfId="16" dataCellStyle="Normal"/>
    <tableColumn id="22" xr3:uid="{9F01F1B3-DEC1-4833-A44C-FAF0C3D528FF}" name="G10 Count" dataDxfId="15" dataCellStyle="Normal"/>
  </tableColumns>
  <tableStyleInfo name="NodeXL 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AF19" totalsRowShown="0" headerRowDxfId="326">
  <autoFilter ref="A2:AF19" xr:uid="{00000000-0009-0000-0100-000004000000}"/>
  <tableColumns count="32">
    <tableColumn id="1" xr3:uid="{00000000-0010-0000-0200-000001000000}" name="Group" dataDxfId="325" dataCellStyle="NodeXL Required"/>
    <tableColumn id="2" xr3:uid="{00000000-0010-0000-0200-000002000000}" name="Vertex Color" dataDxfId="324" dataCellStyle="NodeXL Visual Property"/>
    <tableColumn id="3" xr3:uid="{00000000-0010-0000-0200-000003000000}" name="Vertex Shape" dataDxfId="323" dataCellStyle="NodeXL Visual Property"/>
    <tableColumn id="22" xr3:uid="{00000000-0010-0000-0200-000016000000}" name="Visibility" dataDxfId="322" dataCellStyle="NodeXL Visual Property"/>
    <tableColumn id="4" xr3:uid="{00000000-0010-0000-0200-000004000000}" name="Collapsed?" dataCellStyle="NodeXL Visual Property"/>
    <tableColumn id="18" xr3:uid="{00000000-0010-0000-0200-000012000000}" name="Label" dataDxfId="321"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320" dataCellStyle="NodeXL Do Not Edit"/>
    <tableColumn id="19" xr3:uid="{00000000-0010-0000-0200-000013000000}" name="Collapsed Properties" dataDxfId="319" dataCellStyle="NodeXL Do Not Edit"/>
    <tableColumn id="5" xr3:uid="{00000000-0010-0000-0200-000005000000}" name="Vertices" dataDxfId="318" dataCellStyle="NodeXL Graph Metric"/>
    <tableColumn id="7" xr3:uid="{00000000-0010-0000-0200-000007000000}" name="Unique Edges" dataDxfId="317" dataCellStyle="NodeXL Graph Metric"/>
    <tableColumn id="8" xr3:uid="{00000000-0010-0000-0200-000008000000}" name="Edges With Duplicates" dataDxfId="316" dataCellStyle="NodeXL Graph Metric"/>
    <tableColumn id="9" xr3:uid="{00000000-0010-0000-0200-000009000000}" name="Total Edges" dataDxfId="315" dataCellStyle="NodeXL Graph Metric"/>
    <tableColumn id="10" xr3:uid="{00000000-0010-0000-0200-00000A000000}" name="Self-Loops" dataDxfId="314" dataCellStyle="NodeXL Graph Metric"/>
    <tableColumn id="24" xr3:uid="{00000000-0010-0000-0200-000018000000}" name="Reciprocated Vertex Pair Ratio" dataDxfId="313" dataCellStyle="NodeXL Graph Metric"/>
    <tableColumn id="25" xr3:uid="{00000000-0010-0000-0200-000019000000}" name="Reciprocated Edge Ratio" dataDxfId="312" dataCellStyle="NodeXL Graph Metric"/>
    <tableColumn id="11" xr3:uid="{00000000-0010-0000-0200-00000B000000}" name="Connected Components" dataDxfId="311" dataCellStyle="NodeXL Graph Metric"/>
    <tableColumn id="12" xr3:uid="{00000000-0010-0000-0200-00000C000000}" name="Single-Vertex Connected Components" dataDxfId="310" dataCellStyle="NodeXL Graph Metric"/>
    <tableColumn id="13" xr3:uid="{00000000-0010-0000-0200-00000D000000}" name="Maximum Vertices in a Connected Component" dataDxfId="309" dataCellStyle="NodeXL Graph Metric"/>
    <tableColumn id="14" xr3:uid="{00000000-0010-0000-0200-00000E000000}" name="Maximum Edges in a Connected Component" dataDxfId="308" dataCellStyle="NodeXL Graph Metric"/>
    <tableColumn id="15" xr3:uid="{00000000-0010-0000-0200-00000F000000}" name="Maximum Geodesic Distance (Diameter)" dataDxfId="307" dataCellStyle="NodeXL Graph Metric"/>
    <tableColumn id="16" xr3:uid="{00000000-0010-0000-0200-000010000000}" name="Average Geodesic Distance" dataDxfId="306" dataCellStyle="NodeXL Graph Metric"/>
    <tableColumn id="17" xr3:uid="{00000000-0010-0000-0200-000011000000}" name="Graph Density" dataDxfId="189" dataCellStyle="NodeXL Graph Metric"/>
    <tableColumn id="23" xr3:uid="{4EF6C142-DB30-456A-A9DB-261D14FA339C}" name="Top URLs in Tweet" dataDxfId="164" dataCellStyle="Normal"/>
    <tableColumn id="26" xr3:uid="{7B76DB2C-5F47-4905-A515-B65399962D0F}" name="Top Domains in Tweet" dataDxfId="139" dataCellStyle="Normal"/>
    <tableColumn id="27" xr3:uid="{A92CD608-F644-4D81-8C90-DE3C9BC60851}" name="Top Hashtags in Tweet" dataDxfId="114" dataCellStyle="Normal"/>
    <tableColumn id="28" xr3:uid="{E756EABE-B21A-4C09-B6E7-F16D6364D3C7}" name="Top Words in Tweet" dataDxfId="89" dataCellStyle="Normal"/>
    <tableColumn id="29" xr3:uid="{23080A37-26E5-4117-A666-48CA163768AF}" name="Top Word Pairs in Tweet" dataDxfId="40" dataCellStyle="Normal"/>
    <tableColumn id="30" xr3:uid="{36538B93-5285-4D6D-9D37-32D81ABA1117}" name="Top Replied-To in Tweet" dataDxfId="39" dataCellStyle="Normal"/>
    <tableColumn id="31" xr3:uid="{283FC76B-42C7-4028-ACDC-D856CA27443F}" name="Top Mentioned in Tweet" dataDxfId="14" dataCellStyle="Normal"/>
    <tableColumn id="32" xr3:uid="{7831B071-2952-4FE6-BCA0-0362EEB60069}" name="Top Tweeters" dataDxfId="13" dataCellStyle="Normal"/>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123" totalsRowShown="0" headerRowDxfId="305" dataDxfId="304">
  <autoFilter ref="A1:C123" xr:uid="{00000000-0009-0000-0100-000005000000}"/>
  <tableColumns count="3">
    <tableColumn id="1" xr3:uid="{00000000-0010-0000-0300-000001000000}" name="Group" dataDxfId="303" dataCellStyle="Normal"/>
    <tableColumn id="2" xr3:uid="{00000000-0010-0000-0300-000002000000}" name="Vertex" dataDxfId="302" dataCellStyle="Normal"/>
    <tableColumn id="3" xr3:uid="{00000000-0010-0000-0300-000003000000}" name="Vertex ID" dataDxfId="301" dataCellStyle="Normal">
      <calculatedColumnFormula>VLOOKUP(GroupVertices[[#This Row],[Vertex]], Vertices[], MATCH("ID", Vertices[#Headers], 0), FALSE)</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43" totalsRowShown="0" dataCellStyle="NodeXL Graph Metric">
  <autoFilter ref="A1:B43" xr:uid="{00000000-0009-0000-0100-000006000000}"/>
  <tableColumns count="2">
    <tableColumn id="1" xr3:uid="{00000000-0010-0000-0400-000001000000}" name="Graph Metric" dataDxfId="300" dataCellStyle="NodeXL Graph Metric"/>
    <tableColumn id="2" xr3:uid="{00000000-0010-0000-0400-000002000000}" name="Value" dataDxfId="299"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298"/>
    <tableColumn id="2" xr3:uid="{00000000-0010-0000-0500-000002000000}" name="Degree Frequency" dataDxfId="297">
      <calculatedColumnFormula>COUNTIF(Vertices[Degree], "&gt;= " &amp; D2) - COUNTIF(Vertices[Degree], "&gt;=" &amp; D3)</calculatedColumnFormula>
    </tableColumn>
    <tableColumn id="3" xr3:uid="{00000000-0010-0000-0500-000003000000}" name="In-Degree Bin" dataDxfId="296"/>
    <tableColumn id="4" xr3:uid="{00000000-0010-0000-0500-000004000000}" name="In-Degree Frequency" dataDxfId="295">
      <calculatedColumnFormula>COUNTIF(Vertices[In-Degree], "&gt;= " &amp; F2) - COUNTIF(Vertices[In-Degree], "&gt;=" &amp; F3)</calculatedColumnFormula>
    </tableColumn>
    <tableColumn id="5" xr3:uid="{00000000-0010-0000-0500-000005000000}" name="Out-Degree Bin" dataDxfId="294"/>
    <tableColumn id="6" xr3:uid="{00000000-0010-0000-0500-000006000000}" name="Out-Degree Frequency" dataDxfId="293">
      <calculatedColumnFormula>COUNTIF(Vertices[Out-Degree], "&gt;= " &amp; H2) - COUNTIF(Vertices[Out-Degree], "&gt;=" &amp; H3)</calculatedColumnFormula>
    </tableColumn>
    <tableColumn id="7" xr3:uid="{00000000-0010-0000-0500-000007000000}" name="Betweenness Centrality Bin" dataDxfId="292"/>
    <tableColumn id="8" xr3:uid="{00000000-0010-0000-0500-000008000000}" name="Betweenness Centrality Frequency" dataDxfId="291">
      <calculatedColumnFormula>COUNTIF(Vertices[Betweenness Centrality], "&gt;= " &amp; J2) - COUNTIF(Vertices[Betweenness Centrality], "&gt;=" &amp; J3)</calculatedColumnFormula>
    </tableColumn>
    <tableColumn id="9" xr3:uid="{00000000-0010-0000-0500-000009000000}" name="Closeness Centrality Bin" dataDxfId="290"/>
    <tableColumn id="10" xr3:uid="{00000000-0010-0000-0500-00000A000000}" name="Closeness Centrality Frequency" dataDxfId="289">
      <calculatedColumnFormula>COUNTIF(Vertices[Closeness Centrality], "&gt;= " &amp; L2) - COUNTIF(Vertices[Closeness Centrality], "&gt;=" &amp; L3)</calculatedColumnFormula>
    </tableColumn>
    <tableColumn id="11" xr3:uid="{00000000-0010-0000-0500-00000B000000}" name="Eigenvector Centrality Bin" dataDxfId="288"/>
    <tableColumn id="12" xr3:uid="{00000000-0010-0000-0500-00000C000000}" name="Eigenvector Centrality Frequency" dataDxfId="287">
      <calculatedColumnFormula>COUNTIF(Vertices[Eigenvector Centrality], "&gt;= " &amp; N2) - COUNTIF(Vertices[Eigenvector Centrality], "&gt;=" &amp; N3)</calculatedColumnFormula>
    </tableColumn>
    <tableColumn id="18" xr3:uid="{00000000-0010-0000-0500-000012000000}" name="PageRank Bin" dataDxfId="286"/>
    <tableColumn id="17" xr3:uid="{00000000-0010-0000-0500-000011000000}" name="PageRank Frequency" dataDxfId="285">
      <calculatedColumnFormula>COUNTIF(Vertices[Eigenvector Centrality], "&gt;= " &amp; P2) - COUNTIF(Vertices[Eigenvector Centrality], "&gt;=" &amp; P3)</calculatedColumnFormula>
    </tableColumn>
    <tableColumn id="13" xr3:uid="{00000000-0010-0000-0500-00000D000000}" name="Clustering Coefficient Bin" dataDxfId="284"/>
    <tableColumn id="14" xr3:uid="{00000000-0010-0000-0500-00000E000000}" name="Clustering Coefficient Frequency" dataDxfId="283">
      <calculatedColumnFormula>COUNTIF(Vertices[Clustering Coefficient], "&gt;= " &amp; R2) - COUNTIF(Vertices[Clustering Coefficient], "&gt;=" &amp; R3)</calculatedColumnFormula>
    </tableColumn>
    <tableColumn id="15" xr3:uid="{00000000-0010-0000-0500-00000F000000}" name="Dynamic Filter Bin" dataDxfId="282"/>
    <tableColumn id="16" xr3:uid="{00000000-0010-0000-0500-000010000000}" name="Dynamic Filter Frequency" dataDxfId="281">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53:B54" insertRow="1" totalsRowShown="0" dataCellStyle="NodeXL Graph Metric">
  <autoFilter ref="A53:B54"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10" totalsRowShown="0" headerRowDxfId="280">
  <autoFilter ref="J1:K10"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3" Type="http://schemas.openxmlformats.org/officeDocument/2006/relationships/hyperlink" Target="https://www.collins.senate.gov/newsroom/collins-tester-baldwin-lead-push-trio-program-funding-assist-first-generation-low-income" TargetMode="External"/><Relationship Id="rId18" Type="http://schemas.openxmlformats.org/officeDocument/2006/relationships/hyperlink" Target="https://besteducationpractices.squarespace.com/" TargetMode="External"/><Relationship Id="rId26" Type="http://schemas.openxmlformats.org/officeDocument/2006/relationships/hyperlink" Target="https://www.youtube.com/watch?v=a9yZSmT6fwM&amp;feature=youtu.be" TargetMode="External"/><Relationship Id="rId3" Type="http://schemas.openxmlformats.org/officeDocument/2006/relationships/hyperlink" Target="https://doublepell.org/take-action/" TargetMode="External"/><Relationship Id="rId21" Type="http://schemas.openxmlformats.org/officeDocument/2006/relationships/hyperlink" Target="https://youtube.com/shorts/qku6RAs" TargetMode="External"/><Relationship Id="rId34" Type="http://schemas.openxmlformats.org/officeDocument/2006/relationships/table" Target="../tables/table21.xml"/><Relationship Id="rId7" Type="http://schemas.openxmlformats.org/officeDocument/2006/relationships/hyperlink" Target="https://youtu.be/AblrrbQT5AE" TargetMode="External"/><Relationship Id="rId12" Type="http://schemas.openxmlformats.org/officeDocument/2006/relationships/hyperlink" Target="https://twitter.com/SSSIvyTechFW/status/1420826156031414278" TargetMode="External"/><Relationship Id="rId17" Type="http://schemas.openxmlformats.org/officeDocument/2006/relationships/hyperlink" Target="https://www.chronicle.com/newsletter/the-edge/2021-07-28" TargetMode="External"/><Relationship Id="rId25" Type="http://schemas.openxmlformats.org/officeDocument/2006/relationships/hyperlink" Target="https://doublepell.org/take-action/" TargetMode="External"/><Relationship Id="rId33" Type="http://schemas.openxmlformats.org/officeDocument/2006/relationships/table" Target="../tables/table20.xml"/><Relationship Id="rId2" Type="http://schemas.openxmlformats.org/officeDocument/2006/relationships/hyperlink" Target="https://www.youtube.com/shorts/qku6RAs0B3k?feature=share" TargetMode="External"/><Relationship Id="rId16" Type="http://schemas.openxmlformats.org/officeDocument/2006/relationships/hyperlink" Target="https://firstgen.naspa.org/blog/101-ways-to-celebrate-on-nov-8" TargetMode="External"/><Relationship Id="rId20" Type="http://schemas.openxmlformats.org/officeDocument/2006/relationships/hyperlink" Target="https://www.youtube.com/shorts/qku6RAs0B3k?feature=share" TargetMode="External"/><Relationship Id="rId29" Type="http://schemas.openxmlformats.org/officeDocument/2006/relationships/table" Target="../tables/table16.xml"/><Relationship Id="rId1" Type="http://schemas.openxmlformats.org/officeDocument/2006/relationships/hyperlink" Target="https://twitter.com/_MABurnett/status/1420114213658402821" TargetMode="External"/><Relationship Id="rId6" Type="http://schemas.openxmlformats.org/officeDocument/2006/relationships/hyperlink" Target="https://youtube.com/shorts/qku6RAs" TargetMode="External"/><Relationship Id="rId11" Type="http://schemas.openxmlformats.org/officeDocument/2006/relationships/hyperlink" Target="https://twitter.com/coetalk/status/1421161509527474187" TargetMode="External"/><Relationship Id="rId24" Type="http://schemas.openxmlformats.org/officeDocument/2006/relationships/hyperlink" Target="https://familycentered.jotform.com/211244643290045?" TargetMode="External"/><Relationship Id="rId32" Type="http://schemas.openxmlformats.org/officeDocument/2006/relationships/table" Target="../tables/table19.xml"/><Relationship Id="rId5" Type="http://schemas.openxmlformats.org/officeDocument/2006/relationships/hyperlink" Target="https://twitter.com/coetalk/status/1421161509527474187" TargetMode="External"/><Relationship Id="rId15" Type="http://schemas.openxmlformats.org/officeDocument/2006/relationships/hyperlink" Target="https://latinovictory.us/latino-victory-fund-congratulates-new-york-city-council-candidates-for-winning-democratic-primary-election/" TargetMode="External"/><Relationship Id="rId23" Type="http://schemas.openxmlformats.org/officeDocument/2006/relationships/hyperlink" Target="https://twitter.com/AtlTechCollege/status/1419761172425973767" TargetMode="External"/><Relationship Id="rId28" Type="http://schemas.openxmlformats.org/officeDocument/2006/relationships/table" Target="../tables/table15.xml"/><Relationship Id="rId10" Type="http://schemas.openxmlformats.org/officeDocument/2006/relationships/hyperlink" Target="https://go.fiu.edu/sssgoodtrouble" TargetMode="External"/><Relationship Id="rId19" Type="http://schemas.openxmlformats.org/officeDocument/2006/relationships/hyperlink" Target="https://twitter.com/_MABurnett/status/1420114213658402821" TargetMode="External"/><Relationship Id="rId31" Type="http://schemas.openxmlformats.org/officeDocument/2006/relationships/table" Target="../tables/table18.xml"/><Relationship Id="rId4" Type="http://schemas.openxmlformats.org/officeDocument/2006/relationships/hyperlink" Target="https://twitter.com/SSSIvyTechFW/status/1420826156031414278" TargetMode="External"/><Relationship Id="rId9" Type="http://schemas.openxmlformats.org/officeDocument/2006/relationships/hyperlink" Target="https://firstgen.naspa.org/blog/101-ways-to-celebrate-on-nov-8" TargetMode="External"/><Relationship Id="rId14" Type="http://schemas.openxmlformats.org/officeDocument/2006/relationships/hyperlink" Target="https://thenevadaindependent.com/article/new-funding-gives-boost-to-programs-serving-future-first-generation-college-students" TargetMode="External"/><Relationship Id="rId22" Type="http://schemas.openxmlformats.org/officeDocument/2006/relationships/hyperlink" Target="https://youtu.be/AblrrbQT5AE" TargetMode="External"/><Relationship Id="rId27" Type="http://schemas.openxmlformats.org/officeDocument/2006/relationships/table" Target="../tables/table14.xml"/><Relationship Id="rId30" Type="http://schemas.openxmlformats.org/officeDocument/2006/relationships/table" Target="../tables/table17.xml"/><Relationship Id="rId8" Type="http://schemas.openxmlformats.org/officeDocument/2006/relationships/hyperlink" Target="https://familycentered.jotform.com/211244643290045?"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E362"/>
  <sheetViews>
    <sheetView tabSelected="1" workbookViewId="0">
      <pane xSplit="2" ySplit="2" topLeftCell="C105" activePane="bottomRight" state="frozen"/>
      <selection pane="topRight" activeCell="C1" sqref="C1"/>
      <selection pane="bottomLeft" activeCell="A3" sqref="A3"/>
      <selection pane="bottomRight" activeCell="A2" sqref="A2"/>
    </sheetView>
  </sheetViews>
  <sheetFormatPr defaultRowHeight="15" x14ac:dyDescent="0.25"/>
  <cols>
    <col min="1" max="1" width="16.5703125" style="1" customWidth="1"/>
    <col min="2" max="2" width="31"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9.5703125" customWidth="1"/>
    <col min="19" max="19" width="13.140625" bestFit="1" customWidth="1"/>
    <col min="20" max="20" width="13.28515625" bestFit="1" customWidth="1"/>
    <col min="21" max="21" width="11" bestFit="1" customWidth="1"/>
    <col min="22" max="22" width="14.7109375" bestFit="1" customWidth="1"/>
    <col min="23" max="23" width="16" customWidth="1"/>
    <col min="24" max="24" width="12.140625" customWidth="1"/>
    <col min="25" max="25" width="7.7109375" bestFit="1" customWidth="1"/>
    <col min="26" max="26" width="22" customWidth="1"/>
    <col min="27" max="27" width="10.5703125" bestFit="1" customWidth="1"/>
    <col min="28" max="28" width="12.140625" bestFit="1" customWidth="1"/>
    <col min="29" max="29" width="11.5703125" bestFit="1" customWidth="1"/>
    <col min="30" max="30" width="13.5703125" bestFit="1" customWidth="1"/>
    <col min="31" max="31" width="11.7109375" bestFit="1" customWidth="1"/>
    <col min="32" max="32" width="10.5703125" bestFit="1" customWidth="1"/>
    <col min="33" max="33" width="13.5703125" bestFit="1" customWidth="1"/>
    <col min="34" max="34" width="10.7109375" bestFit="1" customWidth="1"/>
    <col min="35" max="35" width="11.5703125" bestFit="1" customWidth="1"/>
    <col min="36" max="36" width="11.42578125" bestFit="1" customWidth="1"/>
    <col min="37" max="37" width="11" bestFit="1" customWidth="1"/>
    <col min="38" max="38" width="13.140625" bestFit="1" customWidth="1"/>
    <col min="39" max="39" width="10.85546875" bestFit="1" customWidth="1"/>
    <col min="40" max="40" width="13.140625" bestFit="1" customWidth="1"/>
    <col min="41" max="41" width="9.28515625" bestFit="1" customWidth="1"/>
    <col min="42" max="42" width="12.140625" bestFit="1" customWidth="1"/>
    <col min="43" max="43" width="12" bestFit="1" customWidth="1"/>
    <col min="44" max="44" width="13.5703125" bestFit="1" customWidth="1"/>
    <col min="45" max="45" width="20.85546875" bestFit="1" customWidth="1"/>
    <col min="46" max="46" width="19.7109375" bestFit="1" customWidth="1"/>
    <col min="47" max="47" width="17" bestFit="1" customWidth="1"/>
    <col min="48" max="48" width="10.28515625" bestFit="1" customWidth="1"/>
    <col min="49" max="49" width="15.5703125" bestFit="1" customWidth="1"/>
    <col min="50" max="50" width="11.7109375" bestFit="1" customWidth="1"/>
    <col min="51" max="51" width="10.28515625" bestFit="1" customWidth="1"/>
    <col min="52" max="52" width="8.5703125" bestFit="1" customWidth="1"/>
    <col min="53" max="54" width="8" bestFit="1" customWidth="1"/>
    <col min="55" max="55" width="14.42578125" customWidth="1"/>
    <col min="56" max="57" width="10.7109375" bestFit="1" customWidth="1"/>
  </cols>
  <sheetData>
    <row r="1" spans="1:57" x14ac:dyDescent="0.25">
      <c r="C1" s="17" t="s">
        <v>39</v>
      </c>
      <c r="D1" s="18"/>
      <c r="E1" s="18"/>
      <c r="F1" s="18"/>
      <c r="G1" s="17"/>
      <c r="H1" s="15" t="s">
        <v>43</v>
      </c>
      <c r="I1" s="52"/>
      <c r="J1" s="52"/>
      <c r="K1" s="34" t="s">
        <v>42</v>
      </c>
      <c r="L1" s="19" t="s">
        <v>40</v>
      </c>
      <c r="M1" s="19"/>
      <c r="N1" s="16" t="s">
        <v>41</v>
      </c>
    </row>
    <row r="2" spans="1:57" ht="30" customHeight="1" x14ac:dyDescent="0.25">
      <c r="A2" s="11" t="s">
        <v>0</v>
      </c>
      <c r="B2" s="11" t="s">
        <v>1</v>
      </c>
      <c r="C2" s="13" t="s">
        <v>2</v>
      </c>
      <c r="D2" s="13" t="s">
        <v>3</v>
      </c>
      <c r="E2" s="13" t="s">
        <v>129</v>
      </c>
      <c r="F2" s="13" t="s">
        <v>4</v>
      </c>
      <c r="G2" s="13" t="s">
        <v>11</v>
      </c>
      <c r="H2" s="11" t="s">
        <v>46</v>
      </c>
      <c r="I2" s="13" t="s">
        <v>159</v>
      </c>
      <c r="J2" s="13" t="s">
        <v>160</v>
      </c>
      <c r="K2" s="13" t="s">
        <v>164</v>
      </c>
      <c r="L2" s="13" t="s">
        <v>12</v>
      </c>
      <c r="M2" s="13" t="s">
        <v>38</v>
      </c>
      <c r="N2" s="13" t="s">
        <v>26</v>
      </c>
      <c r="O2" s="13" t="s">
        <v>175</v>
      </c>
      <c r="P2" s="13" t="s">
        <v>176</v>
      </c>
      <c r="Q2" s="13" t="s">
        <v>177</v>
      </c>
      <c r="R2" s="13" t="s">
        <v>178</v>
      </c>
      <c r="S2" s="13" t="s">
        <v>179</v>
      </c>
      <c r="T2" s="13" t="s">
        <v>180</v>
      </c>
      <c r="U2" s="13" t="s">
        <v>181</v>
      </c>
      <c r="V2" s="13" t="s">
        <v>182</v>
      </c>
      <c r="W2" s="13" t="s">
        <v>183</v>
      </c>
      <c r="X2" s="13" t="s">
        <v>184</v>
      </c>
      <c r="Y2" s="13" t="s">
        <v>185</v>
      </c>
      <c r="Z2" s="13" t="s">
        <v>186</v>
      </c>
      <c r="AA2" s="13" t="s">
        <v>187</v>
      </c>
      <c r="AB2" s="13" t="s">
        <v>188</v>
      </c>
      <c r="AC2" s="13" t="s">
        <v>189</v>
      </c>
      <c r="AD2" s="13" t="s">
        <v>190</v>
      </c>
      <c r="AE2" s="13" t="s">
        <v>191</v>
      </c>
      <c r="AF2" s="13" t="s">
        <v>192</v>
      </c>
      <c r="AG2" s="13" t="s">
        <v>193</v>
      </c>
      <c r="AH2" s="13" t="s">
        <v>194</v>
      </c>
      <c r="AI2" s="13" t="s">
        <v>195</v>
      </c>
      <c r="AJ2" s="13" t="s">
        <v>196</v>
      </c>
      <c r="AK2" s="13" t="s">
        <v>197</v>
      </c>
      <c r="AL2" s="13" t="s">
        <v>198</v>
      </c>
      <c r="AM2" s="13" t="s">
        <v>199</v>
      </c>
      <c r="AN2" s="13" t="s">
        <v>200</v>
      </c>
      <c r="AO2" s="13" t="s">
        <v>201</v>
      </c>
      <c r="AP2" s="13" t="s">
        <v>202</v>
      </c>
      <c r="AQ2" s="13" t="s">
        <v>203</v>
      </c>
      <c r="AR2" s="13" t="s">
        <v>204</v>
      </c>
      <c r="AS2" s="13" t="s">
        <v>205</v>
      </c>
      <c r="AT2" s="13" t="s">
        <v>206</v>
      </c>
      <c r="AU2" s="13" t="s">
        <v>207</v>
      </c>
      <c r="AV2" s="13" t="s">
        <v>208</v>
      </c>
      <c r="AW2" s="13" t="s">
        <v>209</v>
      </c>
      <c r="AX2" s="13" t="s">
        <v>210</v>
      </c>
      <c r="AY2" s="13" t="s">
        <v>211</v>
      </c>
      <c r="AZ2" s="13" t="s">
        <v>212</v>
      </c>
      <c r="BA2" s="13" t="s">
        <v>213</v>
      </c>
      <c r="BB2" s="13" t="s">
        <v>214</v>
      </c>
      <c r="BC2" t="s">
        <v>1500</v>
      </c>
      <c r="BD2" s="13" t="s">
        <v>1531</v>
      </c>
      <c r="BE2" s="13" t="s">
        <v>1532</v>
      </c>
    </row>
    <row r="3" spans="1:57" x14ac:dyDescent="0.25">
      <c r="A3" s="64" t="s">
        <v>294</v>
      </c>
      <c r="B3" s="64" t="s">
        <v>294</v>
      </c>
      <c r="C3" s="65" t="s">
        <v>2092</v>
      </c>
      <c r="D3" s="66">
        <v>10</v>
      </c>
      <c r="E3" s="67"/>
      <c r="F3" s="68">
        <v>20</v>
      </c>
      <c r="G3" s="65"/>
      <c r="H3" s="69"/>
      <c r="I3" s="70"/>
      <c r="J3" s="70"/>
      <c r="K3" s="35" t="s">
        <v>65</v>
      </c>
      <c r="L3" s="77">
        <v>3</v>
      </c>
      <c r="M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 s="72"/>
      <c r="O3" s="79" t="s">
        <v>177</v>
      </c>
      <c r="P3" s="81">
        <v>44402.676504629628</v>
      </c>
      <c r="Q3" s="79" t="s">
        <v>400</v>
      </c>
      <c r="R3" s="79"/>
      <c r="S3" s="79"/>
      <c r="T3" s="85" t="s">
        <v>491</v>
      </c>
      <c r="U3" s="83" t="str">
        <f>HYPERLINK("https://pbs.twimg.com/media/E7J5O47WEAIbSxX.jpg")</f>
        <v>https://pbs.twimg.com/media/E7J5O47WEAIbSxX.jpg</v>
      </c>
      <c r="V3" s="83" t="str">
        <f>HYPERLINK("https://pbs.twimg.com/media/E7J5O47WEAIbSxX.jpg")</f>
        <v>https://pbs.twimg.com/media/E7J5O47WEAIbSxX.jpg</v>
      </c>
      <c r="W3" s="81">
        <v>44402.676504629628</v>
      </c>
      <c r="X3" s="87">
        <v>44402</v>
      </c>
      <c r="Y3" s="85" t="s">
        <v>634</v>
      </c>
      <c r="Z3" s="83" t="str">
        <f>HYPERLINK("https://twitter.com/irbound/status/1419330140891385860")</f>
        <v>https://twitter.com/irbound/status/1419330140891385860</v>
      </c>
      <c r="AA3" s="79"/>
      <c r="AB3" s="79"/>
      <c r="AC3" s="85" t="s">
        <v>814</v>
      </c>
      <c r="AD3" s="79"/>
      <c r="AE3" s="79" t="b">
        <v>0</v>
      </c>
      <c r="AF3" s="79">
        <v>0</v>
      </c>
      <c r="AG3" s="85" t="s">
        <v>867</v>
      </c>
      <c r="AH3" s="79" t="b">
        <v>0</v>
      </c>
      <c r="AI3" s="79" t="s">
        <v>874</v>
      </c>
      <c r="AJ3" s="79"/>
      <c r="AK3" s="85" t="s">
        <v>867</v>
      </c>
      <c r="AL3" s="79" t="b">
        <v>0</v>
      </c>
      <c r="AM3" s="79">
        <v>0</v>
      </c>
      <c r="AN3" s="85" t="s">
        <v>867</v>
      </c>
      <c r="AO3" s="85" t="s">
        <v>887</v>
      </c>
      <c r="AP3" s="79" t="b">
        <v>0</v>
      </c>
      <c r="AQ3" s="85" t="s">
        <v>814</v>
      </c>
      <c r="AR3" s="79" t="s">
        <v>177</v>
      </c>
      <c r="AS3" s="79">
        <v>0</v>
      </c>
      <c r="AT3" s="79">
        <v>0</v>
      </c>
      <c r="AU3" s="79"/>
      <c r="AV3" s="79"/>
      <c r="AW3" s="79"/>
      <c r="AX3" s="79"/>
      <c r="AY3" s="79"/>
      <c r="AZ3" s="79"/>
      <c r="BA3" s="79"/>
      <c r="BB3" s="79"/>
      <c r="BC3">
        <v>22</v>
      </c>
      <c r="BD3" s="78" t="str">
        <f>REPLACE(INDEX(GroupVertices[Group], MATCH(Edges[[#This Row],[Vertex 1]],GroupVertices[Vertex],0)),1,1,"")</f>
        <v>5</v>
      </c>
      <c r="BE3" s="78" t="str">
        <f>REPLACE(INDEX(GroupVertices[Group], MATCH(Edges[[#This Row],[Vertex 2]],GroupVertices[Vertex],0)),1,1,"")</f>
        <v>5</v>
      </c>
    </row>
    <row r="4" spans="1:57" x14ac:dyDescent="0.25">
      <c r="A4" s="64" t="s">
        <v>294</v>
      </c>
      <c r="B4" s="64" t="s">
        <v>294</v>
      </c>
      <c r="C4" s="65" t="s">
        <v>2092</v>
      </c>
      <c r="D4" s="66">
        <v>10</v>
      </c>
      <c r="E4" s="67"/>
      <c r="F4" s="68">
        <v>20</v>
      </c>
      <c r="G4" s="65"/>
      <c r="H4" s="69"/>
      <c r="I4" s="70"/>
      <c r="J4" s="70"/>
      <c r="K4" s="35" t="s">
        <v>65</v>
      </c>
      <c r="L4" s="77">
        <v>4</v>
      </c>
      <c r="M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4" s="72"/>
      <c r="O4" s="79" t="s">
        <v>177</v>
      </c>
      <c r="P4" s="81">
        <v>44407.636412037034</v>
      </c>
      <c r="Q4" s="79" t="s">
        <v>401</v>
      </c>
      <c r="R4" s="79"/>
      <c r="S4" s="79"/>
      <c r="T4" s="85" t="s">
        <v>461</v>
      </c>
      <c r="U4" s="83" t="str">
        <f>HYPERLINK("https://pbs.twimg.com/media/E7jb-EJXoAABi_h.jpg")</f>
        <v>https://pbs.twimg.com/media/E7jb-EJXoAABi_h.jpg</v>
      </c>
      <c r="V4" s="83" t="str">
        <f>HYPERLINK("https://pbs.twimg.com/media/E7jb-EJXoAABi_h.jpg")</f>
        <v>https://pbs.twimg.com/media/E7jb-EJXoAABi_h.jpg</v>
      </c>
      <c r="W4" s="81">
        <v>44407.636412037034</v>
      </c>
      <c r="X4" s="87">
        <v>44407</v>
      </c>
      <c r="Y4" s="85" t="s">
        <v>635</v>
      </c>
      <c r="Z4" s="83" t="str">
        <f>HYPERLINK("https://twitter.com/irbound/status/1421127552438054913")</f>
        <v>https://twitter.com/irbound/status/1421127552438054913</v>
      </c>
      <c r="AA4" s="79"/>
      <c r="AB4" s="79"/>
      <c r="AC4" s="85" t="s">
        <v>815</v>
      </c>
      <c r="AD4" s="79"/>
      <c r="AE4" s="79" t="b">
        <v>0</v>
      </c>
      <c r="AF4" s="79">
        <v>1</v>
      </c>
      <c r="AG4" s="85" t="s">
        <v>867</v>
      </c>
      <c r="AH4" s="79" t="b">
        <v>0</v>
      </c>
      <c r="AI4" s="79" t="s">
        <v>874</v>
      </c>
      <c r="AJ4" s="79"/>
      <c r="AK4" s="85" t="s">
        <v>867</v>
      </c>
      <c r="AL4" s="79" t="b">
        <v>0</v>
      </c>
      <c r="AM4" s="79">
        <v>0</v>
      </c>
      <c r="AN4" s="85" t="s">
        <v>867</v>
      </c>
      <c r="AO4" s="85" t="s">
        <v>887</v>
      </c>
      <c r="AP4" s="79" t="b">
        <v>0</v>
      </c>
      <c r="AQ4" s="85" t="s">
        <v>815</v>
      </c>
      <c r="AR4" s="79" t="s">
        <v>177</v>
      </c>
      <c r="AS4" s="79">
        <v>0</v>
      </c>
      <c r="AT4" s="79">
        <v>0</v>
      </c>
      <c r="AU4" s="79"/>
      <c r="AV4" s="79"/>
      <c r="AW4" s="79"/>
      <c r="AX4" s="79"/>
      <c r="AY4" s="79"/>
      <c r="AZ4" s="79"/>
      <c r="BA4" s="79"/>
      <c r="BB4" s="79"/>
      <c r="BC4">
        <v>22</v>
      </c>
      <c r="BD4" s="78" t="str">
        <f>REPLACE(INDEX(GroupVertices[Group], MATCH(Edges[[#This Row],[Vertex 1]],GroupVertices[Vertex],0)),1,1,"")</f>
        <v>5</v>
      </c>
      <c r="BE4" s="78" t="str">
        <f>REPLACE(INDEX(GroupVertices[Group], MATCH(Edges[[#This Row],[Vertex 2]],GroupVertices[Vertex],0)),1,1,"")</f>
        <v>5</v>
      </c>
    </row>
    <row r="5" spans="1:57" x14ac:dyDescent="0.25">
      <c r="A5" s="64" t="s">
        <v>294</v>
      </c>
      <c r="B5" s="64" t="s">
        <v>294</v>
      </c>
      <c r="C5" s="65" t="s">
        <v>2092</v>
      </c>
      <c r="D5" s="66">
        <v>10</v>
      </c>
      <c r="E5" s="67"/>
      <c r="F5" s="68">
        <v>20</v>
      </c>
      <c r="G5" s="65"/>
      <c r="H5" s="69"/>
      <c r="I5" s="70"/>
      <c r="J5" s="70"/>
      <c r="K5" s="35" t="s">
        <v>65</v>
      </c>
      <c r="L5" s="77">
        <v>5</v>
      </c>
      <c r="M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5" s="72"/>
      <c r="O5" s="79" t="s">
        <v>177</v>
      </c>
      <c r="P5" s="81">
        <v>44407.640833333331</v>
      </c>
      <c r="Q5" s="79" t="s">
        <v>402</v>
      </c>
      <c r="R5" s="79"/>
      <c r="S5" s="79"/>
      <c r="T5" s="85" t="s">
        <v>461</v>
      </c>
      <c r="U5" s="83" t="str">
        <f>HYPERLINK("https://pbs.twimg.com/media/E7jdbYxWUAM1zkS.jpg")</f>
        <v>https://pbs.twimg.com/media/E7jdbYxWUAM1zkS.jpg</v>
      </c>
      <c r="V5" s="83" t="str">
        <f>HYPERLINK("https://pbs.twimg.com/media/E7jdbYxWUAM1zkS.jpg")</f>
        <v>https://pbs.twimg.com/media/E7jdbYxWUAM1zkS.jpg</v>
      </c>
      <c r="W5" s="81">
        <v>44407.640833333331</v>
      </c>
      <c r="X5" s="87">
        <v>44407</v>
      </c>
      <c r="Y5" s="85" t="s">
        <v>636</v>
      </c>
      <c r="Z5" s="83" t="str">
        <f>HYPERLINK("https://twitter.com/irbound/status/1421129156234973191")</f>
        <v>https://twitter.com/irbound/status/1421129156234973191</v>
      </c>
      <c r="AA5" s="79"/>
      <c r="AB5" s="79"/>
      <c r="AC5" s="85" t="s">
        <v>816</v>
      </c>
      <c r="AD5" s="79"/>
      <c r="AE5" s="79" t="b">
        <v>0</v>
      </c>
      <c r="AF5" s="79">
        <v>1</v>
      </c>
      <c r="AG5" s="85" t="s">
        <v>867</v>
      </c>
      <c r="AH5" s="79" t="b">
        <v>0</v>
      </c>
      <c r="AI5" s="79" t="s">
        <v>874</v>
      </c>
      <c r="AJ5" s="79"/>
      <c r="AK5" s="85" t="s">
        <v>867</v>
      </c>
      <c r="AL5" s="79" t="b">
        <v>0</v>
      </c>
      <c r="AM5" s="79">
        <v>0</v>
      </c>
      <c r="AN5" s="85" t="s">
        <v>867</v>
      </c>
      <c r="AO5" s="85" t="s">
        <v>887</v>
      </c>
      <c r="AP5" s="79" t="b">
        <v>0</v>
      </c>
      <c r="AQ5" s="85" t="s">
        <v>816</v>
      </c>
      <c r="AR5" s="79" t="s">
        <v>177</v>
      </c>
      <c r="AS5" s="79">
        <v>0</v>
      </c>
      <c r="AT5" s="79">
        <v>0</v>
      </c>
      <c r="AU5" s="79"/>
      <c r="AV5" s="79"/>
      <c r="AW5" s="79"/>
      <c r="AX5" s="79"/>
      <c r="AY5" s="79"/>
      <c r="AZ5" s="79"/>
      <c r="BA5" s="79"/>
      <c r="BB5" s="79"/>
      <c r="BC5">
        <v>22</v>
      </c>
      <c r="BD5" s="78" t="str">
        <f>REPLACE(INDEX(GroupVertices[Group], MATCH(Edges[[#This Row],[Vertex 1]],GroupVertices[Vertex],0)),1,1,"")</f>
        <v>5</v>
      </c>
      <c r="BE5" s="78" t="str">
        <f>REPLACE(INDEX(GroupVertices[Group], MATCH(Edges[[#This Row],[Vertex 2]],GroupVertices[Vertex],0)),1,1,"")</f>
        <v>5</v>
      </c>
    </row>
    <row r="6" spans="1:57" x14ac:dyDescent="0.25">
      <c r="A6" s="64" t="s">
        <v>294</v>
      </c>
      <c r="B6" s="64" t="s">
        <v>294</v>
      </c>
      <c r="C6" s="65" t="s">
        <v>2092</v>
      </c>
      <c r="D6" s="66">
        <v>10</v>
      </c>
      <c r="E6" s="67"/>
      <c r="F6" s="68">
        <v>20</v>
      </c>
      <c r="G6" s="65"/>
      <c r="H6" s="69"/>
      <c r="I6" s="70"/>
      <c r="J6" s="70"/>
      <c r="K6" s="35" t="s">
        <v>65</v>
      </c>
      <c r="L6" s="77">
        <v>6</v>
      </c>
      <c r="M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6" s="72"/>
      <c r="O6" s="79" t="s">
        <v>177</v>
      </c>
      <c r="P6" s="81">
        <v>44407.646550925929</v>
      </c>
      <c r="Q6" s="79" t="s">
        <v>403</v>
      </c>
      <c r="R6" s="79"/>
      <c r="S6" s="79"/>
      <c r="T6" s="85" t="s">
        <v>461</v>
      </c>
      <c r="U6" s="83" t="str">
        <f>HYPERLINK("https://pbs.twimg.com/media/E7jfT4hWEAQGREC.jpg")</f>
        <v>https://pbs.twimg.com/media/E7jfT4hWEAQGREC.jpg</v>
      </c>
      <c r="V6" s="83" t="str">
        <f>HYPERLINK("https://pbs.twimg.com/media/E7jfT4hWEAQGREC.jpg")</f>
        <v>https://pbs.twimg.com/media/E7jfT4hWEAQGREC.jpg</v>
      </c>
      <c r="W6" s="81">
        <v>44407.646550925929</v>
      </c>
      <c r="X6" s="87">
        <v>44407</v>
      </c>
      <c r="Y6" s="85" t="s">
        <v>637</v>
      </c>
      <c r="Z6" s="83" t="str">
        <f>HYPERLINK("https://twitter.com/irbound/status/1421131227323682823")</f>
        <v>https://twitter.com/irbound/status/1421131227323682823</v>
      </c>
      <c r="AA6" s="79"/>
      <c r="AB6" s="79"/>
      <c r="AC6" s="85" t="s">
        <v>817</v>
      </c>
      <c r="AD6" s="79"/>
      <c r="AE6" s="79" t="b">
        <v>0</v>
      </c>
      <c r="AF6" s="79">
        <v>1</v>
      </c>
      <c r="AG6" s="85" t="s">
        <v>867</v>
      </c>
      <c r="AH6" s="79" t="b">
        <v>0</v>
      </c>
      <c r="AI6" s="79" t="s">
        <v>874</v>
      </c>
      <c r="AJ6" s="79"/>
      <c r="AK6" s="85" t="s">
        <v>867</v>
      </c>
      <c r="AL6" s="79" t="b">
        <v>0</v>
      </c>
      <c r="AM6" s="79">
        <v>0</v>
      </c>
      <c r="AN6" s="85" t="s">
        <v>867</v>
      </c>
      <c r="AO6" s="85" t="s">
        <v>887</v>
      </c>
      <c r="AP6" s="79" t="b">
        <v>0</v>
      </c>
      <c r="AQ6" s="85" t="s">
        <v>817</v>
      </c>
      <c r="AR6" s="79" t="s">
        <v>177</v>
      </c>
      <c r="AS6" s="79">
        <v>0</v>
      </c>
      <c r="AT6" s="79">
        <v>0</v>
      </c>
      <c r="AU6" s="79"/>
      <c r="AV6" s="79"/>
      <c r="AW6" s="79"/>
      <c r="AX6" s="79"/>
      <c r="AY6" s="79"/>
      <c r="AZ6" s="79"/>
      <c r="BA6" s="79"/>
      <c r="BB6" s="79"/>
      <c r="BC6">
        <v>22</v>
      </c>
      <c r="BD6" s="78" t="str">
        <f>REPLACE(INDEX(GroupVertices[Group], MATCH(Edges[[#This Row],[Vertex 1]],GroupVertices[Vertex],0)),1,1,"")</f>
        <v>5</v>
      </c>
      <c r="BE6" s="78" t="str">
        <f>REPLACE(INDEX(GroupVertices[Group], MATCH(Edges[[#This Row],[Vertex 2]],GroupVertices[Vertex],0)),1,1,"")</f>
        <v>5</v>
      </c>
    </row>
    <row r="7" spans="1:57" x14ac:dyDescent="0.25">
      <c r="A7" s="64" t="s">
        <v>294</v>
      </c>
      <c r="B7" s="64" t="s">
        <v>294</v>
      </c>
      <c r="C7" s="65" t="s">
        <v>2092</v>
      </c>
      <c r="D7" s="66">
        <v>10</v>
      </c>
      <c r="E7" s="67"/>
      <c r="F7" s="68">
        <v>20</v>
      </c>
      <c r="G7" s="65"/>
      <c r="H7" s="69"/>
      <c r="I7" s="70"/>
      <c r="J7" s="70"/>
      <c r="K7" s="35" t="s">
        <v>65</v>
      </c>
      <c r="L7" s="77">
        <v>7</v>
      </c>
      <c r="M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7" s="72"/>
      <c r="O7" s="79" t="s">
        <v>177</v>
      </c>
      <c r="P7" s="81">
        <v>44407.665000000001</v>
      </c>
      <c r="Q7" s="79" t="s">
        <v>404</v>
      </c>
      <c r="R7" s="79"/>
      <c r="S7" s="79"/>
      <c r="T7" s="85" t="s">
        <v>461</v>
      </c>
      <c r="U7" s="83" t="str">
        <f>HYPERLINK("https://pbs.twimg.com/media/E7jlZPvX0AUCbs2.jpg")</f>
        <v>https://pbs.twimg.com/media/E7jlZPvX0AUCbs2.jpg</v>
      </c>
      <c r="V7" s="83" t="str">
        <f>HYPERLINK("https://pbs.twimg.com/media/E7jlZPvX0AUCbs2.jpg")</f>
        <v>https://pbs.twimg.com/media/E7jlZPvX0AUCbs2.jpg</v>
      </c>
      <c r="W7" s="81">
        <v>44407.665000000001</v>
      </c>
      <c r="X7" s="87">
        <v>44407</v>
      </c>
      <c r="Y7" s="85" t="s">
        <v>638</v>
      </c>
      <c r="Z7" s="83" t="str">
        <f>HYPERLINK("https://twitter.com/irbound/status/1421137914348679183")</f>
        <v>https://twitter.com/irbound/status/1421137914348679183</v>
      </c>
      <c r="AA7" s="79"/>
      <c r="AB7" s="79"/>
      <c r="AC7" s="85" t="s">
        <v>818</v>
      </c>
      <c r="AD7" s="79"/>
      <c r="AE7" s="79" t="b">
        <v>0</v>
      </c>
      <c r="AF7" s="79">
        <v>0</v>
      </c>
      <c r="AG7" s="85" t="s">
        <v>867</v>
      </c>
      <c r="AH7" s="79" t="b">
        <v>0</v>
      </c>
      <c r="AI7" s="79" t="s">
        <v>874</v>
      </c>
      <c r="AJ7" s="79"/>
      <c r="AK7" s="85" t="s">
        <v>867</v>
      </c>
      <c r="AL7" s="79" t="b">
        <v>0</v>
      </c>
      <c r="AM7" s="79">
        <v>0</v>
      </c>
      <c r="AN7" s="85" t="s">
        <v>867</v>
      </c>
      <c r="AO7" s="85" t="s">
        <v>887</v>
      </c>
      <c r="AP7" s="79" t="b">
        <v>0</v>
      </c>
      <c r="AQ7" s="85" t="s">
        <v>818</v>
      </c>
      <c r="AR7" s="79" t="s">
        <v>177</v>
      </c>
      <c r="AS7" s="79">
        <v>0</v>
      </c>
      <c r="AT7" s="79">
        <v>0</v>
      </c>
      <c r="AU7" s="79" t="s">
        <v>898</v>
      </c>
      <c r="AV7" s="79" t="s">
        <v>902</v>
      </c>
      <c r="AW7" s="79" t="s">
        <v>903</v>
      </c>
      <c r="AX7" s="79" t="s">
        <v>911</v>
      </c>
      <c r="AY7" s="79" t="s">
        <v>921</v>
      </c>
      <c r="AZ7" s="79" t="s">
        <v>927</v>
      </c>
      <c r="BA7" s="79" t="s">
        <v>930</v>
      </c>
      <c r="BB7" s="83" t="str">
        <f>HYPERLINK("https://api.twitter.com/1.1/geo/id/b2acf3dee65e2eaa.json")</f>
        <v>https://api.twitter.com/1.1/geo/id/b2acf3dee65e2eaa.json</v>
      </c>
      <c r="BC7">
        <v>22</v>
      </c>
      <c r="BD7" s="78" t="str">
        <f>REPLACE(INDEX(GroupVertices[Group], MATCH(Edges[[#This Row],[Vertex 1]],GroupVertices[Vertex],0)),1,1,"")</f>
        <v>5</v>
      </c>
      <c r="BE7" s="78" t="str">
        <f>REPLACE(INDEX(GroupVertices[Group], MATCH(Edges[[#This Row],[Vertex 2]],GroupVertices[Vertex],0)),1,1,"")</f>
        <v>5</v>
      </c>
    </row>
    <row r="8" spans="1:57" x14ac:dyDescent="0.25">
      <c r="A8" s="64" t="s">
        <v>294</v>
      </c>
      <c r="B8" s="64" t="s">
        <v>294</v>
      </c>
      <c r="C8" s="65" t="s">
        <v>2092</v>
      </c>
      <c r="D8" s="66">
        <v>10</v>
      </c>
      <c r="E8" s="67"/>
      <c r="F8" s="68">
        <v>20</v>
      </c>
      <c r="G8" s="65"/>
      <c r="H8" s="69"/>
      <c r="I8" s="70"/>
      <c r="J8" s="70"/>
      <c r="K8" s="35" t="s">
        <v>65</v>
      </c>
      <c r="L8" s="77">
        <v>8</v>
      </c>
      <c r="M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8" s="72"/>
      <c r="O8" s="79" t="s">
        <v>177</v>
      </c>
      <c r="P8" s="81">
        <v>44407.67287037037</v>
      </c>
      <c r="Q8" s="79" t="s">
        <v>405</v>
      </c>
      <c r="R8" s="79"/>
      <c r="S8" s="79"/>
      <c r="T8" s="85" t="s">
        <v>461</v>
      </c>
      <c r="U8" s="83" t="str">
        <f>HYPERLINK("https://pbs.twimg.com/ext_tw_video_thumb/1421140714084343810/pu/img/y5htx6H7_Yt3dMRi.jpg")</f>
        <v>https://pbs.twimg.com/ext_tw_video_thumb/1421140714084343810/pu/img/y5htx6H7_Yt3dMRi.jpg</v>
      </c>
      <c r="V8" s="83" t="str">
        <f>HYPERLINK("https://pbs.twimg.com/ext_tw_video_thumb/1421140714084343810/pu/img/y5htx6H7_Yt3dMRi.jpg")</f>
        <v>https://pbs.twimg.com/ext_tw_video_thumb/1421140714084343810/pu/img/y5htx6H7_Yt3dMRi.jpg</v>
      </c>
      <c r="W8" s="81">
        <v>44407.67287037037</v>
      </c>
      <c r="X8" s="87">
        <v>44407</v>
      </c>
      <c r="Y8" s="85" t="s">
        <v>639</v>
      </c>
      <c r="Z8" s="83" t="str">
        <f>HYPERLINK("https://twitter.com/irbound/status/1421140766336901121")</f>
        <v>https://twitter.com/irbound/status/1421140766336901121</v>
      </c>
      <c r="AA8" s="79"/>
      <c r="AB8" s="79"/>
      <c r="AC8" s="85" t="s">
        <v>819</v>
      </c>
      <c r="AD8" s="79"/>
      <c r="AE8" s="79" t="b">
        <v>0</v>
      </c>
      <c r="AF8" s="79">
        <v>0</v>
      </c>
      <c r="AG8" s="85" t="s">
        <v>867</v>
      </c>
      <c r="AH8" s="79" t="b">
        <v>0</v>
      </c>
      <c r="AI8" s="79" t="s">
        <v>874</v>
      </c>
      <c r="AJ8" s="79"/>
      <c r="AK8" s="85" t="s">
        <v>867</v>
      </c>
      <c r="AL8" s="79" t="b">
        <v>0</v>
      </c>
      <c r="AM8" s="79">
        <v>0</v>
      </c>
      <c r="AN8" s="85" t="s">
        <v>867</v>
      </c>
      <c r="AO8" s="85" t="s">
        <v>887</v>
      </c>
      <c r="AP8" s="79" t="b">
        <v>0</v>
      </c>
      <c r="AQ8" s="85" t="s">
        <v>819</v>
      </c>
      <c r="AR8" s="79" t="s">
        <v>177</v>
      </c>
      <c r="AS8" s="79">
        <v>0</v>
      </c>
      <c r="AT8" s="79">
        <v>0</v>
      </c>
      <c r="AU8" s="79" t="s">
        <v>899</v>
      </c>
      <c r="AV8" s="79" t="s">
        <v>902</v>
      </c>
      <c r="AW8" s="79" t="s">
        <v>903</v>
      </c>
      <c r="AX8" s="79" t="s">
        <v>912</v>
      </c>
      <c r="AY8" s="79" t="s">
        <v>922</v>
      </c>
      <c r="AZ8" s="79" t="s">
        <v>928</v>
      </c>
      <c r="BA8" s="79" t="s">
        <v>930</v>
      </c>
      <c r="BB8" s="83" t="str">
        <f t="shared" ref="BB8:BB14" si="0">HYPERLINK("https://api.twitter.com/1.1/geo/id/3cf05613c1dd6dbd.json")</f>
        <v>https://api.twitter.com/1.1/geo/id/3cf05613c1dd6dbd.json</v>
      </c>
      <c r="BC8">
        <v>22</v>
      </c>
      <c r="BD8" s="78" t="str">
        <f>REPLACE(INDEX(GroupVertices[Group], MATCH(Edges[[#This Row],[Vertex 1]],GroupVertices[Vertex],0)),1,1,"")</f>
        <v>5</v>
      </c>
      <c r="BE8" s="78" t="str">
        <f>REPLACE(INDEX(GroupVertices[Group], MATCH(Edges[[#This Row],[Vertex 2]],GroupVertices[Vertex],0)),1,1,"")</f>
        <v>5</v>
      </c>
    </row>
    <row r="9" spans="1:57" x14ac:dyDescent="0.25">
      <c r="A9" s="64" t="s">
        <v>294</v>
      </c>
      <c r="B9" s="64" t="s">
        <v>294</v>
      </c>
      <c r="C9" s="65" t="s">
        <v>2092</v>
      </c>
      <c r="D9" s="66">
        <v>10</v>
      </c>
      <c r="E9" s="67"/>
      <c r="F9" s="68">
        <v>20</v>
      </c>
      <c r="G9" s="65"/>
      <c r="H9" s="69"/>
      <c r="I9" s="70"/>
      <c r="J9" s="70"/>
      <c r="K9" s="35" t="s">
        <v>65</v>
      </c>
      <c r="L9" s="77">
        <v>9</v>
      </c>
      <c r="M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9" s="72"/>
      <c r="O9" s="79" t="s">
        <v>177</v>
      </c>
      <c r="P9" s="81">
        <v>44407.694120370368</v>
      </c>
      <c r="Q9" s="79" t="s">
        <v>406</v>
      </c>
      <c r="R9" s="79"/>
      <c r="S9" s="79"/>
      <c r="T9" s="85" t="s">
        <v>461</v>
      </c>
      <c r="U9" s="83" t="str">
        <f>HYPERLINK("https://pbs.twimg.com/media/E7ju_jMWQAIQq8n.jpg")</f>
        <v>https://pbs.twimg.com/media/E7ju_jMWQAIQq8n.jpg</v>
      </c>
      <c r="V9" s="83" t="str">
        <f>HYPERLINK("https://pbs.twimg.com/media/E7ju_jMWQAIQq8n.jpg")</f>
        <v>https://pbs.twimg.com/media/E7ju_jMWQAIQq8n.jpg</v>
      </c>
      <c r="W9" s="81">
        <v>44407.694120370368</v>
      </c>
      <c r="X9" s="87">
        <v>44407</v>
      </c>
      <c r="Y9" s="85" t="s">
        <v>640</v>
      </c>
      <c r="Z9" s="83" t="str">
        <f>HYPERLINK("https://twitter.com/irbound/status/1421148467158786048")</f>
        <v>https://twitter.com/irbound/status/1421148467158786048</v>
      </c>
      <c r="AA9" s="79"/>
      <c r="AB9" s="79"/>
      <c r="AC9" s="85" t="s">
        <v>820</v>
      </c>
      <c r="AD9" s="79"/>
      <c r="AE9" s="79" t="b">
        <v>0</v>
      </c>
      <c r="AF9" s="79">
        <v>0</v>
      </c>
      <c r="AG9" s="85" t="s">
        <v>867</v>
      </c>
      <c r="AH9" s="79" t="b">
        <v>0</v>
      </c>
      <c r="AI9" s="79" t="s">
        <v>874</v>
      </c>
      <c r="AJ9" s="79"/>
      <c r="AK9" s="85" t="s">
        <v>867</v>
      </c>
      <c r="AL9" s="79" t="b">
        <v>0</v>
      </c>
      <c r="AM9" s="79">
        <v>0</v>
      </c>
      <c r="AN9" s="85" t="s">
        <v>867</v>
      </c>
      <c r="AO9" s="85" t="s">
        <v>887</v>
      </c>
      <c r="AP9" s="79" t="b">
        <v>0</v>
      </c>
      <c r="AQ9" s="85" t="s">
        <v>820</v>
      </c>
      <c r="AR9" s="79" t="s">
        <v>177</v>
      </c>
      <c r="AS9" s="79">
        <v>0</v>
      </c>
      <c r="AT9" s="79">
        <v>0</v>
      </c>
      <c r="AU9" s="79" t="s">
        <v>899</v>
      </c>
      <c r="AV9" s="79" t="s">
        <v>902</v>
      </c>
      <c r="AW9" s="79" t="s">
        <v>903</v>
      </c>
      <c r="AX9" s="79" t="s">
        <v>912</v>
      </c>
      <c r="AY9" s="79" t="s">
        <v>922</v>
      </c>
      <c r="AZ9" s="79" t="s">
        <v>928</v>
      </c>
      <c r="BA9" s="79" t="s">
        <v>930</v>
      </c>
      <c r="BB9" s="83" t="str">
        <f t="shared" si="0"/>
        <v>https://api.twitter.com/1.1/geo/id/3cf05613c1dd6dbd.json</v>
      </c>
      <c r="BC9">
        <v>22</v>
      </c>
      <c r="BD9" s="78" t="str">
        <f>REPLACE(INDEX(GroupVertices[Group], MATCH(Edges[[#This Row],[Vertex 1]],GroupVertices[Vertex],0)),1,1,"")</f>
        <v>5</v>
      </c>
      <c r="BE9" s="78" t="str">
        <f>REPLACE(INDEX(GroupVertices[Group], MATCH(Edges[[#This Row],[Vertex 2]],GroupVertices[Vertex],0)),1,1,"")</f>
        <v>5</v>
      </c>
    </row>
    <row r="10" spans="1:57" x14ac:dyDescent="0.25">
      <c r="A10" s="64" t="s">
        <v>294</v>
      </c>
      <c r="B10" s="64" t="s">
        <v>294</v>
      </c>
      <c r="C10" s="65" t="s">
        <v>2092</v>
      </c>
      <c r="D10" s="66">
        <v>10</v>
      </c>
      <c r="E10" s="67"/>
      <c r="F10" s="68">
        <v>20</v>
      </c>
      <c r="G10" s="65"/>
      <c r="H10" s="69"/>
      <c r="I10" s="70"/>
      <c r="J10" s="70"/>
      <c r="K10" s="35" t="s">
        <v>65</v>
      </c>
      <c r="L10" s="77">
        <v>10</v>
      </c>
      <c r="M1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0" s="72"/>
      <c r="O10" s="79" t="s">
        <v>177</v>
      </c>
      <c r="P10" s="81">
        <v>44407.698136574072</v>
      </c>
      <c r="Q10" s="79" t="s">
        <v>407</v>
      </c>
      <c r="R10" s="79"/>
      <c r="S10" s="79"/>
      <c r="T10" s="85" t="s">
        <v>461</v>
      </c>
      <c r="U10" s="83" t="str">
        <f>HYPERLINK("https://pbs.twimg.com/media/E7jwUrEX0AEe_Lp.jpg")</f>
        <v>https://pbs.twimg.com/media/E7jwUrEX0AEe_Lp.jpg</v>
      </c>
      <c r="V10" s="83" t="str">
        <f>HYPERLINK("https://pbs.twimg.com/media/E7jwUrEX0AEe_Lp.jpg")</f>
        <v>https://pbs.twimg.com/media/E7jwUrEX0AEe_Lp.jpg</v>
      </c>
      <c r="W10" s="81">
        <v>44407.698136574072</v>
      </c>
      <c r="X10" s="87">
        <v>44407</v>
      </c>
      <c r="Y10" s="85" t="s">
        <v>641</v>
      </c>
      <c r="Z10" s="83" t="str">
        <f>HYPERLINK("https://twitter.com/irbound/status/1421149921986613257")</f>
        <v>https://twitter.com/irbound/status/1421149921986613257</v>
      </c>
      <c r="AA10" s="79"/>
      <c r="AB10" s="79"/>
      <c r="AC10" s="85" t="s">
        <v>821</v>
      </c>
      <c r="AD10" s="79"/>
      <c r="AE10" s="79" t="b">
        <v>0</v>
      </c>
      <c r="AF10" s="79">
        <v>0</v>
      </c>
      <c r="AG10" s="85" t="s">
        <v>867</v>
      </c>
      <c r="AH10" s="79" t="b">
        <v>0</v>
      </c>
      <c r="AI10" s="79" t="s">
        <v>874</v>
      </c>
      <c r="AJ10" s="79"/>
      <c r="AK10" s="85" t="s">
        <v>867</v>
      </c>
      <c r="AL10" s="79" t="b">
        <v>0</v>
      </c>
      <c r="AM10" s="79">
        <v>0</v>
      </c>
      <c r="AN10" s="85" t="s">
        <v>867</v>
      </c>
      <c r="AO10" s="85" t="s">
        <v>887</v>
      </c>
      <c r="AP10" s="79" t="b">
        <v>0</v>
      </c>
      <c r="AQ10" s="85" t="s">
        <v>821</v>
      </c>
      <c r="AR10" s="79" t="s">
        <v>177</v>
      </c>
      <c r="AS10" s="79">
        <v>0</v>
      </c>
      <c r="AT10" s="79">
        <v>0</v>
      </c>
      <c r="AU10" s="79" t="s">
        <v>899</v>
      </c>
      <c r="AV10" s="79" t="s">
        <v>902</v>
      </c>
      <c r="AW10" s="79" t="s">
        <v>903</v>
      </c>
      <c r="AX10" s="79" t="s">
        <v>912</v>
      </c>
      <c r="AY10" s="79" t="s">
        <v>922</v>
      </c>
      <c r="AZ10" s="79" t="s">
        <v>928</v>
      </c>
      <c r="BA10" s="79" t="s">
        <v>930</v>
      </c>
      <c r="BB10" s="83" t="str">
        <f t="shared" si="0"/>
        <v>https://api.twitter.com/1.1/geo/id/3cf05613c1dd6dbd.json</v>
      </c>
      <c r="BC10">
        <v>22</v>
      </c>
      <c r="BD10" s="78" t="str">
        <f>REPLACE(INDEX(GroupVertices[Group], MATCH(Edges[[#This Row],[Vertex 1]],GroupVertices[Vertex],0)),1,1,"")</f>
        <v>5</v>
      </c>
      <c r="BE10" s="78" t="str">
        <f>REPLACE(INDEX(GroupVertices[Group], MATCH(Edges[[#This Row],[Vertex 2]],GroupVertices[Vertex],0)),1,1,"")</f>
        <v>5</v>
      </c>
    </row>
    <row r="11" spans="1:57" x14ac:dyDescent="0.25">
      <c r="A11" s="64" t="s">
        <v>294</v>
      </c>
      <c r="B11" s="64" t="s">
        <v>294</v>
      </c>
      <c r="C11" s="65" t="s">
        <v>2092</v>
      </c>
      <c r="D11" s="66">
        <v>10</v>
      </c>
      <c r="E11" s="67"/>
      <c r="F11" s="68">
        <v>20</v>
      </c>
      <c r="G11" s="65"/>
      <c r="H11" s="69"/>
      <c r="I11" s="70"/>
      <c r="J11" s="70"/>
      <c r="K11" s="35" t="s">
        <v>65</v>
      </c>
      <c r="L11" s="77">
        <v>11</v>
      </c>
      <c r="M1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1" s="72"/>
      <c r="O11" s="79" t="s">
        <v>177</v>
      </c>
      <c r="P11" s="81">
        <v>44407.7028125</v>
      </c>
      <c r="Q11" s="79" t="s">
        <v>408</v>
      </c>
      <c r="R11" s="79"/>
      <c r="S11" s="79"/>
      <c r="T11" s="85" t="s">
        <v>461</v>
      </c>
      <c r="U11" s="83" t="str">
        <f>HYPERLINK("https://pbs.twimg.com/media/E7jx2jfWEAMfj6Q.jpg")</f>
        <v>https://pbs.twimg.com/media/E7jx2jfWEAMfj6Q.jpg</v>
      </c>
      <c r="V11" s="83" t="str">
        <f>HYPERLINK("https://pbs.twimg.com/media/E7jx2jfWEAMfj6Q.jpg")</f>
        <v>https://pbs.twimg.com/media/E7jx2jfWEAMfj6Q.jpg</v>
      </c>
      <c r="W11" s="81">
        <v>44407.7028125</v>
      </c>
      <c r="X11" s="87">
        <v>44407</v>
      </c>
      <c r="Y11" s="85" t="s">
        <v>642</v>
      </c>
      <c r="Z11" s="83" t="str">
        <f>HYPERLINK("https://twitter.com/irbound/status/1421151614698729476")</f>
        <v>https://twitter.com/irbound/status/1421151614698729476</v>
      </c>
      <c r="AA11" s="79"/>
      <c r="AB11" s="79"/>
      <c r="AC11" s="85" t="s">
        <v>822</v>
      </c>
      <c r="AD11" s="79"/>
      <c r="AE11" s="79" t="b">
        <v>0</v>
      </c>
      <c r="AF11" s="79">
        <v>0</v>
      </c>
      <c r="AG11" s="85" t="s">
        <v>867</v>
      </c>
      <c r="AH11" s="79" t="b">
        <v>0</v>
      </c>
      <c r="AI11" s="79" t="s">
        <v>874</v>
      </c>
      <c r="AJ11" s="79"/>
      <c r="AK11" s="85" t="s">
        <v>867</v>
      </c>
      <c r="AL11" s="79" t="b">
        <v>0</v>
      </c>
      <c r="AM11" s="79">
        <v>0</v>
      </c>
      <c r="AN11" s="85" t="s">
        <v>867</v>
      </c>
      <c r="AO11" s="85" t="s">
        <v>887</v>
      </c>
      <c r="AP11" s="79" t="b">
        <v>0</v>
      </c>
      <c r="AQ11" s="85" t="s">
        <v>822</v>
      </c>
      <c r="AR11" s="79" t="s">
        <v>177</v>
      </c>
      <c r="AS11" s="79">
        <v>0</v>
      </c>
      <c r="AT11" s="79">
        <v>0</v>
      </c>
      <c r="AU11" s="79" t="s">
        <v>899</v>
      </c>
      <c r="AV11" s="79" t="s">
        <v>902</v>
      </c>
      <c r="AW11" s="79" t="s">
        <v>903</v>
      </c>
      <c r="AX11" s="79" t="s">
        <v>912</v>
      </c>
      <c r="AY11" s="79" t="s">
        <v>922</v>
      </c>
      <c r="AZ11" s="79" t="s">
        <v>928</v>
      </c>
      <c r="BA11" s="79" t="s">
        <v>930</v>
      </c>
      <c r="BB11" s="83" t="str">
        <f t="shared" si="0"/>
        <v>https://api.twitter.com/1.1/geo/id/3cf05613c1dd6dbd.json</v>
      </c>
      <c r="BC11">
        <v>22</v>
      </c>
      <c r="BD11" s="78" t="str">
        <f>REPLACE(INDEX(GroupVertices[Group], MATCH(Edges[[#This Row],[Vertex 1]],GroupVertices[Vertex],0)),1,1,"")</f>
        <v>5</v>
      </c>
      <c r="BE11" s="78" t="str">
        <f>REPLACE(INDEX(GroupVertices[Group], MATCH(Edges[[#This Row],[Vertex 2]],GroupVertices[Vertex],0)),1,1,"")</f>
        <v>5</v>
      </c>
    </row>
    <row r="12" spans="1:57" x14ac:dyDescent="0.25">
      <c r="A12" s="64" t="s">
        <v>294</v>
      </c>
      <c r="B12" s="64" t="s">
        <v>294</v>
      </c>
      <c r="C12" s="65" t="s">
        <v>2092</v>
      </c>
      <c r="D12" s="66">
        <v>10</v>
      </c>
      <c r="E12" s="67"/>
      <c r="F12" s="68">
        <v>20</v>
      </c>
      <c r="G12" s="65"/>
      <c r="H12" s="69"/>
      <c r="I12" s="70"/>
      <c r="J12" s="70"/>
      <c r="K12" s="35" t="s">
        <v>65</v>
      </c>
      <c r="L12" s="77">
        <v>12</v>
      </c>
      <c r="M1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2" s="72"/>
      <c r="O12" s="79" t="s">
        <v>177</v>
      </c>
      <c r="P12" s="81">
        <v>44407.765625</v>
      </c>
      <c r="Q12" s="79" t="s">
        <v>409</v>
      </c>
      <c r="R12" s="79"/>
      <c r="S12" s="79"/>
      <c r="T12" s="85" t="s">
        <v>492</v>
      </c>
      <c r="U12" s="83" t="str">
        <f>HYPERLINK("https://pbs.twimg.com/media/E7kGj0RXoAAfhsR.jpg")</f>
        <v>https://pbs.twimg.com/media/E7kGj0RXoAAfhsR.jpg</v>
      </c>
      <c r="V12" s="83" t="str">
        <f>HYPERLINK("https://pbs.twimg.com/media/E7kGj0RXoAAfhsR.jpg")</f>
        <v>https://pbs.twimg.com/media/E7kGj0RXoAAfhsR.jpg</v>
      </c>
      <c r="W12" s="81">
        <v>44407.765625</v>
      </c>
      <c r="X12" s="87">
        <v>44407</v>
      </c>
      <c r="Y12" s="85" t="s">
        <v>643</v>
      </c>
      <c r="Z12" s="83" t="str">
        <f>HYPERLINK("https://twitter.com/irbound/status/1421174378906128387")</f>
        <v>https://twitter.com/irbound/status/1421174378906128387</v>
      </c>
      <c r="AA12" s="79"/>
      <c r="AB12" s="79"/>
      <c r="AC12" s="85" t="s">
        <v>823</v>
      </c>
      <c r="AD12" s="79"/>
      <c r="AE12" s="79" t="b">
        <v>0</v>
      </c>
      <c r="AF12" s="79">
        <v>0</v>
      </c>
      <c r="AG12" s="85" t="s">
        <v>867</v>
      </c>
      <c r="AH12" s="79" t="b">
        <v>0</v>
      </c>
      <c r="AI12" s="79" t="s">
        <v>874</v>
      </c>
      <c r="AJ12" s="79"/>
      <c r="AK12" s="85" t="s">
        <v>867</v>
      </c>
      <c r="AL12" s="79" t="b">
        <v>0</v>
      </c>
      <c r="AM12" s="79">
        <v>0</v>
      </c>
      <c r="AN12" s="85" t="s">
        <v>867</v>
      </c>
      <c r="AO12" s="85" t="s">
        <v>887</v>
      </c>
      <c r="AP12" s="79" t="b">
        <v>0</v>
      </c>
      <c r="AQ12" s="85" t="s">
        <v>823</v>
      </c>
      <c r="AR12" s="79" t="s">
        <v>177</v>
      </c>
      <c r="AS12" s="79">
        <v>0</v>
      </c>
      <c r="AT12" s="79">
        <v>0</v>
      </c>
      <c r="AU12" s="79" t="s">
        <v>899</v>
      </c>
      <c r="AV12" s="79" t="s">
        <v>902</v>
      </c>
      <c r="AW12" s="79" t="s">
        <v>903</v>
      </c>
      <c r="AX12" s="79" t="s">
        <v>912</v>
      </c>
      <c r="AY12" s="79" t="s">
        <v>922</v>
      </c>
      <c r="AZ12" s="79" t="s">
        <v>928</v>
      </c>
      <c r="BA12" s="79" t="s">
        <v>930</v>
      </c>
      <c r="BB12" s="83" t="str">
        <f t="shared" si="0"/>
        <v>https://api.twitter.com/1.1/geo/id/3cf05613c1dd6dbd.json</v>
      </c>
      <c r="BC12">
        <v>22</v>
      </c>
      <c r="BD12" s="78" t="str">
        <f>REPLACE(INDEX(GroupVertices[Group], MATCH(Edges[[#This Row],[Vertex 1]],GroupVertices[Vertex],0)),1,1,"")</f>
        <v>5</v>
      </c>
      <c r="BE12" s="78" t="str">
        <f>REPLACE(INDEX(GroupVertices[Group], MATCH(Edges[[#This Row],[Vertex 2]],GroupVertices[Vertex],0)),1,1,"")</f>
        <v>5</v>
      </c>
    </row>
    <row r="13" spans="1:57" x14ac:dyDescent="0.25">
      <c r="A13" s="64" t="s">
        <v>294</v>
      </c>
      <c r="B13" s="64" t="s">
        <v>294</v>
      </c>
      <c r="C13" s="65" t="s">
        <v>2092</v>
      </c>
      <c r="D13" s="66">
        <v>10</v>
      </c>
      <c r="E13" s="67"/>
      <c r="F13" s="68">
        <v>20</v>
      </c>
      <c r="G13" s="65"/>
      <c r="H13" s="69"/>
      <c r="I13" s="70"/>
      <c r="J13" s="70"/>
      <c r="K13" s="35" t="s">
        <v>65</v>
      </c>
      <c r="L13" s="77">
        <v>13</v>
      </c>
      <c r="M1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3" s="72"/>
      <c r="O13" s="79" t="s">
        <v>177</v>
      </c>
      <c r="P13" s="81">
        <v>44407.76766203704</v>
      </c>
      <c r="Q13" s="79" t="s">
        <v>410</v>
      </c>
      <c r="R13" s="79"/>
      <c r="S13" s="79"/>
      <c r="T13" s="85" t="s">
        <v>461</v>
      </c>
      <c r="U13" s="83" t="str">
        <f>HYPERLINK("https://pbs.twimg.com/media/E7kHOELX0AYLu8P.jpg")</f>
        <v>https://pbs.twimg.com/media/E7kHOELX0AYLu8P.jpg</v>
      </c>
      <c r="V13" s="83" t="str">
        <f>HYPERLINK("https://pbs.twimg.com/media/E7kHOELX0AYLu8P.jpg")</f>
        <v>https://pbs.twimg.com/media/E7kHOELX0AYLu8P.jpg</v>
      </c>
      <c r="W13" s="81">
        <v>44407.76766203704</v>
      </c>
      <c r="X13" s="87">
        <v>44407</v>
      </c>
      <c r="Y13" s="85" t="s">
        <v>644</v>
      </c>
      <c r="Z13" s="83" t="str">
        <f>HYPERLINK("https://twitter.com/irbound/status/1421175114599698433")</f>
        <v>https://twitter.com/irbound/status/1421175114599698433</v>
      </c>
      <c r="AA13" s="79"/>
      <c r="AB13" s="79"/>
      <c r="AC13" s="85" t="s">
        <v>824</v>
      </c>
      <c r="AD13" s="79"/>
      <c r="AE13" s="79" t="b">
        <v>0</v>
      </c>
      <c r="AF13" s="79">
        <v>1</v>
      </c>
      <c r="AG13" s="85" t="s">
        <v>867</v>
      </c>
      <c r="AH13" s="79" t="b">
        <v>0</v>
      </c>
      <c r="AI13" s="79" t="s">
        <v>874</v>
      </c>
      <c r="AJ13" s="79"/>
      <c r="AK13" s="85" t="s">
        <v>867</v>
      </c>
      <c r="AL13" s="79" t="b">
        <v>0</v>
      </c>
      <c r="AM13" s="79">
        <v>0</v>
      </c>
      <c r="AN13" s="85" t="s">
        <v>867</v>
      </c>
      <c r="AO13" s="85" t="s">
        <v>887</v>
      </c>
      <c r="AP13" s="79" t="b">
        <v>0</v>
      </c>
      <c r="AQ13" s="85" t="s">
        <v>824</v>
      </c>
      <c r="AR13" s="79" t="s">
        <v>177</v>
      </c>
      <c r="AS13" s="79">
        <v>0</v>
      </c>
      <c r="AT13" s="79">
        <v>0</v>
      </c>
      <c r="AU13" s="79" t="s">
        <v>899</v>
      </c>
      <c r="AV13" s="79" t="s">
        <v>902</v>
      </c>
      <c r="AW13" s="79" t="s">
        <v>903</v>
      </c>
      <c r="AX13" s="79" t="s">
        <v>912</v>
      </c>
      <c r="AY13" s="79" t="s">
        <v>922</v>
      </c>
      <c r="AZ13" s="79" t="s">
        <v>928</v>
      </c>
      <c r="BA13" s="79" t="s">
        <v>930</v>
      </c>
      <c r="BB13" s="83" t="str">
        <f t="shared" si="0"/>
        <v>https://api.twitter.com/1.1/geo/id/3cf05613c1dd6dbd.json</v>
      </c>
      <c r="BC13">
        <v>22</v>
      </c>
      <c r="BD13" s="78" t="str">
        <f>REPLACE(INDEX(GroupVertices[Group], MATCH(Edges[[#This Row],[Vertex 1]],GroupVertices[Vertex],0)),1,1,"")</f>
        <v>5</v>
      </c>
      <c r="BE13" s="78" t="str">
        <f>REPLACE(INDEX(GroupVertices[Group], MATCH(Edges[[#This Row],[Vertex 2]],GroupVertices[Vertex],0)),1,1,"")</f>
        <v>5</v>
      </c>
    </row>
    <row r="14" spans="1:57" x14ac:dyDescent="0.25">
      <c r="A14" s="64" t="s">
        <v>294</v>
      </c>
      <c r="B14" s="64" t="s">
        <v>294</v>
      </c>
      <c r="C14" s="65" t="s">
        <v>2092</v>
      </c>
      <c r="D14" s="66">
        <v>10</v>
      </c>
      <c r="E14" s="67"/>
      <c r="F14" s="68">
        <v>20</v>
      </c>
      <c r="G14" s="65"/>
      <c r="H14" s="69"/>
      <c r="I14" s="70"/>
      <c r="J14" s="70"/>
      <c r="K14" s="35" t="s">
        <v>65</v>
      </c>
      <c r="L14" s="77">
        <v>14</v>
      </c>
      <c r="M1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4" s="72"/>
      <c r="O14" s="79" t="s">
        <v>177</v>
      </c>
      <c r="P14" s="81">
        <v>44407.778807870367</v>
      </c>
      <c r="Q14" s="79" t="s">
        <v>411</v>
      </c>
      <c r="R14" s="79"/>
      <c r="S14" s="79"/>
      <c r="T14" s="85" t="s">
        <v>461</v>
      </c>
      <c r="U14" s="83" t="str">
        <f>HYPERLINK("https://pbs.twimg.com/media/E7kK560XIAQ4BKO.jpg")</f>
        <v>https://pbs.twimg.com/media/E7kK560XIAQ4BKO.jpg</v>
      </c>
      <c r="V14" s="83" t="str">
        <f>HYPERLINK("https://pbs.twimg.com/media/E7kK560XIAQ4BKO.jpg")</f>
        <v>https://pbs.twimg.com/media/E7kK560XIAQ4BKO.jpg</v>
      </c>
      <c r="W14" s="81">
        <v>44407.778807870367</v>
      </c>
      <c r="X14" s="87">
        <v>44407</v>
      </c>
      <c r="Y14" s="85" t="s">
        <v>645</v>
      </c>
      <c r="Z14" s="83" t="str">
        <f>HYPERLINK("https://twitter.com/irbound/status/1421179154549051393")</f>
        <v>https://twitter.com/irbound/status/1421179154549051393</v>
      </c>
      <c r="AA14" s="79"/>
      <c r="AB14" s="79"/>
      <c r="AC14" s="85" t="s">
        <v>825</v>
      </c>
      <c r="AD14" s="79"/>
      <c r="AE14" s="79" t="b">
        <v>0</v>
      </c>
      <c r="AF14" s="79">
        <v>1</v>
      </c>
      <c r="AG14" s="85" t="s">
        <v>867</v>
      </c>
      <c r="AH14" s="79" t="b">
        <v>0</v>
      </c>
      <c r="AI14" s="79" t="s">
        <v>874</v>
      </c>
      <c r="AJ14" s="79"/>
      <c r="AK14" s="85" t="s">
        <v>867</v>
      </c>
      <c r="AL14" s="79" t="b">
        <v>0</v>
      </c>
      <c r="AM14" s="79">
        <v>0</v>
      </c>
      <c r="AN14" s="85" t="s">
        <v>867</v>
      </c>
      <c r="AO14" s="85" t="s">
        <v>887</v>
      </c>
      <c r="AP14" s="79" t="b">
        <v>0</v>
      </c>
      <c r="AQ14" s="85" t="s">
        <v>825</v>
      </c>
      <c r="AR14" s="79" t="s">
        <v>177</v>
      </c>
      <c r="AS14" s="79">
        <v>0</v>
      </c>
      <c r="AT14" s="79">
        <v>0</v>
      </c>
      <c r="AU14" s="79" t="s">
        <v>899</v>
      </c>
      <c r="AV14" s="79" t="s">
        <v>902</v>
      </c>
      <c r="AW14" s="79" t="s">
        <v>903</v>
      </c>
      <c r="AX14" s="79" t="s">
        <v>912</v>
      </c>
      <c r="AY14" s="79" t="s">
        <v>922</v>
      </c>
      <c r="AZ14" s="79" t="s">
        <v>928</v>
      </c>
      <c r="BA14" s="79" t="s">
        <v>930</v>
      </c>
      <c r="BB14" s="83" t="str">
        <f t="shared" si="0"/>
        <v>https://api.twitter.com/1.1/geo/id/3cf05613c1dd6dbd.json</v>
      </c>
      <c r="BC14">
        <v>22</v>
      </c>
      <c r="BD14" s="78" t="str">
        <f>REPLACE(INDEX(GroupVertices[Group], MATCH(Edges[[#This Row],[Vertex 1]],GroupVertices[Vertex],0)),1,1,"")</f>
        <v>5</v>
      </c>
      <c r="BE14" s="78" t="str">
        <f>REPLACE(INDEX(GroupVertices[Group], MATCH(Edges[[#This Row],[Vertex 2]],GroupVertices[Vertex],0)),1,1,"")</f>
        <v>5</v>
      </c>
    </row>
    <row r="15" spans="1:57" x14ac:dyDescent="0.25">
      <c r="A15" s="64" t="s">
        <v>294</v>
      </c>
      <c r="B15" s="64" t="s">
        <v>294</v>
      </c>
      <c r="C15" s="65" t="s">
        <v>2092</v>
      </c>
      <c r="D15" s="66">
        <v>10</v>
      </c>
      <c r="E15" s="67"/>
      <c r="F15" s="68">
        <v>20</v>
      </c>
      <c r="G15" s="65"/>
      <c r="H15" s="69"/>
      <c r="I15" s="70"/>
      <c r="J15" s="70"/>
      <c r="K15" s="35" t="s">
        <v>65</v>
      </c>
      <c r="L15" s="77">
        <v>15</v>
      </c>
      <c r="M1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5" s="72"/>
      <c r="O15" s="79" t="s">
        <v>177</v>
      </c>
      <c r="P15" s="81">
        <v>44407.782546296294</v>
      </c>
      <c r="Q15" s="79" t="s">
        <v>412</v>
      </c>
      <c r="R15" s="79"/>
      <c r="S15" s="79"/>
      <c r="T15" s="85" t="s">
        <v>461</v>
      </c>
      <c r="U15" s="83" t="str">
        <f>HYPERLINK("https://pbs.twimg.com/media/E7kMIzcXEAcu9j6.jpg")</f>
        <v>https://pbs.twimg.com/media/E7kMIzcXEAcu9j6.jpg</v>
      </c>
      <c r="V15" s="83" t="str">
        <f>HYPERLINK("https://pbs.twimg.com/media/E7kMIzcXEAcu9j6.jpg")</f>
        <v>https://pbs.twimg.com/media/E7kMIzcXEAcu9j6.jpg</v>
      </c>
      <c r="W15" s="81">
        <v>44407.782546296294</v>
      </c>
      <c r="X15" s="87">
        <v>44407</v>
      </c>
      <c r="Y15" s="85" t="s">
        <v>646</v>
      </c>
      <c r="Z15" s="83" t="str">
        <f>HYPERLINK("https://twitter.com/irbound/status/1421180509665832960")</f>
        <v>https://twitter.com/irbound/status/1421180509665832960</v>
      </c>
      <c r="AA15" s="79"/>
      <c r="AB15" s="79"/>
      <c r="AC15" s="85" t="s">
        <v>826</v>
      </c>
      <c r="AD15" s="79"/>
      <c r="AE15" s="79" t="b">
        <v>0</v>
      </c>
      <c r="AF15" s="79">
        <v>0</v>
      </c>
      <c r="AG15" s="85" t="s">
        <v>867</v>
      </c>
      <c r="AH15" s="79" t="b">
        <v>0</v>
      </c>
      <c r="AI15" s="79" t="s">
        <v>874</v>
      </c>
      <c r="AJ15" s="79"/>
      <c r="AK15" s="85" t="s">
        <v>867</v>
      </c>
      <c r="AL15" s="79" t="b">
        <v>0</v>
      </c>
      <c r="AM15" s="79">
        <v>0</v>
      </c>
      <c r="AN15" s="85" t="s">
        <v>867</v>
      </c>
      <c r="AO15" s="85" t="s">
        <v>887</v>
      </c>
      <c r="AP15" s="79" t="b">
        <v>0</v>
      </c>
      <c r="AQ15" s="85" t="s">
        <v>826</v>
      </c>
      <c r="AR15" s="79" t="s">
        <v>177</v>
      </c>
      <c r="AS15" s="79">
        <v>0</v>
      </c>
      <c r="AT15" s="79">
        <v>0</v>
      </c>
      <c r="AU15" s="79" t="s">
        <v>900</v>
      </c>
      <c r="AV15" s="79" t="s">
        <v>902</v>
      </c>
      <c r="AW15" s="79" t="s">
        <v>903</v>
      </c>
      <c r="AX15" s="79" t="s">
        <v>913</v>
      </c>
      <c r="AY15" s="79" t="s">
        <v>923</v>
      </c>
      <c r="AZ15" s="79" t="s">
        <v>929</v>
      </c>
      <c r="BA15" s="79" t="s">
        <v>930</v>
      </c>
      <c r="BB15" s="83" t="str">
        <f>HYPERLINK("https://api.twitter.com/1.1/geo/id/55b4f9e5c516e0b6.json")</f>
        <v>https://api.twitter.com/1.1/geo/id/55b4f9e5c516e0b6.json</v>
      </c>
      <c r="BC15">
        <v>22</v>
      </c>
      <c r="BD15" s="78" t="str">
        <f>REPLACE(INDEX(GroupVertices[Group], MATCH(Edges[[#This Row],[Vertex 1]],GroupVertices[Vertex],0)),1,1,"")</f>
        <v>5</v>
      </c>
      <c r="BE15" s="78" t="str">
        <f>REPLACE(INDEX(GroupVertices[Group], MATCH(Edges[[#This Row],[Vertex 2]],GroupVertices[Vertex],0)),1,1,"")</f>
        <v>5</v>
      </c>
    </row>
    <row r="16" spans="1:57" x14ac:dyDescent="0.25">
      <c r="A16" s="64" t="s">
        <v>294</v>
      </c>
      <c r="B16" s="64" t="s">
        <v>294</v>
      </c>
      <c r="C16" s="65" t="s">
        <v>2092</v>
      </c>
      <c r="D16" s="66">
        <v>10</v>
      </c>
      <c r="E16" s="67"/>
      <c r="F16" s="68">
        <v>20</v>
      </c>
      <c r="G16" s="65"/>
      <c r="H16" s="69"/>
      <c r="I16" s="70"/>
      <c r="J16" s="70"/>
      <c r="K16" s="35" t="s">
        <v>65</v>
      </c>
      <c r="L16" s="77">
        <v>16</v>
      </c>
      <c r="M1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6" s="72"/>
      <c r="O16" s="79" t="s">
        <v>177</v>
      </c>
      <c r="P16" s="81">
        <v>44407.791493055556</v>
      </c>
      <c r="Q16" s="79" t="s">
        <v>413</v>
      </c>
      <c r="R16" s="79"/>
      <c r="S16" s="79"/>
      <c r="T16" s="85" t="s">
        <v>493</v>
      </c>
      <c r="U16" s="83" t="str">
        <f>HYPERLINK("https://pbs.twimg.com/media/E7kPEzLWYAcyUg0.jpg")</f>
        <v>https://pbs.twimg.com/media/E7kPEzLWYAcyUg0.jpg</v>
      </c>
      <c r="V16" s="83" t="str">
        <f>HYPERLINK("https://pbs.twimg.com/media/E7kPEzLWYAcyUg0.jpg")</f>
        <v>https://pbs.twimg.com/media/E7kPEzLWYAcyUg0.jpg</v>
      </c>
      <c r="W16" s="81">
        <v>44407.791493055556</v>
      </c>
      <c r="X16" s="87">
        <v>44407</v>
      </c>
      <c r="Y16" s="85" t="s">
        <v>647</v>
      </c>
      <c r="Z16" s="83" t="str">
        <f>HYPERLINK("https://twitter.com/irbound/status/1421183750659059718")</f>
        <v>https://twitter.com/irbound/status/1421183750659059718</v>
      </c>
      <c r="AA16" s="79"/>
      <c r="AB16" s="79"/>
      <c r="AC16" s="85" t="s">
        <v>827</v>
      </c>
      <c r="AD16" s="79"/>
      <c r="AE16" s="79" t="b">
        <v>0</v>
      </c>
      <c r="AF16" s="79">
        <v>0</v>
      </c>
      <c r="AG16" s="85" t="s">
        <v>867</v>
      </c>
      <c r="AH16" s="79" t="b">
        <v>0</v>
      </c>
      <c r="AI16" s="79" t="s">
        <v>874</v>
      </c>
      <c r="AJ16" s="79"/>
      <c r="AK16" s="85" t="s">
        <v>867</v>
      </c>
      <c r="AL16" s="79" t="b">
        <v>0</v>
      </c>
      <c r="AM16" s="79">
        <v>0</v>
      </c>
      <c r="AN16" s="85" t="s">
        <v>867</v>
      </c>
      <c r="AO16" s="85" t="s">
        <v>887</v>
      </c>
      <c r="AP16" s="79" t="b">
        <v>0</v>
      </c>
      <c r="AQ16" s="85" t="s">
        <v>827</v>
      </c>
      <c r="AR16" s="79" t="s">
        <v>177</v>
      </c>
      <c r="AS16" s="79">
        <v>0</v>
      </c>
      <c r="AT16" s="79">
        <v>0</v>
      </c>
      <c r="AU16" s="79" t="s">
        <v>900</v>
      </c>
      <c r="AV16" s="79" t="s">
        <v>902</v>
      </c>
      <c r="AW16" s="79" t="s">
        <v>903</v>
      </c>
      <c r="AX16" s="79" t="s">
        <v>913</v>
      </c>
      <c r="AY16" s="79" t="s">
        <v>923</v>
      </c>
      <c r="AZ16" s="79" t="s">
        <v>929</v>
      </c>
      <c r="BA16" s="79" t="s">
        <v>930</v>
      </c>
      <c r="BB16" s="83" t="str">
        <f>HYPERLINK("https://api.twitter.com/1.1/geo/id/55b4f9e5c516e0b6.json")</f>
        <v>https://api.twitter.com/1.1/geo/id/55b4f9e5c516e0b6.json</v>
      </c>
      <c r="BC16">
        <v>22</v>
      </c>
      <c r="BD16" s="78" t="str">
        <f>REPLACE(INDEX(GroupVertices[Group], MATCH(Edges[[#This Row],[Vertex 1]],GroupVertices[Vertex],0)),1,1,"")</f>
        <v>5</v>
      </c>
      <c r="BE16" s="78" t="str">
        <f>REPLACE(INDEX(GroupVertices[Group], MATCH(Edges[[#This Row],[Vertex 2]],GroupVertices[Vertex],0)),1,1,"")</f>
        <v>5</v>
      </c>
    </row>
    <row r="17" spans="1:57" x14ac:dyDescent="0.25">
      <c r="A17" s="64" t="s">
        <v>294</v>
      </c>
      <c r="B17" s="64" t="s">
        <v>294</v>
      </c>
      <c r="C17" s="65" t="s">
        <v>2092</v>
      </c>
      <c r="D17" s="66">
        <v>10</v>
      </c>
      <c r="E17" s="67"/>
      <c r="F17" s="68">
        <v>20</v>
      </c>
      <c r="G17" s="65"/>
      <c r="H17" s="69"/>
      <c r="I17" s="70"/>
      <c r="J17" s="70"/>
      <c r="K17" s="35" t="s">
        <v>65</v>
      </c>
      <c r="L17" s="77">
        <v>17</v>
      </c>
      <c r="M1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7" s="72"/>
      <c r="O17" s="79" t="s">
        <v>177</v>
      </c>
      <c r="P17" s="81">
        <v>44407.808796296296</v>
      </c>
      <c r="Q17" s="79" t="s">
        <v>414</v>
      </c>
      <c r="R17" s="79"/>
      <c r="S17" s="79"/>
      <c r="T17" s="85" t="s">
        <v>461</v>
      </c>
      <c r="U17" s="83" t="str">
        <f>HYPERLINK("https://pbs.twimg.com/media/E7kUyDWX0AAAydB.jpg")</f>
        <v>https://pbs.twimg.com/media/E7kUyDWX0AAAydB.jpg</v>
      </c>
      <c r="V17" s="83" t="str">
        <f>HYPERLINK("https://pbs.twimg.com/media/E7kUyDWX0AAAydB.jpg")</f>
        <v>https://pbs.twimg.com/media/E7kUyDWX0AAAydB.jpg</v>
      </c>
      <c r="W17" s="81">
        <v>44407.808796296296</v>
      </c>
      <c r="X17" s="87">
        <v>44407</v>
      </c>
      <c r="Y17" s="85" t="s">
        <v>648</v>
      </c>
      <c r="Z17" s="83" t="str">
        <f>HYPERLINK("https://twitter.com/irbound/status/1421190024528375808")</f>
        <v>https://twitter.com/irbound/status/1421190024528375808</v>
      </c>
      <c r="AA17" s="79"/>
      <c r="AB17" s="79"/>
      <c r="AC17" s="85" t="s">
        <v>828</v>
      </c>
      <c r="AD17" s="79"/>
      <c r="AE17" s="79" t="b">
        <v>0</v>
      </c>
      <c r="AF17" s="79">
        <v>0</v>
      </c>
      <c r="AG17" s="85" t="s">
        <v>867</v>
      </c>
      <c r="AH17" s="79" t="b">
        <v>0</v>
      </c>
      <c r="AI17" s="79" t="s">
        <v>874</v>
      </c>
      <c r="AJ17" s="79"/>
      <c r="AK17" s="85" t="s">
        <v>867</v>
      </c>
      <c r="AL17" s="79" t="b">
        <v>0</v>
      </c>
      <c r="AM17" s="79">
        <v>0</v>
      </c>
      <c r="AN17" s="85" t="s">
        <v>867</v>
      </c>
      <c r="AO17" s="85" t="s">
        <v>887</v>
      </c>
      <c r="AP17" s="79" t="b">
        <v>0</v>
      </c>
      <c r="AQ17" s="85" t="s">
        <v>828</v>
      </c>
      <c r="AR17" s="79" t="s">
        <v>177</v>
      </c>
      <c r="AS17" s="79">
        <v>0</v>
      </c>
      <c r="AT17" s="79">
        <v>0</v>
      </c>
      <c r="AU17" s="79"/>
      <c r="AV17" s="79"/>
      <c r="AW17" s="79"/>
      <c r="AX17" s="79"/>
      <c r="AY17" s="79"/>
      <c r="AZ17" s="79"/>
      <c r="BA17" s="79"/>
      <c r="BB17" s="79"/>
      <c r="BC17">
        <v>22</v>
      </c>
      <c r="BD17" s="78" t="str">
        <f>REPLACE(INDEX(GroupVertices[Group], MATCH(Edges[[#This Row],[Vertex 1]],GroupVertices[Vertex],0)),1,1,"")</f>
        <v>5</v>
      </c>
      <c r="BE17" s="78" t="str">
        <f>REPLACE(INDEX(GroupVertices[Group], MATCH(Edges[[#This Row],[Vertex 2]],GroupVertices[Vertex],0)),1,1,"")</f>
        <v>5</v>
      </c>
    </row>
    <row r="18" spans="1:57" x14ac:dyDescent="0.25">
      <c r="A18" s="64" t="s">
        <v>294</v>
      </c>
      <c r="B18" s="64" t="s">
        <v>294</v>
      </c>
      <c r="C18" s="65" t="s">
        <v>2092</v>
      </c>
      <c r="D18" s="66">
        <v>10</v>
      </c>
      <c r="E18" s="67"/>
      <c r="F18" s="68">
        <v>20</v>
      </c>
      <c r="G18" s="65"/>
      <c r="H18" s="69"/>
      <c r="I18" s="70"/>
      <c r="J18" s="70"/>
      <c r="K18" s="35" t="s">
        <v>65</v>
      </c>
      <c r="L18" s="77">
        <v>18</v>
      </c>
      <c r="M1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8" s="72"/>
      <c r="O18" s="79" t="s">
        <v>177</v>
      </c>
      <c r="P18" s="81">
        <v>44407.882581018515</v>
      </c>
      <c r="Q18" s="79" t="s">
        <v>415</v>
      </c>
      <c r="R18" s="79"/>
      <c r="S18" s="79"/>
      <c r="T18" s="85" t="s">
        <v>461</v>
      </c>
      <c r="U18" s="83" t="str">
        <f>HYPERLINK("https://pbs.twimg.com/media/E7ktGcvXMAUpYAr.jpg")</f>
        <v>https://pbs.twimg.com/media/E7ktGcvXMAUpYAr.jpg</v>
      </c>
      <c r="V18" s="83" t="str">
        <f>HYPERLINK("https://pbs.twimg.com/media/E7ktGcvXMAUpYAr.jpg")</f>
        <v>https://pbs.twimg.com/media/E7ktGcvXMAUpYAr.jpg</v>
      </c>
      <c r="W18" s="81">
        <v>44407.882581018515</v>
      </c>
      <c r="X18" s="87">
        <v>44407</v>
      </c>
      <c r="Y18" s="85" t="s">
        <v>649</v>
      </c>
      <c r="Z18" s="83" t="str">
        <f>HYPERLINK("https://twitter.com/irbound/status/1421216763317047298")</f>
        <v>https://twitter.com/irbound/status/1421216763317047298</v>
      </c>
      <c r="AA18" s="79"/>
      <c r="AB18" s="79"/>
      <c r="AC18" s="85" t="s">
        <v>829</v>
      </c>
      <c r="AD18" s="79"/>
      <c r="AE18" s="79" t="b">
        <v>0</v>
      </c>
      <c r="AF18" s="79">
        <v>0</v>
      </c>
      <c r="AG18" s="85" t="s">
        <v>867</v>
      </c>
      <c r="AH18" s="79" t="b">
        <v>0</v>
      </c>
      <c r="AI18" s="79" t="s">
        <v>874</v>
      </c>
      <c r="AJ18" s="79"/>
      <c r="AK18" s="85" t="s">
        <v>867</v>
      </c>
      <c r="AL18" s="79" t="b">
        <v>0</v>
      </c>
      <c r="AM18" s="79">
        <v>0</v>
      </c>
      <c r="AN18" s="85" t="s">
        <v>867</v>
      </c>
      <c r="AO18" s="85" t="s">
        <v>887</v>
      </c>
      <c r="AP18" s="79" t="b">
        <v>0</v>
      </c>
      <c r="AQ18" s="85" t="s">
        <v>829</v>
      </c>
      <c r="AR18" s="79" t="s">
        <v>177</v>
      </c>
      <c r="AS18" s="79">
        <v>0</v>
      </c>
      <c r="AT18" s="79">
        <v>0</v>
      </c>
      <c r="AU18" s="79"/>
      <c r="AV18" s="79"/>
      <c r="AW18" s="79"/>
      <c r="AX18" s="79"/>
      <c r="AY18" s="79"/>
      <c r="AZ18" s="79"/>
      <c r="BA18" s="79"/>
      <c r="BB18" s="79"/>
      <c r="BC18">
        <v>22</v>
      </c>
      <c r="BD18" s="78" t="str">
        <f>REPLACE(INDEX(GroupVertices[Group], MATCH(Edges[[#This Row],[Vertex 1]],GroupVertices[Vertex],0)),1,1,"")</f>
        <v>5</v>
      </c>
      <c r="BE18" s="78" t="str">
        <f>REPLACE(INDEX(GroupVertices[Group], MATCH(Edges[[#This Row],[Vertex 2]],GroupVertices[Vertex],0)),1,1,"")</f>
        <v>5</v>
      </c>
    </row>
    <row r="19" spans="1:57" x14ac:dyDescent="0.25">
      <c r="A19" s="64" t="s">
        <v>294</v>
      </c>
      <c r="B19" s="64" t="s">
        <v>294</v>
      </c>
      <c r="C19" s="65" t="s">
        <v>2092</v>
      </c>
      <c r="D19" s="66">
        <v>10</v>
      </c>
      <c r="E19" s="67"/>
      <c r="F19" s="68">
        <v>20</v>
      </c>
      <c r="G19" s="65"/>
      <c r="H19" s="69"/>
      <c r="I19" s="70"/>
      <c r="J19" s="70"/>
      <c r="K19" s="35" t="s">
        <v>65</v>
      </c>
      <c r="L19" s="77">
        <v>19</v>
      </c>
      <c r="M1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9" s="72"/>
      <c r="O19" s="79" t="s">
        <v>177</v>
      </c>
      <c r="P19" s="81">
        <v>44407.886481481481</v>
      </c>
      <c r="Q19" s="79" t="s">
        <v>416</v>
      </c>
      <c r="R19" s="79"/>
      <c r="S19" s="79"/>
      <c r="T19" s="85" t="s">
        <v>461</v>
      </c>
      <c r="U19" s="83" t="str">
        <f>HYPERLINK("https://pbs.twimg.com/ext_tw_video_thumb/1421218088586989568/pu/img/3POwVEePskrryj3Z.jpg")</f>
        <v>https://pbs.twimg.com/ext_tw_video_thumb/1421218088586989568/pu/img/3POwVEePskrryj3Z.jpg</v>
      </c>
      <c r="V19" s="83" t="str">
        <f>HYPERLINK("https://pbs.twimg.com/ext_tw_video_thumb/1421218088586989568/pu/img/3POwVEePskrryj3Z.jpg")</f>
        <v>https://pbs.twimg.com/ext_tw_video_thumb/1421218088586989568/pu/img/3POwVEePskrryj3Z.jpg</v>
      </c>
      <c r="W19" s="81">
        <v>44407.886481481481</v>
      </c>
      <c r="X19" s="87">
        <v>44407</v>
      </c>
      <c r="Y19" s="85" t="s">
        <v>650</v>
      </c>
      <c r="Z19" s="83" t="str">
        <f>HYPERLINK("https://twitter.com/irbound/status/1421218173697810441")</f>
        <v>https://twitter.com/irbound/status/1421218173697810441</v>
      </c>
      <c r="AA19" s="79"/>
      <c r="AB19" s="79"/>
      <c r="AC19" s="85" t="s">
        <v>830</v>
      </c>
      <c r="AD19" s="79"/>
      <c r="AE19" s="79" t="b">
        <v>0</v>
      </c>
      <c r="AF19" s="79">
        <v>0</v>
      </c>
      <c r="AG19" s="85" t="s">
        <v>867</v>
      </c>
      <c r="AH19" s="79" t="b">
        <v>0</v>
      </c>
      <c r="AI19" s="79" t="s">
        <v>874</v>
      </c>
      <c r="AJ19" s="79"/>
      <c r="AK19" s="85" t="s">
        <v>867</v>
      </c>
      <c r="AL19" s="79" t="b">
        <v>0</v>
      </c>
      <c r="AM19" s="79">
        <v>0</v>
      </c>
      <c r="AN19" s="85" t="s">
        <v>867</v>
      </c>
      <c r="AO19" s="85" t="s">
        <v>887</v>
      </c>
      <c r="AP19" s="79" t="b">
        <v>0</v>
      </c>
      <c r="AQ19" s="85" t="s">
        <v>830</v>
      </c>
      <c r="AR19" s="79" t="s">
        <v>177</v>
      </c>
      <c r="AS19" s="79">
        <v>0</v>
      </c>
      <c r="AT19" s="79">
        <v>0</v>
      </c>
      <c r="AU19" s="79"/>
      <c r="AV19" s="79"/>
      <c r="AW19" s="79"/>
      <c r="AX19" s="79"/>
      <c r="AY19" s="79"/>
      <c r="AZ19" s="79"/>
      <c r="BA19" s="79"/>
      <c r="BB19" s="79"/>
      <c r="BC19">
        <v>22</v>
      </c>
      <c r="BD19" s="78" t="str">
        <f>REPLACE(INDEX(GroupVertices[Group], MATCH(Edges[[#This Row],[Vertex 1]],GroupVertices[Vertex],0)),1,1,"")</f>
        <v>5</v>
      </c>
      <c r="BE19" s="78" t="str">
        <f>REPLACE(INDEX(GroupVertices[Group], MATCH(Edges[[#This Row],[Vertex 2]],GroupVertices[Vertex],0)),1,1,"")</f>
        <v>5</v>
      </c>
    </row>
    <row r="20" spans="1:57" x14ac:dyDescent="0.25">
      <c r="A20" s="64" t="s">
        <v>294</v>
      </c>
      <c r="B20" s="64" t="s">
        <v>294</v>
      </c>
      <c r="C20" s="65" t="s">
        <v>2092</v>
      </c>
      <c r="D20" s="66">
        <v>10</v>
      </c>
      <c r="E20" s="67"/>
      <c r="F20" s="68">
        <v>20</v>
      </c>
      <c r="G20" s="65"/>
      <c r="H20" s="69"/>
      <c r="I20" s="70"/>
      <c r="J20" s="70"/>
      <c r="K20" s="35" t="s">
        <v>65</v>
      </c>
      <c r="L20" s="77">
        <v>20</v>
      </c>
      <c r="M2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0" s="72"/>
      <c r="O20" s="79" t="s">
        <v>177</v>
      </c>
      <c r="P20" s="81">
        <v>44407.890243055554</v>
      </c>
      <c r="Q20" s="79" t="s">
        <v>417</v>
      </c>
      <c r="R20" s="79"/>
      <c r="S20" s="79"/>
      <c r="T20" s="85" t="s">
        <v>461</v>
      </c>
      <c r="U20" s="83" t="str">
        <f>HYPERLINK("https://pbs.twimg.com/media/E7kvnvZWQAIsBoi.jpg")</f>
        <v>https://pbs.twimg.com/media/E7kvnvZWQAIsBoi.jpg</v>
      </c>
      <c r="V20" s="83" t="str">
        <f>HYPERLINK("https://pbs.twimg.com/media/E7kvnvZWQAIsBoi.jpg")</f>
        <v>https://pbs.twimg.com/media/E7kvnvZWQAIsBoi.jpg</v>
      </c>
      <c r="W20" s="81">
        <v>44407.890243055554</v>
      </c>
      <c r="X20" s="87">
        <v>44407</v>
      </c>
      <c r="Y20" s="85" t="s">
        <v>651</v>
      </c>
      <c r="Z20" s="83" t="str">
        <f>HYPERLINK("https://twitter.com/irbound/status/1421219539694534656")</f>
        <v>https://twitter.com/irbound/status/1421219539694534656</v>
      </c>
      <c r="AA20" s="79"/>
      <c r="AB20" s="79"/>
      <c r="AC20" s="85" t="s">
        <v>831</v>
      </c>
      <c r="AD20" s="79"/>
      <c r="AE20" s="79" t="b">
        <v>0</v>
      </c>
      <c r="AF20" s="79">
        <v>1</v>
      </c>
      <c r="AG20" s="85" t="s">
        <v>867</v>
      </c>
      <c r="AH20" s="79" t="b">
        <v>0</v>
      </c>
      <c r="AI20" s="79" t="s">
        <v>874</v>
      </c>
      <c r="AJ20" s="79"/>
      <c r="AK20" s="85" t="s">
        <v>867</v>
      </c>
      <c r="AL20" s="79" t="b">
        <v>0</v>
      </c>
      <c r="AM20" s="79">
        <v>0</v>
      </c>
      <c r="AN20" s="85" t="s">
        <v>867</v>
      </c>
      <c r="AO20" s="85" t="s">
        <v>887</v>
      </c>
      <c r="AP20" s="79" t="b">
        <v>0</v>
      </c>
      <c r="AQ20" s="85" t="s">
        <v>831</v>
      </c>
      <c r="AR20" s="79" t="s">
        <v>177</v>
      </c>
      <c r="AS20" s="79">
        <v>0</v>
      </c>
      <c r="AT20" s="79">
        <v>0</v>
      </c>
      <c r="AU20" s="79"/>
      <c r="AV20" s="79"/>
      <c r="AW20" s="79"/>
      <c r="AX20" s="79"/>
      <c r="AY20" s="79"/>
      <c r="AZ20" s="79"/>
      <c r="BA20" s="79"/>
      <c r="BB20" s="79"/>
      <c r="BC20">
        <v>22</v>
      </c>
      <c r="BD20" s="78" t="str">
        <f>REPLACE(INDEX(GroupVertices[Group], MATCH(Edges[[#This Row],[Vertex 1]],GroupVertices[Vertex],0)),1,1,"")</f>
        <v>5</v>
      </c>
      <c r="BE20" s="78" t="str">
        <f>REPLACE(INDEX(GroupVertices[Group], MATCH(Edges[[#This Row],[Vertex 2]],GroupVertices[Vertex],0)),1,1,"")</f>
        <v>5</v>
      </c>
    </row>
    <row r="21" spans="1:57" x14ac:dyDescent="0.25">
      <c r="A21" s="64" t="s">
        <v>294</v>
      </c>
      <c r="B21" s="64" t="s">
        <v>294</v>
      </c>
      <c r="C21" s="65" t="s">
        <v>2092</v>
      </c>
      <c r="D21" s="66">
        <v>10</v>
      </c>
      <c r="E21" s="67"/>
      <c r="F21" s="68">
        <v>20</v>
      </c>
      <c r="G21" s="65"/>
      <c r="H21" s="69"/>
      <c r="I21" s="70"/>
      <c r="J21" s="70"/>
      <c r="K21" s="35" t="s">
        <v>65</v>
      </c>
      <c r="L21" s="77">
        <v>21</v>
      </c>
      <c r="M2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1" s="72"/>
      <c r="O21" s="79" t="s">
        <v>177</v>
      </c>
      <c r="P21" s="81">
        <v>44407.892812500002</v>
      </c>
      <c r="Q21" s="79" t="s">
        <v>418</v>
      </c>
      <c r="R21" s="79"/>
      <c r="S21" s="79"/>
      <c r="T21" s="85" t="s">
        <v>461</v>
      </c>
      <c r="U21" s="83" t="str">
        <f>HYPERLINK("https://pbs.twimg.com/media/E7kwe7QWUAM0LsI.jpg")</f>
        <v>https://pbs.twimg.com/media/E7kwe7QWUAM0LsI.jpg</v>
      </c>
      <c r="V21" s="83" t="str">
        <f>HYPERLINK("https://pbs.twimg.com/media/E7kwe7QWUAM0LsI.jpg")</f>
        <v>https://pbs.twimg.com/media/E7kwe7QWUAM0LsI.jpg</v>
      </c>
      <c r="W21" s="81">
        <v>44407.892812500002</v>
      </c>
      <c r="X21" s="87">
        <v>44407</v>
      </c>
      <c r="Y21" s="85" t="s">
        <v>652</v>
      </c>
      <c r="Z21" s="83" t="str">
        <f>HYPERLINK("https://twitter.com/irbound/status/1421220467617193985")</f>
        <v>https://twitter.com/irbound/status/1421220467617193985</v>
      </c>
      <c r="AA21" s="79"/>
      <c r="AB21" s="79"/>
      <c r="AC21" s="85" t="s">
        <v>832</v>
      </c>
      <c r="AD21" s="79"/>
      <c r="AE21" s="79" t="b">
        <v>0</v>
      </c>
      <c r="AF21" s="79">
        <v>0</v>
      </c>
      <c r="AG21" s="85" t="s">
        <v>867</v>
      </c>
      <c r="AH21" s="79" t="b">
        <v>0</v>
      </c>
      <c r="AI21" s="79" t="s">
        <v>877</v>
      </c>
      <c r="AJ21" s="79"/>
      <c r="AK21" s="85" t="s">
        <v>867</v>
      </c>
      <c r="AL21" s="79" t="b">
        <v>0</v>
      </c>
      <c r="AM21" s="79">
        <v>0</v>
      </c>
      <c r="AN21" s="85" t="s">
        <v>867</v>
      </c>
      <c r="AO21" s="85" t="s">
        <v>887</v>
      </c>
      <c r="AP21" s="79" t="b">
        <v>0</v>
      </c>
      <c r="AQ21" s="85" t="s">
        <v>832</v>
      </c>
      <c r="AR21" s="79" t="s">
        <v>177</v>
      </c>
      <c r="AS21" s="79">
        <v>0</v>
      </c>
      <c r="AT21" s="79">
        <v>0</v>
      </c>
      <c r="AU21" s="79"/>
      <c r="AV21" s="79"/>
      <c r="AW21" s="79"/>
      <c r="AX21" s="79"/>
      <c r="AY21" s="79"/>
      <c r="AZ21" s="79"/>
      <c r="BA21" s="79"/>
      <c r="BB21" s="79"/>
      <c r="BC21">
        <v>22</v>
      </c>
      <c r="BD21" s="78" t="str">
        <f>REPLACE(INDEX(GroupVertices[Group], MATCH(Edges[[#This Row],[Vertex 1]],GroupVertices[Vertex],0)),1,1,"")</f>
        <v>5</v>
      </c>
      <c r="BE21" s="78" t="str">
        <f>REPLACE(INDEX(GroupVertices[Group], MATCH(Edges[[#This Row],[Vertex 2]],GroupVertices[Vertex],0)),1,1,"")</f>
        <v>5</v>
      </c>
    </row>
    <row r="22" spans="1:57" x14ac:dyDescent="0.25">
      <c r="A22" s="64" t="s">
        <v>294</v>
      </c>
      <c r="B22" s="64" t="s">
        <v>294</v>
      </c>
      <c r="C22" s="65" t="s">
        <v>2092</v>
      </c>
      <c r="D22" s="66">
        <v>10</v>
      </c>
      <c r="E22" s="67"/>
      <c r="F22" s="68">
        <v>20</v>
      </c>
      <c r="G22" s="65"/>
      <c r="H22" s="69"/>
      <c r="I22" s="70"/>
      <c r="J22" s="70"/>
      <c r="K22" s="35" t="s">
        <v>65</v>
      </c>
      <c r="L22" s="77">
        <v>22</v>
      </c>
      <c r="M2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2" s="72"/>
      <c r="O22" s="79" t="s">
        <v>177</v>
      </c>
      <c r="P22" s="81">
        <v>44407.897905092592</v>
      </c>
      <c r="Q22" s="79" t="s">
        <v>419</v>
      </c>
      <c r="R22" s="79"/>
      <c r="S22" s="79"/>
      <c r="T22" s="85" t="s">
        <v>461</v>
      </c>
      <c r="U22" s="83" t="str">
        <f>HYPERLINK("https://pbs.twimg.com/ext_tw_video_thumb/1421222270018666498/pu/img/m88XJMA3hsFqJPLl.jpg")</f>
        <v>https://pbs.twimg.com/ext_tw_video_thumb/1421222270018666498/pu/img/m88XJMA3hsFqJPLl.jpg</v>
      </c>
      <c r="V22" s="83" t="str">
        <f>HYPERLINK("https://pbs.twimg.com/ext_tw_video_thumb/1421222270018666498/pu/img/m88XJMA3hsFqJPLl.jpg")</f>
        <v>https://pbs.twimg.com/ext_tw_video_thumb/1421222270018666498/pu/img/m88XJMA3hsFqJPLl.jpg</v>
      </c>
      <c r="W22" s="81">
        <v>44407.897905092592</v>
      </c>
      <c r="X22" s="87">
        <v>44407</v>
      </c>
      <c r="Y22" s="85" t="s">
        <v>653</v>
      </c>
      <c r="Z22" s="83" t="str">
        <f>HYPERLINK("https://twitter.com/irbound/status/1421222315187130369")</f>
        <v>https://twitter.com/irbound/status/1421222315187130369</v>
      </c>
      <c r="AA22" s="79"/>
      <c r="AB22" s="79"/>
      <c r="AC22" s="85" t="s">
        <v>833</v>
      </c>
      <c r="AD22" s="79"/>
      <c r="AE22" s="79" t="b">
        <v>0</v>
      </c>
      <c r="AF22" s="79">
        <v>0</v>
      </c>
      <c r="AG22" s="85" t="s">
        <v>867</v>
      </c>
      <c r="AH22" s="79" t="b">
        <v>0</v>
      </c>
      <c r="AI22" s="79" t="s">
        <v>874</v>
      </c>
      <c r="AJ22" s="79"/>
      <c r="AK22" s="85" t="s">
        <v>867</v>
      </c>
      <c r="AL22" s="79" t="b">
        <v>0</v>
      </c>
      <c r="AM22" s="79">
        <v>0</v>
      </c>
      <c r="AN22" s="85" t="s">
        <v>867</v>
      </c>
      <c r="AO22" s="85" t="s">
        <v>887</v>
      </c>
      <c r="AP22" s="79" t="b">
        <v>0</v>
      </c>
      <c r="AQ22" s="85" t="s">
        <v>833</v>
      </c>
      <c r="AR22" s="79" t="s">
        <v>177</v>
      </c>
      <c r="AS22" s="79">
        <v>0</v>
      </c>
      <c r="AT22" s="79">
        <v>0</v>
      </c>
      <c r="AU22" s="79"/>
      <c r="AV22" s="79"/>
      <c r="AW22" s="79"/>
      <c r="AX22" s="79"/>
      <c r="AY22" s="79"/>
      <c r="AZ22" s="79"/>
      <c r="BA22" s="79"/>
      <c r="BB22" s="79"/>
      <c r="BC22">
        <v>22</v>
      </c>
      <c r="BD22" s="78" t="str">
        <f>REPLACE(INDEX(GroupVertices[Group], MATCH(Edges[[#This Row],[Vertex 1]],GroupVertices[Vertex],0)),1,1,"")</f>
        <v>5</v>
      </c>
      <c r="BE22" s="78" t="str">
        <f>REPLACE(INDEX(GroupVertices[Group], MATCH(Edges[[#This Row],[Vertex 2]],GroupVertices[Vertex],0)),1,1,"")</f>
        <v>5</v>
      </c>
    </row>
    <row r="23" spans="1:57" x14ac:dyDescent="0.25">
      <c r="A23" s="64" t="s">
        <v>294</v>
      </c>
      <c r="B23" s="64" t="s">
        <v>294</v>
      </c>
      <c r="C23" s="65" t="s">
        <v>2092</v>
      </c>
      <c r="D23" s="66">
        <v>10</v>
      </c>
      <c r="E23" s="67"/>
      <c r="F23" s="68">
        <v>20</v>
      </c>
      <c r="G23" s="65"/>
      <c r="H23" s="69"/>
      <c r="I23" s="70"/>
      <c r="J23" s="70"/>
      <c r="K23" s="35" t="s">
        <v>65</v>
      </c>
      <c r="L23" s="77">
        <v>23</v>
      </c>
      <c r="M2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3" s="72"/>
      <c r="O23" s="79" t="s">
        <v>177</v>
      </c>
      <c r="P23" s="81">
        <v>44407.914884259262</v>
      </c>
      <c r="Q23" s="79" t="s">
        <v>420</v>
      </c>
      <c r="R23" s="79"/>
      <c r="S23" s="79"/>
      <c r="T23" s="85" t="s">
        <v>494</v>
      </c>
      <c r="U23" s="83" t="str">
        <f>HYPERLINK("https://pbs.twimg.com/media/E7k3v88WUAEaaVZ.jpg")</f>
        <v>https://pbs.twimg.com/media/E7k3v88WUAEaaVZ.jpg</v>
      </c>
      <c r="V23" s="83" t="str">
        <f>HYPERLINK("https://pbs.twimg.com/media/E7k3v88WUAEaaVZ.jpg")</f>
        <v>https://pbs.twimg.com/media/E7k3v88WUAEaaVZ.jpg</v>
      </c>
      <c r="W23" s="81">
        <v>44407.914884259262</v>
      </c>
      <c r="X23" s="87">
        <v>44407</v>
      </c>
      <c r="Y23" s="85" t="s">
        <v>654</v>
      </c>
      <c r="Z23" s="83" t="str">
        <f>HYPERLINK("https://twitter.com/irbound/status/1421228468977668102")</f>
        <v>https://twitter.com/irbound/status/1421228468977668102</v>
      </c>
      <c r="AA23" s="79"/>
      <c r="AB23" s="79"/>
      <c r="AC23" s="85" t="s">
        <v>834</v>
      </c>
      <c r="AD23" s="79"/>
      <c r="AE23" s="79" t="b">
        <v>0</v>
      </c>
      <c r="AF23" s="79">
        <v>0</v>
      </c>
      <c r="AG23" s="85" t="s">
        <v>867</v>
      </c>
      <c r="AH23" s="79" t="b">
        <v>0</v>
      </c>
      <c r="AI23" s="79" t="s">
        <v>874</v>
      </c>
      <c r="AJ23" s="79"/>
      <c r="AK23" s="85" t="s">
        <v>867</v>
      </c>
      <c r="AL23" s="79" t="b">
        <v>0</v>
      </c>
      <c r="AM23" s="79">
        <v>0</v>
      </c>
      <c r="AN23" s="85" t="s">
        <v>867</v>
      </c>
      <c r="AO23" s="85" t="s">
        <v>887</v>
      </c>
      <c r="AP23" s="79" t="b">
        <v>0</v>
      </c>
      <c r="AQ23" s="85" t="s">
        <v>834</v>
      </c>
      <c r="AR23" s="79" t="s">
        <v>177</v>
      </c>
      <c r="AS23" s="79">
        <v>0</v>
      </c>
      <c r="AT23" s="79">
        <v>0</v>
      </c>
      <c r="AU23" s="79"/>
      <c r="AV23" s="79"/>
      <c r="AW23" s="79"/>
      <c r="AX23" s="79"/>
      <c r="AY23" s="79"/>
      <c r="AZ23" s="79"/>
      <c r="BA23" s="79"/>
      <c r="BB23" s="79"/>
      <c r="BC23">
        <v>22</v>
      </c>
      <c r="BD23" s="78" t="str">
        <f>REPLACE(INDEX(GroupVertices[Group], MATCH(Edges[[#This Row],[Vertex 1]],GroupVertices[Vertex],0)),1,1,"")</f>
        <v>5</v>
      </c>
      <c r="BE23" s="78" t="str">
        <f>REPLACE(INDEX(GroupVertices[Group], MATCH(Edges[[#This Row],[Vertex 2]],GroupVertices[Vertex],0)),1,1,"")</f>
        <v>5</v>
      </c>
    </row>
    <row r="24" spans="1:57" x14ac:dyDescent="0.25">
      <c r="A24" s="64" t="s">
        <v>294</v>
      </c>
      <c r="B24" s="64" t="s">
        <v>294</v>
      </c>
      <c r="C24" s="105" t="s">
        <v>2092</v>
      </c>
      <c r="D24" s="123">
        <v>10</v>
      </c>
      <c r="E24" s="124"/>
      <c r="F24" s="104">
        <v>20</v>
      </c>
      <c r="G24" s="105"/>
      <c r="H24" s="125"/>
      <c r="I24" s="106"/>
      <c r="J24" s="106"/>
      <c r="K24" s="35" t="s">
        <v>65</v>
      </c>
      <c r="L24" s="126">
        <v>24</v>
      </c>
      <c r="M24" s="126"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4" s="72"/>
      <c r="O24" s="79" t="s">
        <v>177</v>
      </c>
      <c r="P24" s="81">
        <v>44407.923495370371</v>
      </c>
      <c r="Q24" s="79" t="s">
        <v>421</v>
      </c>
      <c r="R24" s="79"/>
      <c r="S24" s="79"/>
      <c r="T24" s="85" t="s">
        <v>461</v>
      </c>
      <c r="U24" s="83" t="str">
        <f>HYPERLINK("https://pbs.twimg.com/ext_tw_video_thumb/1421231504928219139/pu/img/6GnYrXL7LDZIE5lX.jpg")</f>
        <v>https://pbs.twimg.com/ext_tw_video_thumb/1421231504928219139/pu/img/6GnYrXL7LDZIE5lX.jpg</v>
      </c>
      <c r="V24" s="83" t="str">
        <f>HYPERLINK("https://pbs.twimg.com/ext_tw_video_thumb/1421231504928219139/pu/img/6GnYrXL7LDZIE5lX.jpg")</f>
        <v>https://pbs.twimg.com/ext_tw_video_thumb/1421231504928219139/pu/img/6GnYrXL7LDZIE5lX.jpg</v>
      </c>
      <c r="W24" s="81">
        <v>44407.923495370371</v>
      </c>
      <c r="X24" s="87">
        <v>44407</v>
      </c>
      <c r="Y24" s="85" t="s">
        <v>655</v>
      </c>
      <c r="Z24" s="83" t="str">
        <f>HYPERLINK("https://twitter.com/irbound/status/1421231589334437896")</f>
        <v>https://twitter.com/irbound/status/1421231589334437896</v>
      </c>
      <c r="AA24" s="79"/>
      <c r="AB24" s="79"/>
      <c r="AC24" s="85" t="s">
        <v>835</v>
      </c>
      <c r="AD24" s="79"/>
      <c r="AE24" s="79" t="b">
        <v>0</v>
      </c>
      <c r="AF24" s="79">
        <v>0</v>
      </c>
      <c r="AG24" s="85" t="s">
        <v>867</v>
      </c>
      <c r="AH24" s="79" t="b">
        <v>0</v>
      </c>
      <c r="AI24" s="79" t="s">
        <v>874</v>
      </c>
      <c r="AJ24" s="79"/>
      <c r="AK24" s="85" t="s">
        <v>867</v>
      </c>
      <c r="AL24" s="79" t="b">
        <v>0</v>
      </c>
      <c r="AM24" s="79">
        <v>0</v>
      </c>
      <c r="AN24" s="85" t="s">
        <v>867</v>
      </c>
      <c r="AO24" s="85" t="s">
        <v>887</v>
      </c>
      <c r="AP24" s="79" t="b">
        <v>0</v>
      </c>
      <c r="AQ24" s="85" t="s">
        <v>835</v>
      </c>
      <c r="AR24" s="79" t="s">
        <v>177</v>
      </c>
      <c r="AS24" s="79">
        <v>0</v>
      </c>
      <c r="AT24" s="79">
        <v>0</v>
      </c>
      <c r="AU24" s="79"/>
      <c r="AV24" s="79"/>
      <c r="AW24" s="79"/>
      <c r="AX24" s="79"/>
      <c r="AY24" s="79"/>
      <c r="AZ24" s="79"/>
      <c r="BA24" s="79"/>
      <c r="BB24" s="79"/>
      <c r="BC24">
        <v>22</v>
      </c>
      <c r="BD24" s="78" t="str">
        <f>REPLACE(INDEX(GroupVertices[Group], MATCH(Edges[[#This Row],[Vertex 1]],GroupVertices[Vertex],0)),1,1,"")</f>
        <v>5</v>
      </c>
      <c r="BE24" s="78" t="str">
        <f>REPLACE(INDEX(GroupVertices[Group], MATCH(Edges[[#This Row],[Vertex 2]],GroupVertices[Vertex],0)),1,1,"")</f>
        <v>5</v>
      </c>
    </row>
    <row r="25" spans="1:57" x14ac:dyDescent="0.25">
      <c r="A25" s="64" t="s">
        <v>289</v>
      </c>
      <c r="B25" s="64" t="s">
        <v>322</v>
      </c>
      <c r="C25" s="65" t="s">
        <v>2092</v>
      </c>
      <c r="D25" s="66">
        <v>10</v>
      </c>
      <c r="E25" s="67"/>
      <c r="F25" s="68">
        <v>20</v>
      </c>
      <c r="G25" s="65"/>
      <c r="H25" s="69"/>
      <c r="I25" s="70"/>
      <c r="J25" s="70"/>
      <c r="K25" s="35" t="s">
        <v>65</v>
      </c>
      <c r="L25" s="77">
        <v>25</v>
      </c>
      <c r="M2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5" s="72"/>
      <c r="O25" s="79" t="s">
        <v>339</v>
      </c>
      <c r="P25" s="81">
        <v>44389.924675925926</v>
      </c>
      <c r="Q25" s="79" t="s">
        <v>370</v>
      </c>
      <c r="R25" s="79"/>
      <c r="S25" s="79"/>
      <c r="T25" s="85" t="s">
        <v>461</v>
      </c>
      <c r="U25" s="83" t="str">
        <f>HYPERLINK("https://pbs.twimg.com/media/E6IOXacX0AIO80c.jpg")</f>
        <v>https://pbs.twimg.com/media/E6IOXacX0AIO80c.jpg</v>
      </c>
      <c r="V25" s="83" t="str">
        <f>HYPERLINK("https://pbs.twimg.com/media/E6IOXacX0AIO80c.jpg")</f>
        <v>https://pbs.twimg.com/media/E6IOXacX0AIO80c.jpg</v>
      </c>
      <c r="W25" s="81">
        <v>44389.924675925926</v>
      </c>
      <c r="X25" s="87">
        <v>44389</v>
      </c>
      <c r="Y25" s="85" t="s">
        <v>623</v>
      </c>
      <c r="Z25" s="83" t="str">
        <f>HYPERLINK("https://twitter.com/ucatonsville/status/1414709036063338496")</f>
        <v>https://twitter.com/ucatonsville/status/1414709036063338496</v>
      </c>
      <c r="AA25" s="79"/>
      <c r="AB25" s="79"/>
      <c r="AC25" s="85" t="s">
        <v>803</v>
      </c>
      <c r="AD25" s="79"/>
      <c r="AE25" s="79" t="b">
        <v>0</v>
      </c>
      <c r="AF25" s="79">
        <v>5</v>
      </c>
      <c r="AG25" s="85" t="s">
        <v>867</v>
      </c>
      <c r="AH25" s="79" t="b">
        <v>0</v>
      </c>
      <c r="AI25" s="79" t="s">
        <v>874</v>
      </c>
      <c r="AJ25" s="79"/>
      <c r="AK25" s="85" t="s">
        <v>867</v>
      </c>
      <c r="AL25" s="79" t="b">
        <v>0</v>
      </c>
      <c r="AM25" s="79">
        <v>3</v>
      </c>
      <c r="AN25" s="85" t="s">
        <v>867</v>
      </c>
      <c r="AO25" s="85" t="s">
        <v>883</v>
      </c>
      <c r="AP25" s="79" t="b">
        <v>0</v>
      </c>
      <c r="AQ25" s="85" t="s">
        <v>803</v>
      </c>
      <c r="AR25" s="79" t="s">
        <v>338</v>
      </c>
      <c r="AS25" s="79">
        <v>0</v>
      </c>
      <c r="AT25" s="79">
        <v>0</v>
      </c>
      <c r="AU25" s="79" t="s">
        <v>895</v>
      </c>
      <c r="AV25" s="79" t="s">
        <v>902</v>
      </c>
      <c r="AW25" s="79" t="s">
        <v>903</v>
      </c>
      <c r="AX25" s="79" t="s">
        <v>908</v>
      </c>
      <c r="AY25" s="79" t="s">
        <v>918</v>
      </c>
      <c r="AZ25" s="79" t="s">
        <v>908</v>
      </c>
      <c r="BA25" s="79" t="s">
        <v>931</v>
      </c>
      <c r="BB25" s="83" t="str">
        <f>HYPERLINK("https://api.twitter.com/1.1/geo/id/07d9e7f954086000.json")</f>
        <v>https://api.twitter.com/1.1/geo/id/07d9e7f954086000.json</v>
      </c>
      <c r="BC25">
        <v>16</v>
      </c>
      <c r="BD25" s="78" t="str">
        <f>REPLACE(INDEX(GroupVertices[Group], MATCH(Edges[[#This Row],[Vertex 1]],GroupVertices[Vertex],0)),1,1,"")</f>
        <v>3</v>
      </c>
      <c r="BE25" s="78" t="str">
        <f>REPLACE(INDEX(GroupVertices[Group], MATCH(Edges[[#This Row],[Vertex 2]],GroupVertices[Vertex],0)),1,1,"")</f>
        <v>3</v>
      </c>
    </row>
    <row r="26" spans="1:57" x14ac:dyDescent="0.25">
      <c r="A26" s="64" t="s">
        <v>289</v>
      </c>
      <c r="B26" s="64" t="s">
        <v>322</v>
      </c>
      <c r="C26" s="65" t="s">
        <v>2092</v>
      </c>
      <c r="D26" s="66">
        <v>10</v>
      </c>
      <c r="E26" s="67"/>
      <c r="F26" s="68">
        <v>20</v>
      </c>
      <c r="G26" s="65"/>
      <c r="H26" s="69"/>
      <c r="I26" s="70"/>
      <c r="J26" s="70"/>
      <c r="K26" s="35" t="s">
        <v>65</v>
      </c>
      <c r="L26" s="77">
        <v>26</v>
      </c>
      <c r="M2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6" s="72"/>
      <c r="O26" s="79" t="s">
        <v>339</v>
      </c>
      <c r="P26" s="81">
        <v>44389.928425925929</v>
      </c>
      <c r="Q26" s="79" t="s">
        <v>369</v>
      </c>
      <c r="R26" s="79"/>
      <c r="S26" s="79"/>
      <c r="T26" s="85" t="s">
        <v>461</v>
      </c>
      <c r="U26" s="83" t="str">
        <f>HYPERLINK("https://pbs.twimg.com/media/E6IPmASXMAAHX-l.jpg")</f>
        <v>https://pbs.twimg.com/media/E6IPmASXMAAHX-l.jpg</v>
      </c>
      <c r="V26" s="83" t="str">
        <f>HYPERLINK("https://pbs.twimg.com/media/E6IPmASXMAAHX-l.jpg")</f>
        <v>https://pbs.twimg.com/media/E6IPmASXMAAHX-l.jpg</v>
      </c>
      <c r="W26" s="81">
        <v>44389.928425925929</v>
      </c>
      <c r="X26" s="87">
        <v>44389</v>
      </c>
      <c r="Y26" s="85" t="s">
        <v>622</v>
      </c>
      <c r="Z26" s="83" t="str">
        <f>HYPERLINK("https://twitter.com/ucatonsville/status/1414710391532306434")</f>
        <v>https://twitter.com/ucatonsville/status/1414710391532306434</v>
      </c>
      <c r="AA26" s="79"/>
      <c r="AB26" s="79"/>
      <c r="AC26" s="85" t="s">
        <v>802</v>
      </c>
      <c r="AD26" s="79"/>
      <c r="AE26" s="79" t="b">
        <v>0</v>
      </c>
      <c r="AF26" s="79">
        <v>5</v>
      </c>
      <c r="AG26" s="85" t="s">
        <v>867</v>
      </c>
      <c r="AH26" s="79" t="b">
        <v>0</v>
      </c>
      <c r="AI26" s="79" t="s">
        <v>874</v>
      </c>
      <c r="AJ26" s="79"/>
      <c r="AK26" s="85" t="s">
        <v>867</v>
      </c>
      <c r="AL26" s="79" t="b">
        <v>0</v>
      </c>
      <c r="AM26" s="79">
        <v>4</v>
      </c>
      <c r="AN26" s="85" t="s">
        <v>867</v>
      </c>
      <c r="AO26" s="85" t="s">
        <v>883</v>
      </c>
      <c r="AP26" s="79" t="b">
        <v>0</v>
      </c>
      <c r="AQ26" s="85" t="s">
        <v>802</v>
      </c>
      <c r="AR26" s="79" t="s">
        <v>338</v>
      </c>
      <c r="AS26" s="79">
        <v>0</v>
      </c>
      <c r="AT26" s="79">
        <v>0</v>
      </c>
      <c r="AU26" s="79" t="s">
        <v>896</v>
      </c>
      <c r="AV26" s="79" t="s">
        <v>902</v>
      </c>
      <c r="AW26" s="79" t="s">
        <v>903</v>
      </c>
      <c r="AX26" s="79" t="s">
        <v>909</v>
      </c>
      <c r="AY26" s="79" t="s">
        <v>919</v>
      </c>
      <c r="AZ26" s="79" t="s">
        <v>909</v>
      </c>
      <c r="BA26" s="79" t="s">
        <v>931</v>
      </c>
      <c r="BB26" s="83" t="str">
        <f>HYPERLINK("https://api.twitter.com/1.1/geo/id/07d9f0071a084000.json")</f>
        <v>https://api.twitter.com/1.1/geo/id/07d9f0071a084000.json</v>
      </c>
      <c r="BC26">
        <v>16</v>
      </c>
      <c r="BD26" s="78" t="str">
        <f>REPLACE(INDEX(GroupVertices[Group], MATCH(Edges[[#This Row],[Vertex 1]],GroupVertices[Vertex],0)),1,1,"")</f>
        <v>3</v>
      </c>
      <c r="BE26" s="78" t="str">
        <f>REPLACE(INDEX(GroupVertices[Group], MATCH(Edges[[#This Row],[Vertex 2]],GroupVertices[Vertex],0)),1,1,"")</f>
        <v>3</v>
      </c>
    </row>
    <row r="27" spans="1:57" x14ac:dyDescent="0.25">
      <c r="A27" s="64" t="s">
        <v>289</v>
      </c>
      <c r="B27" s="64" t="s">
        <v>322</v>
      </c>
      <c r="C27" s="65" t="s">
        <v>2092</v>
      </c>
      <c r="D27" s="66">
        <v>10</v>
      </c>
      <c r="E27" s="67"/>
      <c r="F27" s="68">
        <v>20</v>
      </c>
      <c r="G27" s="65"/>
      <c r="H27" s="69"/>
      <c r="I27" s="70"/>
      <c r="J27" s="70"/>
      <c r="K27" s="35" t="s">
        <v>65</v>
      </c>
      <c r="L27" s="77">
        <v>27</v>
      </c>
      <c r="M2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7" s="72"/>
      <c r="O27" s="79" t="s">
        <v>339</v>
      </c>
      <c r="P27" s="81">
        <v>44389.931550925925</v>
      </c>
      <c r="Q27" s="79" t="s">
        <v>368</v>
      </c>
      <c r="R27" s="79"/>
      <c r="S27" s="79"/>
      <c r="T27" s="85" t="s">
        <v>461</v>
      </c>
      <c r="U27" s="83" t="str">
        <f>HYPERLINK("https://pbs.twimg.com/media/E6IQoc-XIAIEHeV.jpg")</f>
        <v>https://pbs.twimg.com/media/E6IQoc-XIAIEHeV.jpg</v>
      </c>
      <c r="V27" s="83" t="str">
        <f>HYPERLINK("https://pbs.twimg.com/media/E6IQoc-XIAIEHeV.jpg")</f>
        <v>https://pbs.twimg.com/media/E6IQoc-XIAIEHeV.jpg</v>
      </c>
      <c r="W27" s="81">
        <v>44389.931550925925</v>
      </c>
      <c r="X27" s="87">
        <v>44389</v>
      </c>
      <c r="Y27" s="85" t="s">
        <v>621</v>
      </c>
      <c r="Z27" s="83" t="str">
        <f>HYPERLINK("https://twitter.com/ucatonsville/status/1414711527953866752")</f>
        <v>https://twitter.com/ucatonsville/status/1414711527953866752</v>
      </c>
      <c r="AA27" s="79"/>
      <c r="AB27" s="79"/>
      <c r="AC27" s="85" t="s">
        <v>801</v>
      </c>
      <c r="AD27" s="79"/>
      <c r="AE27" s="79" t="b">
        <v>0</v>
      </c>
      <c r="AF27" s="79">
        <v>5</v>
      </c>
      <c r="AG27" s="85" t="s">
        <v>867</v>
      </c>
      <c r="AH27" s="79" t="b">
        <v>0</v>
      </c>
      <c r="AI27" s="79" t="s">
        <v>874</v>
      </c>
      <c r="AJ27" s="79"/>
      <c r="AK27" s="85" t="s">
        <v>867</v>
      </c>
      <c r="AL27" s="79" t="b">
        <v>0</v>
      </c>
      <c r="AM27" s="79">
        <v>4</v>
      </c>
      <c r="AN27" s="85" t="s">
        <v>867</v>
      </c>
      <c r="AO27" s="85" t="s">
        <v>883</v>
      </c>
      <c r="AP27" s="79" t="b">
        <v>0</v>
      </c>
      <c r="AQ27" s="85" t="s">
        <v>801</v>
      </c>
      <c r="AR27" s="79" t="s">
        <v>338</v>
      </c>
      <c r="AS27" s="79">
        <v>0</v>
      </c>
      <c r="AT27" s="79">
        <v>0</v>
      </c>
      <c r="AU27" s="79" t="s">
        <v>895</v>
      </c>
      <c r="AV27" s="79" t="s">
        <v>902</v>
      </c>
      <c r="AW27" s="79" t="s">
        <v>903</v>
      </c>
      <c r="AX27" s="79" t="s">
        <v>908</v>
      </c>
      <c r="AY27" s="79" t="s">
        <v>918</v>
      </c>
      <c r="AZ27" s="79" t="s">
        <v>908</v>
      </c>
      <c r="BA27" s="79" t="s">
        <v>931</v>
      </c>
      <c r="BB27" s="83" t="str">
        <f>HYPERLINK("https://api.twitter.com/1.1/geo/id/07d9e7f954086000.json")</f>
        <v>https://api.twitter.com/1.1/geo/id/07d9e7f954086000.json</v>
      </c>
      <c r="BC27">
        <v>16</v>
      </c>
      <c r="BD27" s="78" t="str">
        <f>REPLACE(INDEX(GroupVertices[Group], MATCH(Edges[[#This Row],[Vertex 1]],GroupVertices[Vertex],0)),1,1,"")</f>
        <v>3</v>
      </c>
      <c r="BE27" s="78" t="str">
        <f>REPLACE(INDEX(GroupVertices[Group], MATCH(Edges[[#This Row],[Vertex 2]],GroupVertices[Vertex],0)),1,1,"")</f>
        <v>3</v>
      </c>
    </row>
    <row r="28" spans="1:57" x14ac:dyDescent="0.25">
      <c r="A28" s="64" t="s">
        <v>289</v>
      </c>
      <c r="B28" s="64" t="s">
        <v>322</v>
      </c>
      <c r="C28" s="65" t="s">
        <v>2092</v>
      </c>
      <c r="D28" s="66">
        <v>10</v>
      </c>
      <c r="E28" s="67"/>
      <c r="F28" s="68">
        <v>20</v>
      </c>
      <c r="G28" s="65"/>
      <c r="H28" s="69"/>
      <c r="I28" s="70"/>
      <c r="J28" s="70"/>
      <c r="K28" s="35" t="s">
        <v>65</v>
      </c>
      <c r="L28" s="77">
        <v>28</v>
      </c>
      <c r="M2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8" s="72"/>
      <c r="O28" s="79" t="s">
        <v>340</v>
      </c>
      <c r="P28" s="81">
        <v>44403.859699074077</v>
      </c>
      <c r="Q28" s="79" t="s">
        <v>392</v>
      </c>
      <c r="R28" s="79"/>
      <c r="S28" s="79"/>
      <c r="T28" s="85" t="s">
        <v>461</v>
      </c>
      <c r="U28" s="83" t="str">
        <f>HYPERLINK("https://pbs.twimg.com/media/E7P_L-xXoAQ6N18.jpg")</f>
        <v>https://pbs.twimg.com/media/E7P_L-xXoAQ6N18.jpg</v>
      </c>
      <c r="V28" s="83" t="str">
        <f>HYPERLINK("https://pbs.twimg.com/media/E7P_L-xXoAQ6N18.jpg")</f>
        <v>https://pbs.twimg.com/media/E7P_L-xXoAQ6N18.jpg</v>
      </c>
      <c r="W28" s="81">
        <v>44403.859699074077</v>
      </c>
      <c r="X28" s="87">
        <v>44403</v>
      </c>
      <c r="Y28" s="85" t="s">
        <v>624</v>
      </c>
      <c r="Z28" s="83" t="str">
        <f>HYPERLINK("https://twitter.com/ucatonsville/status/1419758915957444613")</f>
        <v>https://twitter.com/ucatonsville/status/1419758915957444613</v>
      </c>
      <c r="AA28" s="79"/>
      <c r="AB28" s="79"/>
      <c r="AC28" s="85" t="s">
        <v>804</v>
      </c>
      <c r="AD28" s="79"/>
      <c r="AE28" s="79" t="b">
        <v>0</v>
      </c>
      <c r="AF28" s="79">
        <v>0</v>
      </c>
      <c r="AG28" s="85" t="s">
        <v>872</v>
      </c>
      <c r="AH28" s="79" t="b">
        <v>0</v>
      </c>
      <c r="AI28" s="79" t="s">
        <v>874</v>
      </c>
      <c r="AJ28" s="79"/>
      <c r="AK28" s="85" t="s">
        <v>867</v>
      </c>
      <c r="AL28" s="79" t="b">
        <v>0</v>
      </c>
      <c r="AM28" s="79">
        <v>0</v>
      </c>
      <c r="AN28" s="85" t="s">
        <v>867</v>
      </c>
      <c r="AO28" s="85" t="s">
        <v>883</v>
      </c>
      <c r="AP28" s="79" t="b">
        <v>0</v>
      </c>
      <c r="AQ28" s="85" t="s">
        <v>804</v>
      </c>
      <c r="AR28" s="79" t="s">
        <v>177</v>
      </c>
      <c r="AS28" s="79">
        <v>0</v>
      </c>
      <c r="AT28" s="79">
        <v>0</v>
      </c>
      <c r="AU28" s="79" t="s">
        <v>897</v>
      </c>
      <c r="AV28" s="79" t="s">
        <v>902</v>
      </c>
      <c r="AW28" s="79" t="s">
        <v>903</v>
      </c>
      <c r="AX28" s="79" t="s">
        <v>910</v>
      </c>
      <c r="AY28" s="79" t="s">
        <v>920</v>
      </c>
      <c r="AZ28" s="79" t="s">
        <v>926</v>
      </c>
      <c r="BA28" s="79" t="s">
        <v>930</v>
      </c>
      <c r="BB28" s="83" t="str">
        <f>HYPERLINK("https://api.twitter.com/1.1/geo/id/c0b8e8dc81930292.json")</f>
        <v>https://api.twitter.com/1.1/geo/id/c0b8e8dc81930292.json</v>
      </c>
      <c r="BC28">
        <v>16</v>
      </c>
      <c r="BD28" s="78" t="str">
        <f>REPLACE(INDEX(GroupVertices[Group], MATCH(Edges[[#This Row],[Vertex 1]],GroupVertices[Vertex],0)),1,1,"")</f>
        <v>3</v>
      </c>
      <c r="BE28" s="78" t="str">
        <f>REPLACE(INDEX(GroupVertices[Group], MATCH(Edges[[#This Row],[Vertex 2]],GroupVertices[Vertex],0)),1,1,"")</f>
        <v>3</v>
      </c>
    </row>
    <row r="29" spans="1:57" x14ac:dyDescent="0.25">
      <c r="A29" s="64" t="s">
        <v>289</v>
      </c>
      <c r="B29" s="64" t="s">
        <v>322</v>
      </c>
      <c r="C29" s="65" t="s">
        <v>2092</v>
      </c>
      <c r="D29" s="66">
        <v>10</v>
      </c>
      <c r="E29" s="67"/>
      <c r="F29" s="68">
        <v>20</v>
      </c>
      <c r="G29" s="65"/>
      <c r="H29" s="69"/>
      <c r="I29" s="70"/>
      <c r="J29" s="70"/>
      <c r="K29" s="35" t="s">
        <v>65</v>
      </c>
      <c r="L29" s="77">
        <v>29</v>
      </c>
      <c r="M2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9" s="72"/>
      <c r="O29" s="79" t="s">
        <v>339</v>
      </c>
      <c r="P29" s="81">
        <v>44404.613877314812</v>
      </c>
      <c r="Q29" s="79" t="s">
        <v>367</v>
      </c>
      <c r="R29" s="83" t="str">
        <f>HYPERLINK("https://www.youtube.com/shorts/qku6RAs0B3k?feature=share")</f>
        <v>https://www.youtube.com/shorts/qku6RAs0B3k?feature=share</v>
      </c>
      <c r="S29" s="79" t="s">
        <v>450</v>
      </c>
      <c r="T29" s="85" t="s">
        <v>478</v>
      </c>
      <c r="U29" s="83" t="str">
        <f>HYPERLINK("https://pbs.twimg.com/media/E7T3xyJWQAYfYP3.jpg")</f>
        <v>https://pbs.twimg.com/media/E7T3xyJWQAYfYP3.jpg</v>
      </c>
      <c r="V29" s="83" t="str">
        <f>HYPERLINK("https://pbs.twimg.com/media/E7T3xyJWQAYfYP3.jpg")</f>
        <v>https://pbs.twimg.com/media/E7T3xyJWQAYfYP3.jpg</v>
      </c>
      <c r="W29" s="81">
        <v>44404.613877314812</v>
      </c>
      <c r="X29" s="87">
        <v>44404</v>
      </c>
      <c r="Y29" s="85" t="s">
        <v>609</v>
      </c>
      <c r="Z29" s="83" t="str">
        <f>HYPERLINK("https://twitter.com/ucatonsville/status/1420032222283898895")</f>
        <v>https://twitter.com/ucatonsville/status/1420032222283898895</v>
      </c>
      <c r="AA29" s="79"/>
      <c r="AB29" s="79"/>
      <c r="AC29" s="85" t="s">
        <v>789</v>
      </c>
      <c r="AD29" s="79"/>
      <c r="AE29" s="79" t="b">
        <v>0</v>
      </c>
      <c r="AF29" s="79">
        <v>4</v>
      </c>
      <c r="AG29" s="85" t="s">
        <v>867</v>
      </c>
      <c r="AH29" s="79" t="b">
        <v>0</v>
      </c>
      <c r="AI29" s="79" t="s">
        <v>874</v>
      </c>
      <c r="AJ29" s="79"/>
      <c r="AK29" s="85" t="s">
        <v>867</v>
      </c>
      <c r="AL29" s="79" t="b">
        <v>0</v>
      </c>
      <c r="AM29" s="79">
        <v>3</v>
      </c>
      <c r="AN29" s="85" t="s">
        <v>867</v>
      </c>
      <c r="AO29" s="85" t="s">
        <v>883</v>
      </c>
      <c r="AP29" s="79" t="b">
        <v>0</v>
      </c>
      <c r="AQ29" s="85" t="s">
        <v>789</v>
      </c>
      <c r="AR29" s="79" t="s">
        <v>177</v>
      </c>
      <c r="AS29" s="79">
        <v>0</v>
      </c>
      <c r="AT29" s="79">
        <v>0</v>
      </c>
      <c r="AU29" s="79" t="s">
        <v>892</v>
      </c>
      <c r="AV29" s="79" t="s">
        <v>902</v>
      </c>
      <c r="AW29" s="79" t="s">
        <v>903</v>
      </c>
      <c r="AX29" s="79" t="s">
        <v>905</v>
      </c>
      <c r="AY29" s="79" t="s">
        <v>915</v>
      </c>
      <c r="AZ29" s="79" t="s">
        <v>905</v>
      </c>
      <c r="BA29" s="79" t="s">
        <v>931</v>
      </c>
      <c r="BB29" s="83" t="str">
        <f>HYPERLINK("https://api.twitter.com/1.1/geo/id/07d9ccb5d1086000.json")</f>
        <v>https://api.twitter.com/1.1/geo/id/07d9ccb5d1086000.json</v>
      </c>
      <c r="BC29">
        <v>16</v>
      </c>
      <c r="BD29" s="78" t="str">
        <f>REPLACE(INDEX(GroupVertices[Group], MATCH(Edges[[#This Row],[Vertex 1]],GroupVertices[Vertex],0)),1,1,"")</f>
        <v>3</v>
      </c>
      <c r="BE29" s="78" t="str">
        <f>REPLACE(INDEX(GroupVertices[Group], MATCH(Edges[[#This Row],[Vertex 2]],GroupVertices[Vertex],0)),1,1,"")</f>
        <v>3</v>
      </c>
    </row>
    <row r="30" spans="1:57" x14ac:dyDescent="0.25">
      <c r="A30" s="64" t="s">
        <v>289</v>
      </c>
      <c r="B30" s="64" t="s">
        <v>322</v>
      </c>
      <c r="C30" s="65" t="s">
        <v>2092</v>
      </c>
      <c r="D30" s="66">
        <v>10</v>
      </c>
      <c r="E30" s="67"/>
      <c r="F30" s="68">
        <v>20</v>
      </c>
      <c r="G30" s="65"/>
      <c r="H30" s="69"/>
      <c r="I30" s="70"/>
      <c r="J30" s="70"/>
      <c r="K30" s="35" t="s">
        <v>65</v>
      </c>
      <c r="L30" s="77">
        <v>30</v>
      </c>
      <c r="M3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0" s="72"/>
      <c r="O30" s="79" t="s">
        <v>339</v>
      </c>
      <c r="P30" s="81">
        <v>44404.614560185182</v>
      </c>
      <c r="Q30" s="79" t="s">
        <v>371</v>
      </c>
      <c r="R30" s="83" t="str">
        <f>HYPERLINK("https://youtube.com/shorts/qku6RAs")</f>
        <v>https://youtube.com/shorts/qku6RAs</v>
      </c>
      <c r="S30" s="79" t="s">
        <v>450</v>
      </c>
      <c r="T30" s="85" t="s">
        <v>478</v>
      </c>
      <c r="U30" s="79"/>
      <c r="V30" s="83" t="str">
        <f>HYPERLINK("https://pbs.twimg.com/profile_images/1280188684483076097/hDD1guXX_normal.jpg")</f>
        <v>https://pbs.twimg.com/profile_images/1280188684483076097/hDD1guXX_normal.jpg</v>
      </c>
      <c r="W30" s="81">
        <v>44404.614560185182</v>
      </c>
      <c r="X30" s="87">
        <v>44404</v>
      </c>
      <c r="Y30" s="85" t="s">
        <v>610</v>
      </c>
      <c r="Z30" s="83" t="str">
        <f>HYPERLINK("https://twitter.com/ucatonsville/status/1420032469043134480")</f>
        <v>https://twitter.com/ucatonsville/status/1420032469043134480</v>
      </c>
      <c r="AA30" s="79"/>
      <c r="AB30" s="79"/>
      <c r="AC30" s="85" t="s">
        <v>790</v>
      </c>
      <c r="AD30" s="79"/>
      <c r="AE30" s="79" t="b">
        <v>0</v>
      </c>
      <c r="AF30" s="79">
        <v>5</v>
      </c>
      <c r="AG30" s="85" t="s">
        <v>867</v>
      </c>
      <c r="AH30" s="79" t="b">
        <v>0</v>
      </c>
      <c r="AI30" s="79" t="s">
        <v>874</v>
      </c>
      <c r="AJ30" s="79"/>
      <c r="AK30" s="85" t="s">
        <v>867</v>
      </c>
      <c r="AL30" s="79" t="b">
        <v>0</v>
      </c>
      <c r="AM30" s="79">
        <v>3</v>
      </c>
      <c r="AN30" s="85" t="s">
        <v>867</v>
      </c>
      <c r="AO30" s="85" t="s">
        <v>883</v>
      </c>
      <c r="AP30" s="79" t="b">
        <v>0</v>
      </c>
      <c r="AQ30" s="85" t="s">
        <v>790</v>
      </c>
      <c r="AR30" s="79" t="s">
        <v>177</v>
      </c>
      <c r="AS30" s="79">
        <v>0</v>
      </c>
      <c r="AT30" s="79">
        <v>0</v>
      </c>
      <c r="AU30" s="79" t="s">
        <v>892</v>
      </c>
      <c r="AV30" s="79" t="s">
        <v>902</v>
      </c>
      <c r="AW30" s="79" t="s">
        <v>903</v>
      </c>
      <c r="AX30" s="79" t="s">
        <v>905</v>
      </c>
      <c r="AY30" s="79" t="s">
        <v>915</v>
      </c>
      <c r="AZ30" s="79" t="s">
        <v>905</v>
      </c>
      <c r="BA30" s="79" t="s">
        <v>931</v>
      </c>
      <c r="BB30" s="83" t="str">
        <f>HYPERLINK("https://api.twitter.com/1.1/geo/id/07d9ccb5d1086000.json")</f>
        <v>https://api.twitter.com/1.1/geo/id/07d9ccb5d1086000.json</v>
      </c>
      <c r="BC30">
        <v>16</v>
      </c>
      <c r="BD30" s="78" t="str">
        <f>REPLACE(INDEX(GroupVertices[Group], MATCH(Edges[[#This Row],[Vertex 1]],GroupVertices[Vertex],0)),1,1,"")</f>
        <v>3</v>
      </c>
      <c r="BE30" s="78" t="str">
        <f>REPLACE(INDEX(GroupVertices[Group], MATCH(Edges[[#This Row],[Vertex 2]],GroupVertices[Vertex],0)),1,1,"")</f>
        <v>3</v>
      </c>
    </row>
    <row r="31" spans="1:57" x14ac:dyDescent="0.25">
      <c r="A31" s="64" t="s">
        <v>289</v>
      </c>
      <c r="B31" s="64" t="s">
        <v>322</v>
      </c>
      <c r="C31" s="65" t="s">
        <v>2092</v>
      </c>
      <c r="D31" s="66">
        <v>10</v>
      </c>
      <c r="E31" s="67"/>
      <c r="F31" s="68">
        <v>20</v>
      </c>
      <c r="G31" s="65"/>
      <c r="H31" s="69"/>
      <c r="I31" s="70"/>
      <c r="J31" s="70"/>
      <c r="K31" s="35" t="s">
        <v>65</v>
      </c>
      <c r="L31" s="77">
        <v>31</v>
      </c>
      <c r="M3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1" s="72"/>
      <c r="O31" s="79" t="s">
        <v>340</v>
      </c>
      <c r="P31" s="81">
        <v>44405.982974537037</v>
      </c>
      <c r="Q31" s="79" t="s">
        <v>385</v>
      </c>
      <c r="R31" s="79"/>
      <c r="S31" s="79"/>
      <c r="T31" s="85" t="s">
        <v>461</v>
      </c>
      <c r="U31" s="83" t="str">
        <f>HYPERLINK("https://pbs.twimg.com/media/E7a7A6jX0AQDEwY.jpg")</f>
        <v>https://pbs.twimg.com/media/E7a7A6jX0AQDEwY.jpg</v>
      </c>
      <c r="V31" s="83" t="str">
        <f>HYPERLINK("https://pbs.twimg.com/media/E7a7A6jX0AQDEwY.jpg")</f>
        <v>https://pbs.twimg.com/media/E7a7A6jX0AQDEwY.jpg</v>
      </c>
      <c r="W31" s="81">
        <v>44405.982974537037</v>
      </c>
      <c r="X31" s="87">
        <v>44405</v>
      </c>
      <c r="Y31" s="85" t="s">
        <v>611</v>
      </c>
      <c r="Z31" s="83" t="str">
        <f>HYPERLINK("https://twitter.com/ucatonsville/status/1420528365354856453")</f>
        <v>https://twitter.com/ucatonsville/status/1420528365354856453</v>
      </c>
      <c r="AA31" s="79"/>
      <c r="AB31" s="79"/>
      <c r="AC31" s="85" t="s">
        <v>791</v>
      </c>
      <c r="AD31" s="79"/>
      <c r="AE31" s="79" t="b">
        <v>0</v>
      </c>
      <c r="AF31" s="79">
        <v>0</v>
      </c>
      <c r="AG31" s="85" t="s">
        <v>872</v>
      </c>
      <c r="AH31" s="79" t="b">
        <v>0</v>
      </c>
      <c r="AI31" s="79" t="s">
        <v>874</v>
      </c>
      <c r="AJ31" s="79"/>
      <c r="AK31" s="85" t="s">
        <v>867</v>
      </c>
      <c r="AL31" s="79" t="b">
        <v>0</v>
      </c>
      <c r="AM31" s="79">
        <v>0</v>
      </c>
      <c r="AN31" s="85" t="s">
        <v>867</v>
      </c>
      <c r="AO31" s="85" t="s">
        <v>883</v>
      </c>
      <c r="AP31" s="79" t="b">
        <v>0</v>
      </c>
      <c r="AQ31" s="85" t="s">
        <v>791</v>
      </c>
      <c r="AR31" s="79" t="s">
        <v>177</v>
      </c>
      <c r="AS31" s="79">
        <v>0</v>
      </c>
      <c r="AT31" s="79">
        <v>0</v>
      </c>
      <c r="AU31" s="79" t="s">
        <v>893</v>
      </c>
      <c r="AV31" s="79" t="s">
        <v>902</v>
      </c>
      <c r="AW31" s="79" t="s">
        <v>903</v>
      </c>
      <c r="AX31" s="79" t="s">
        <v>906</v>
      </c>
      <c r="AY31" s="79" t="s">
        <v>916</v>
      </c>
      <c r="AZ31" s="79" t="s">
        <v>906</v>
      </c>
      <c r="BA31" s="79" t="s">
        <v>931</v>
      </c>
      <c r="BB31" s="83" t="str">
        <f>HYPERLINK("https://api.twitter.com/1.1/geo/id/11dca57e8e54e001.json")</f>
        <v>https://api.twitter.com/1.1/geo/id/11dca57e8e54e001.json</v>
      </c>
      <c r="BC31">
        <v>16</v>
      </c>
      <c r="BD31" s="78" t="str">
        <f>REPLACE(INDEX(GroupVertices[Group], MATCH(Edges[[#This Row],[Vertex 1]],GroupVertices[Vertex],0)),1,1,"")</f>
        <v>3</v>
      </c>
      <c r="BE31" s="78" t="str">
        <f>REPLACE(INDEX(GroupVertices[Group], MATCH(Edges[[#This Row],[Vertex 2]],GroupVertices[Vertex],0)),1,1,"")</f>
        <v>3</v>
      </c>
    </row>
    <row r="32" spans="1:57" x14ac:dyDescent="0.25">
      <c r="A32" s="64" t="s">
        <v>289</v>
      </c>
      <c r="B32" s="64" t="s">
        <v>322</v>
      </c>
      <c r="C32" s="65" t="s">
        <v>2092</v>
      </c>
      <c r="D32" s="66">
        <v>10</v>
      </c>
      <c r="E32" s="67"/>
      <c r="F32" s="68">
        <v>20</v>
      </c>
      <c r="G32" s="65"/>
      <c r="H32" s="69"/>
      <c r="I32" s="70"/>
      <c r="J32" s="70"/>
      <c r="K32" s="35" t="s">
        <v>65</v>
      </c>
      <c r="L32" s="77">
        <v>32</v>
      </c>
      <c r="M3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2" s="72"/>
      <c r="O32" s="79" t="s">
        <v>340</v>
      </c>
      <c r="P32" s="81">
        <v>44405.984050925923</v>
      </c>
      <c r="Q32" s="79" t="s">
        <v>386</v>
      </c>
      <c r="R32" s="79"/>
      <c r="S32" s="79"/>
      <c r="T32" s="85" t="s">
        <v>461</v>
      </c>
      <c r="U32" s="83" t="str">
        <f>HYPERLINK("https://pbs.twimg.com/media/E7a7XzIWQAAyDbT.jpg")</f>
        <v>https://pbs.twimg.com/media/E7a7XzIWQAAyDbT.jpg</v>
      </c>
      <c r="V32" s="83" t="str">
        <f>HYPERLINK("https://pbs.twimg.com/media/E7a7XzIWQAAyDbT.jpg")</f>
        <v>https://pbs.twimg.com/media/E7a7XzIWQAAyDbT.jpg</v>
      </c>
      <c r="W32" s="81">
        <v>44405.984050925923</v>
      </c>
      <c r="X32" s="87">
        <v>44405</v>
      </c>
      <c r="Y32" s="85" t="s">
        <v>612</v>
      </c>
      <c r="Z32" s="83" t="str">
        <f>HYPERLINK("https://twitter.com/ucatonsville/status/1420528757392150530")</f>
        <v>https://twitter.com/ucatonsville/status/1420528757392150530</v>
      </c>
      <c r="AA32" s="79"/>
      <c r="AB32" s="79"/>
      <c r="AC32" s="85" t="s">
        <v>792</v>
      </c>
      <c r="AD32" s="79"/>
      <c r="AE32" s="79" t="b">
        <v>0</v>
      </c>
      <c r="AF32" s="79">
        <v>0</v>
      </c>
      <c r="AG32" s="85" t="s">
        <v>872</v>
      </c>
      <c r="AH32" s="79" t="b">
        <v>0</v>
      </c>
      <c r="AI32" s="79" t="s">
        <v>874</v>
      </c>
      <c r="AJ32" s="79"/>
      <c r="AK32" s="85" t="s">
        <v>867</v>
      </c>
      <c r="AL32" s="79" t="b">
        <v>0</v>
      </c>
      <c r="AM32" s="79">
        <v>0</v>
      </c>
      <c r="AN32" s="85" t="s">
        <v>867</v>
      </c>
      <c r="AO32" s="85" t="s">
        <v>883</v>
      </c>
      <c r="AP32" s="79" t="b">
        <v>0</v>
      </c>
      <c r="AQ32" s="85" t="s">
        <v>792</v>
      </c>
      <c r="AR32" s="79" t="s">
        <v>177</v>
      </c>
      <c r="AS32" s="79">
        <v>0</v>
      </c>
      <c r="AT32" s="79">
        <v>0</v>
      </c>
      <c r="AU32" s="79" t="s">
        <v>893</v>
      </c>
      <c r="AV32" s="79" t="s">
        <v>902</v>
      </c>
      <c r="AW32" s="79" t="s">
        <v>903</v>
      </c>
      <c r="AX32" s="79" t="s">
        <v>906</v>
      </c>
      <c r="AY32" s="79" t="s">
        <v>916</v>
      </c>
      <c r="AZ32" s="79" t="s">
        <v>906</v>
      </c>
      <c r="BA32" s="79" t="s">
        <v>931</v>
      </c>
      <c r="BB32" s="83" t="str">
        <f>HYPERLINK("https://api.twitter.com/1.1/geo/id/11dca57e8e54e001.json")</f>
        <v>https://api.twitter.com/1.1/geo/id/11dca57e8e54e001.json</v>
      </c>
      <c r="BC32">
        <v>16</v>
      </c>
      <c r="BD32" s="78" t="str">
        <f>REPLACE(INDEX(GroupVertices[Group], MATCH(Edges[[#This Row],[Vertex 1]],GroupVertices[Vertex],0)),1,1,"")</f>
        <v>3</v>
      </c>
      <c r="BE32" s="78" t="str">
        <f>REPLACE(INDEX(GroupVertices[Group], MATCH(Edges[[#This Row],[Vertex 2]],GroupVertices[Vertex],0)),1,1,"")</f>
        <v>3</v>
      </c>
    </row>
    <row r="33" spans="1:57" x14ac:dyDescent="0.25">
      <c r="A33" s="64" t="s">
        <v>289</v>
      </c>
      <c r="B33" s="64" t="s">
        <v>322</v>
      </c>
      <c r="C33" s="65" t="s">
        <v>2092</v>
      </c>
      <c r="D33" s="66">
        <v>10</v>
      </c>
      <c r="E33" s="67"/>
      <c r="F33" s="68">
        <v>20</v>
      </c>
      <c r="G33" s="65"/>
      <c r="H33" s="69"/>
      <c r="I33" s="70"/>
      <c r="J33" s="70"/>
      <c r="K33" s="35" t="s">
        <v>65</v>
      </c>
      <c r="L33" s="77">
        <v>33</v>
      </c>
      <c r="M3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3" s="72"/>
      <c r="O33" s="79" t="s">
        <v>340</v>
      </c>
      <c r="P33" s="81">
        <v>44405.984942129631</v>
      </c>
      <c r="Q33" s="79" t="s">
        <v>379</v>
      </c>
      <c r="R33" s="79"/>
      <c r="S33" s="79"/>
      <c r="T33" s="85" t="s">
        <v>461</v>
      </c>
      <c r="U33" s="83" t="str">
        <f>HYPERLINK("https://pbs.twimg.com/media/E7a7qL-X0AEub4f.jpg")</f>
        <v>https://pbs.twimg.com/media/E7a7qL-X0AEub4f.jpg</v>
      </c>
      <c r="V33" s="83" t="str">
        <f>HYPERLINK("https://pbs.twimg.com/media/E7a7qL-X0AEub4f.jpg")</f>
        <v>https://pbs.twimg.com/media/E7a7qL-X0AEub4f.jpg</v>
      </c>
      <c r="W33" s="81">
        <v>44405.984942129631</v>
      </c>
      <c r="X33" s="87">
        <v>44405</v>
      </c>
      <c r="Y33" s="85" t="s">
        <v>613</v>
      </c>
      <c r="Z33" s="83" t="str">
        <f>HYPERLINK("https://twitter.com/ucatonsville/status/1420529079518892034")</f>
        <v>https://twitter.com/ucatonsville/status/1420529079518892034</v>
      </c>
      <c r="AA33" s="79"/>
      <c r="AB33" s="79"/>
      <c r="AC33" s="85" t="s">
        <v>793</v>
      </c>
      <c r="AD33" s="79"/>
      <c r="AE33" s="79" t="b">
        <v>0</v>
      </c>
      <c r="AF33" s="79">
        <v>1</v>
      </c>
      <c r="AG33" s="85" t="s">
        <v>872</v>
      </c>
      <c r="AH33" s="79" t="b">
        <v>0</v>
      </c>
      <c r="AI33" s="79" t="s">
        <v>874</v>
      </c>
      <c r="AJ33" s="79"/>
      <c r="AK33" s="85" t="s">
        <v>867</v>
      </c>
      <c r="AL33" s="79" t="b">
        <v>0</v>
      </c>
      <c r="AM33" s="79">
        <v>1</v>
      </c>
      <c r="AN33" s="85" t="s">
        <v>867</v>
      </c>
      <c r="AO33" s="85" t="s">
        <v>883</v>
      </c>
      <c r="AP33" s="79" t="b">
        <v>0</v>
      </c>
      <c r="AQ33" s="85" t="s">
        <v>793</v>
      </c>
      <c r="AR33" s="79" t="s">
        <v>177</v>
      </c>
      <c r="AS33" s="79">
        <v>0</v>
      </c>
      <c r="AT33" s="79">
        <v>0</v>
      </c>
      <c r="AU33" s="79" t="s">
        <v>893</v>
      </c>
      <c r="AV33" s="79" t="s">
        <v>902</v>
      </c>
      <c r="AW33" s="79" t="s">
        <v>903</v>
      </c>
      <c r="AX33" s="79" t="s">
        <v>906</v>
      </c>
      <c r="AY33" s="79" t="s">
        <v>916</v>
      </c>
      <c r="AZ33" s="79" t="s">
        <v>906</v>
      </c>
      <c r="BA33" s="79" t="s">
        <v>931</v>
      </c>
      <c r="BB33" s="83" t="str">
        <f>HYPERLINK("https://api.twitter.com/1.1/geo/id/11dca57e8e54e001.json")</f>
        <v>https://api.twitter.com/1.1/geo/id/11dca57e8e54e001.json</v>
      </c>
      <c r="BC33">
        <v>16</v>
      </c>
      <c r="BD33" s="78" t="str">
        <f>REPLACE(INDEX(GroupVertices[Group], MATCH(Edges[[#This Row],[Vertex 1]],GroupVertices[Vertex],0)),1,1,"")</f>
        <v>3</v>
      </c>
      <c r="BE33" s="78" t="str">
        <f>REPLACE(INDEX(GroupVertices[Group], MATCH(Edges[[#This Row],[Vertex 2]],GroupVertices[Vertex],0)),1,1,"")</f>
        <v>3</v>
      </c>
    </row>
    <row r="34" spans="1:57" x14ac:dyDescent="0.25">
      <c r="A34" s="64" t="s">
        <v>289</v>
      </c>
      <c r="B34" s="64" t="s">
        <v>322</v>
      </c>
      <c r="C34" s="65" t="s">
        <v>2092</v>
      </c>
      <c r="D34" s="66">
        <v>10</v>
      </c>
      <c r="E34" s="67"/>
      <c r="F34" s="68">
        <v>20</v>
      </c>
      <c r="G34" s="65"/>
      <c r="H34" s="69"/>
      <c r="I34" s="70"/>
      <c r="J34" s="70"/>
      <c r="K34" s="35" t="s">
        <v>65</v>
      </c>
      <c r="L34" s="77">
        <v>34</v>
      </c>
      <c r="M3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4" s="72"/>
      <c r="O34" s="79" t="s">
        <v>340</v>
      </c>
      <c r="P34" s="81">
        <v>44405.98541666667</v>
      </c>
      <c r="Q34" s="79" t="s">
        <v>387</v>
      </c>
      <c r="R34" s="79"/>
      <c r="S34" s="79"/>
      <c r="T34" s="85" t="s">
        <v>461</v>
      </c>
      <c r="U34" s="83" t="str">
        <f>HYPERLINK("https://pbs.twimg.com/media/E7a70a7XEAQb9EK.jpg")</f>
        <v>https://pbs.twimg.com/media/E7a70a7XEAQb9EK.jpg</v>
      </c>
      <c r="V34" s="83" t="str">
        <f>HYPERLINK("https://pbs.twimg.com/media/E7a70a7XEAQb9EK.jpg")</f>
        <v>https://pbs.twimg.com/media/E7a70a7XEAQb9EK.jpg</v>
      </c>
      <c r="W34" s="81">
        <v>44405.98541666667</v>
      </c>
      <c r="X34" s="87">
        <v>44405</v>
      </c>
      <c r="Y34" s="85" t="s">
        <v>614</v>
      </c>
      <c r="Z34" s="83" t="str">
        <f>HYPERLINK("https://twitter.com/ucatonsville/status/1420529251510542348")</f>
        <v>https://twitter.com/ucatonsville/status/1420529251510542348</v>
      </c>
      <c r="AA34" s="79"/>
      <c r="AB34" s="79"/>
      <c r="AC34" s="85" t="s">
        <v>794</v>
      </c>
      <c r="AD34" s="79"/>
      <c r="AE34" s="79" t="b">
        <v>0</v>
      </c>
      <c r="AF34" s="79">
        <v>0</v>
      </c>
      <c r="AG34" s="85" t="s">
        <v>872</v>
      </c>
      <c r="AH34" s="79" t="b">
        <v>0</v>
      </c>
      <c r="AI34" s="79" t="s">
        <v>874</v>
      </c>
      <c r="AJ34" s="79"/>
      <c r="AK34" s="85" t="s">
        <v>867</v>
      </c>
      <c r="AL34" s="79" t="b">
        <v>0</v>
      </c>
      <c r="AM34" s="79">
        <v>0</v>
      </c>
      <c r="AN34" s="85" t="s">
        <v>867</v>
      </c>
      <c r="AO34" s="85" t="s">
        <v>883</v>
      </c>
      <c r="AP34" s="79" t="b">
        <v>0</v>
      </c>
      <c r="AQ34" s="85" t="s">
        <v>794</v>
      </c>
      <c r="AR34" s="79" t="s">
        <v>177</v>
      </c>
      <c r="AS34" s="79">
        <v>0</v>
      </c>
      <c r="AT34" s="79">
        <v>0</v>
      </c>
      <c r="AU34" s="79" t="s">
        <v>893</v>
      </c>
      <c r="AV34" s="79" t="s">
        <v>902</v>
      </c>
      <c r="AW34" s="79" t="s">
        <v>903</v>
      </c>
      <c r="AX34" s="79" t="s">
        <v>906</v>
      </c>
      <c r="AY34" s="79" t="s">
        <v>916</v>
      </c>
      <c r="AZ34" s="79" t="s">
        <v>906</v>
      </c>
      <c r="BA34" s="79" t="s">
        <v>931</v>
      </c>
      <c r="BB34" s="83" t="str">
        <f>HYPERLINK("https://api.twitter.com/1.1/geo/id/11dca57e8e54e001.json")</f>
        <v>https://api.twitter.com/1.1/geo/id/11dca57e8e54e001.json</v>
      </c>
      <c r="BC34">
        <v>16</v>
      </c>
      <c r="BD34" s="78" t="str">
        <f>REPLACE(INDEX(GroupVertices[Group], MATCH(Edges[[#This Row],[Vertex 1]],GroupVertices[Vertex],0)),1,1,"")</f>
        <v>3</v>
      </c>
      <c r="BE34" s="78" t="str">
        <f>REPLACE(INDEX(GroupVertices[Group], MATCH(Edges[[#This Row],[Vertex 2]],GroupVertices[Vertex],0)),1,1,"")</f>
        <v>3</v>
      </c>
    </row>
    <row r="35" spans="1:57" x14ac:dyDescent="0.25">
      <c r="A35" s="64" t="s">
        <v>289</v>
      </c>
      <c r="B35" s="64" t="s">
        <v>322</v>
      </c>
      <c r="C35" s="65" t="s">
        <v>2092</v>
      </c>
      <c r="D35" s="66">
        <v>10</v>
      </c>
      <c r="E35" s="67"/>
      <c r="F35" s="68">
        <v>20</v>
      </c>
      <c r="G35" s="65"/>
      <c r="H35" s="69"/>
      <c r="I35" s="70"/>
      <c r="J35" s="70"/>
      <c r="K35" s="35" t="s">
        <v>65</v>
      </c>
      <c r="L35" s="77">
        <v>35</v>
      </c>
      <c r="M3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5" s="72"/>
      <c r="O35" s="79" t="s">
        <v>340</v>
      </c>
      <c r="P35" s="81">
        <v>44405.986250000002</v>
      </c>
      <c r="Q35" s="79" t="s">
        <v>388</v>
      </c>
      <c r="R35" s="79"/>
      <c r="S35" s="79"/>
      <c r="T35" s="85" t="s">
        <v>461</v>
      </c>
      <c r="U35" s="83" t="str">
        <f>HYPERLINK("https://pbs.twimg.com/media/E7a8GjlXoAg2YCs.jpg")</f>
        <v>https://pbs.twimg.com/media/E7a8GjlXoAg2YCs.jpg</v>
      </c>
      <c r="V35" s="83" t="str">
        <f>HYPERLINK("https://pbs.twimg.com/media/E7a8GjlXoAg2YCs.jpg")</f>
        <v>https://pbs.twimg.com/media/E7a8GjlXoAg2YCs.jpg</v>
      </c>
      <c r="W35" s="81">
        <v>44405.986250000002</v>
      </c>
      <c r="X35" s="87">
        <v>44405</v>
      </c>
      <c r="Y35" s="85" t="s">
        <v>615</v>
      </c>
      <c r="Z35" s="83" t="str">
        <f>HYPERLINK("https://twitter.com/ucatonsville/status/1420529556025380864")</f>
        <v>https://twitter.com/ucatonsville/status/1420529556025380864</v>
      </c>
      <c r="AA35" s="79"/>
      <c r="AB35" s="79"/>
      <c r="AC35" s="85" t="s">
        <v>795</v>
      </c>
      <c r="AD35" s="79"/>
      <c r="AE35" s="79" t="b">
        <v>0</v>
      </c>
      <c r="AF35" s="79">
        <v>0</v>
      </c>
      <c r="AG35" s="85" t="s">
        <v>872</v>
      </c>
      <c r="AH35" s="79" t="b">
        <v>0</v>
      </c>
      <c r="AI35" s="79" t="s">
        <v>874</v>
      </c>
      <c r="AJ35" s="79"/>
      <c r="AK35" s="85" t="s">
        <v>867</v>
      </c>
      <c r="AL35" s="79" t="b">
        <v>0</v>
      </c>
      <c r="AM35" s="79">
        <v>0</v>
      </c>
      <c r="AN35" s="85" t="s">
        <v>867</v>
      </c>
      <c r="AO35" s="85" t="s">
        <v>883</v>
      </c>
      <c r="AP35" s="79" t="b">
        <v>0</v>
      </c>
      <c r="AQ35" s="85" t="s">
        <v>795</v>
      </c>
      <c r="AR35" s="79" t="s">
        <v>177</v>
      </c>
      <c r="AS35" s="79">
        <v>0</v>
      </c>
      <c r="AT35" s="79">
        <v>0</v>
      </c>
      <c r="AU35" s="79"/>
      <c r="AV35" s="79"/>
      <c r="AW35" s="79"/>
      <c r="AX35" s="79"/>
      <c r="AY35" s="79"/>
      <c r="AZ35" s="79"/>
      <c r="BA35" s="79"/>
      <c r="BB35" s="79"/>
      <c r="BC35">
        <v>16</v>
      </c>
      <c r="BD35" s="78" t="str">
        <f>REPLACE(INDEX(GroupVertices[Group], MATCH(Edges[[#This Row],[Vertex 1]],GroupVertices[Vertex],0)),1,1,"")</f>
        <v>3</v>
      </c>
      <c r="BE35" s="78" t="str">
        <f>REPLACE(INDEX(GroupVertices[Group], MATCH(Edges[[#This Row],[Vertex 2]],GroupVertices[Vertex],0)),1,1,"")</f>
        <v>3</v>
      </c>
    </row>
    <row r="36" spans="1:57" x14ac:dyDescent="0.25">
      <c r="A36" s="64" t="s">
        <v>289</v>
      </c>
      <c r="B36" s="64" t="s">
        <v>322</v>
      </c>
      <c r="C36" s="65" t="s">
        <v>2092</v>
      </c>
      <c r="D36" s="66">
        <v>10</v>
      </c>
      <c r="E36" s="67"/>
      <c r="F36" s="68">
        <v>20</v>
      </c>
      <c r="G36" s="65"/>
      <c r="H36" s="69"/>
      <c r="I36" s="70"/>
      <c r="J36" s="70"/>
      <c r="K36" s="35" t="s">
        <v>65</v>
      </c>
      <c r="L36" s="77">
        <v>36</v>
      </c>
      <c r="M3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6" s="72"/>
      <c r="O36" s="79" t="s">
        <v>340</v>
      </c>
      <c r="P36" s="81">
        <v>44405.986550925925</v>
      </c>
      <c r="Q36" s="79" t="s">
        <v>389</v>
      </c>
      <c r="R36" s="79"/>
      <c r="S36" s="79"/>
      <c r="T36" s="85" t="s">
        <v>461</v>
      </c>
      <c r="U36" s="83" t="str">
        <f>HYPERLINK("https://pbs.twimg.com/media/E7a8M1bXEAQWb44.jpg")</f>
        <v>https://pbs.twimg.com/media/E7a8M1bXEAQWb44.jpg</v>
      </c>
      <c r="V36" s="83" t="str">
        <f>HYPERLINK("https://pbs.twimg.com/media/E7a8M1bXEAQWb44.jpg")</f>
        <v>https://pbs.twimg.com/media/E7a8M1bXEAQWb44.jpg</v>
      </c>
      <c r="W36" s="81">
        <v>44405.986550925925</v>
      </c>
      <c r="X36" s="87">
        <v>44405</v>
      </c>
      <c r="Y36" s="85" t="s">
        <v>616</v>
      </c>
      <c r="Z36" s="83" t="str">
        <f>HYPERLINK("https://twitter.com/ucatonsville/status/1420529664280469510")</f>
        <v>https://twitter.com/ucatonsville/status/1420529664280469510</v>
      </c>
      <c r="AA36" s="79"/>
      <c r="AB36" s="79"/>
      <c r="AC36" s="85" t="s">
        <v>796</v>
      </c>
      <c r="AD36" s="79"/>
      <c r="AE36" s="79" t="b">
        <v>0</v>
      </c>
      <c r="AF36" s="79">
        <v>0</v>
      </c>
      <c r="AG36" s="85" t="s">
        <v>872</v>
      </c>
      <c r="AH36" s="79" t="b">
        <v>0</v>
      </c>
      <c r="AI36" s="79" t="s">
        <v>874</v>
      </c>
      <c r="AJ36" s="79"/>
      <c r="AK36" s="85" t="s">
        <v>867</v>
      </c>
      <c r="AL36" s="79" t="b">
        <v>0</v>
      </c>
      <c r="AM36" s="79">
        <v>0</v>
      </c>
      <c r="AN36" s="85" t="s">
        <v>867</v>
      </c>
      <c r="AO36" s="85" t="s">
        <v>883</v>
      </c>
      <c r="AP36" s="79" t="b">
        <v>0</v>
      </c>
      <c r="AQ36" s="85" t="s">
        <v>796</v>
      </c>
      <c r="AR36" s="79" t="s">
        <v>177</v>
      </c>
      <c r="AS36" s="79">
        <v>0</v>
      </c>
      <c r="AT36" s="79">
        <v>0</v>
      </c>
      <c r="AU36" s="79"/>
      <c r="AV36" s="79"/>
      <c r="AW36" s="79"/>
      <c r="AX36" s="79"/>
      <c r="AY36" s="79"/>
      <c r="AZ36" s="79"/>
      <c r="BA36" s="79"/>
      <c r="BB36" s="79"/>
      <c r="BC36">
        <v>16</v>
      </c>
      <c r="BD36" s="78" t="str">
        <f>REPLACE(INDEX(GroupVertices[Group], MATCH(Edges[[#This Row],[Vertex 1]],GroupVertices[Vertex],0)),1,1,"")</f>
        <v>3</v>
      </c>
      <c r="BE36" s="78" t="str">
        <f>REPLACE(INDEX(GroupVertices[Group], MATCH(Edges[[#This Row],[Vertex 2]],GroupVertices[Vertex],0)),1,1,"")</f>
        <v>3</v>
      </c>
    </row>
    <row r="37" spans="1:57" x14ac:dyDescent="0.25">
      <c r="A37" s="64" t="s">
        <v>289</v>
      </c>
      <c r="B37" s="64" t="s">
        <v>322</v>
      </c>
      <c r="C37" s="65" t="s">
        <v>2092</v>
      </c>
      <c r="D37" s="66">
        <v>10</v>
      </c>
      <c r="E37" s="67"/>
      <c r="F37" s="68">
        <v>20</v>
      </c>
      <c r="G37" s="65"/>
      <c r="H37" s="69"/>
      <c r="I37" s="70"/>
      <c r="J37" s="70"/>
      <c r="K37" s="35" t="s">
        <v>65</v>
      </c>
      <c r="L37" s="77">
        <v>37</v>
      </c>
      <c r="M3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7" s="72"/>
      <c r="O37" s="79" t="s">
        <v>340</v>
      </c>
      <c r="P37" s="81">
        <v>44405.987962962965</v>
      </c>
      <c r="Q37" s="79" t="s">
        <v>390</v>
      </c>
      <c r="R37" s="79"/>
      <c r="S37" s="79"/>
      <c r="T37" s="85" t="s">
        <v>461</v>
      </c>
      <c r="U37" s="83" t="str">
        <f>HYPERLINK("https://pbs.twimg.com/media/E7a8qbhWYAAJ_Pp.jpg")</f>
        <v>https://pbs.twimg.com/media/E7a8qbhWYAAJ_Pp.jpg</v>
      </c>
      <c r="V37" s="83" t="str">
        <f>HYPERLINK("https://pbs.twimg.com/media/E7a8qbhWYAAJ_Pp.jpg")</f>
        <v>https://pbs.twimg.com/media/E7a8qbhWYAAJ_Pp.jpg</v>
      </c>
      <c r="W37" s="81">
        <v>44405.987962962965</v>
      </c>
      <c r="X37" s="87">
        <v>44405</v>
      </c>
      <c r="Y37" s="85" t="s">
        <v>617</v>
      </c>
      <c r="Z37" s="83" t="str">
        <f>HYPERLINK("https://twitter.com/ucatonsville/status/1420530173947088905")</f>
        <v>https://twitter.com/ucatonsville/status/1420530173947088905</v>
      </c>
      <c r="AA37" s="79"/>
      <c r="AB37" s="79"/>
      <c r="AC37" s="85" t="s">
        <v>797</v>
      </c>
      <c r="AD37" s="79"/>
      <c r="AE37" s="79" t="b">
        <v>0</v>
      </c>
      <c r="AF37" s="79">
        <v>0</v>
      </c>
      <c r="AG37" s="85" t="s">
        <v>872</v>
      </c>
      <c r="AH37" s="79" t="b">
        <v>0</v>
      </c>
      <c r="AI37" s="79" t="s">
        <v>874</v>
      </c>
      <c r="AJ37" s="79"/>
      <c r="AK37" s="85" t="s">
        <v>867</v>
      </c>
      <c r="AL37" s="79" t="b">
        <v>0</v>
      </c>
      <c r="AM37" s="79">
        <v>0</v>
      </c>
      <c r="AN37" s="85" t="s">
        <v>867</v>
      </c>
      <c r="AO37" s="85" t="s">
        <v>883</v>
      </c>
      <c r="AP37" s="79" t="b">
        <v>0</v>
      </c>
      <c r="AQ37" s="85" t="s">
        <v>797</v>
      </c>
      <c r="AR37" s="79" t="s">
        <v>177</v>
      </c>
      <c r="AS37" s="79">
        <v>0</v>
      </c>
      <c r="AT37" s="79">
        <v>0</v>
      </c>
      <c r="AU37" s="79"/>
      <c r="AV37" s="79"/>
      <c r="AW37" s="79"/>
      <c r="AX37" s="79"/>
      <c r="AY37" s="79"/>
      <c r="AZ37" s="79"/>
      <c r="BA37" s="79"/>
      <c r="BB37" s="79"/>
      <c r="BC37">
        <v>16</v>
      </c>
      <c r="BD37" s="78" t="str">
        <f>REPLACE(INDEX(GroupVertices[Group], MATCH(Edges[[#This Row],[Vertex 1]],GroupVertices[Vertex],0)),1,1,"")</f>
        <v>3</v>
      </c>
      <c r="BE37" s="78" t="str">
        <f>REPLACE(INDEX(GroupVertices[Group], MATCH(Edges[[#This Row],[Vertex 2]],GroupVertices[Vertex],0)),1,1,"")</f>
        <v>3</v>
      </c>
    </row>
    <row r="38" spans="1:57" x14ac:dyDescent="0.25">
      <c r="A38" s="64" t="s">
        <v>289</v>
      </c>
      <c r="B38" s="64" t="s">
        <v>322</v>
      </c>
      <c r="C38" s="65" t="s">
        <v>2092</v>
      </c>
      <c r="D38" s="66">
        <v>10</v>
      </c>
      <c r="E38" s="67"/>
      <c r="F38" s="68">
        <v>20</v>
      </c>
      <c r="G38" s="65"/>
      <c r="H38" s="69"/>
      <c r="I38" s="70"/>
      <c r="J38" s="70"/>
      <c r="K38" s="35" t="s">
        <v>65</v>
      </c>
      <c r="L38" s="77">
        <v>38</v>
      </c>
      <c r="M3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8" s="72"/>
      <c r="O38" s="79" t="s">
        <v>340</v>
      </c>
      <c r="P38" s="81">
        <v>44405.997476851851</v>
      </c>
      <c r="Q38" s="79" t="s">
        <v>378</v>
      </c>
      <c r="R38" s="79"/>
      <c r="S38" s="79"/>
      <c r="T38" s="85" t="s">
        <v>461</v>
      </c>
      <c r="U38" s="83" t="str">
        <f>HYPERLINK("https://pbs.twimg.com/media/E7a_y_LXIAEIoB-.jpg")</f>
        <v>https://pbs.twimg.com/media/E7a_y_LXIAEIoB-.jpg</v>
      </c>
      <c r="V38" s="83" t="str">
        <f>HYPERLINK("https://pbs.twimg.com/media/E7a_y_LXIAEIoB-.jpg")</f>
        <v>https://pbs.twimg.com/media/E7a_y_LXIAEIoB-.jpg</v>
      </c>
      <c r="W38" s="81">
        <v>44405.997476851851</v>
      </c>
      <c r="X38" s="87">
        <v>44405</v>
      </c>
      <c r="Y38" s="85" t="s">
        <v>618</v>
      </c>
      <c r="Z38" s="83" t="str">
        <f>HYPERLINK("https://twitter.com/ucatonsville/status/1420533623971848193")</f>
        <v>https://twitter.com/ucatonsville/status/1420533623971848193</v>
      </c>
      <c r="AA38" s="79"/>
      <c r="AB38" s="79"/>
      <c r="AC38" s="85" t="s">
        <v>798</v>
      </c>
      <c r="AD38" s="79"/>
      <c r="AE38" s="79" t="b">
        <v>0</v>
      </c>
      <c r="AF38" s="79">
        <v>1</v>
      </c>
      <c r="AG38" s="85" t="s">
        <v>872</v>
      </c>
      <c r="AH38" s="79" t="b">
        <v>0</v>
      </c>
      <c r="AI38" s="79" t="s">
        <v>874</v>
      </c>
      <c r="AJ38" s="79"/>
      <c r="AK38" s="85" t="s">
        <v>867</v>
      </c>
      <c r="AL38" s="79" t="b">
        <v>0</v>
      </c>
      <c r="AM38" s="79">
        <v>1</v>
      </c>
      <c r="AN38" s="85" t="s">
        <v>867</v>
      </c>
      <c r="AO38" s="85" t="s">
        <v>883</v>
      </c>
      <c r="AP38" s="79" t="b">
        <v>0</v>
      </c>
      <c r="AQ38" s="85" t="s">
        <v>798</v>
      </c>
      <c r="AR38" s="79" t="s">
        <v>177</v>
      </c>
      <c r="AS38" s="79">
        <v>0</v>
      </c>
      <c r="AT38" s="79">
        <v>0</v>
      </c>
      <c r="AU38" s="79" t="s">
        <v>894</v>
      </c>
      <c r="AV38" s="79" t="s">
        <v>902</v>
      </c>
      <c r="AW38" s="79" t="s">
        <v>903</v>
      </c>
      <c r="AX38" s="79" t="s">
        <v>907</v>
      </c>
      <c r="AY38" s="79" t="s">
        <v>917</v>
      </c>
      <c r="AZ38" s="79" t="s">
        <v>907</v>
      </c>
      <c r="BA38" s="79" t="s">
        <v>931</v>
      </c>
      <c r="BB38" s="83" t="str">
        <f>HYPERLINK("https://api.twitter.com/1.1/geo/id/07d9ec6f99488000.json")</f>
        <v>https://api.twitter.com/1.1/geo/id/07d9ec6f99488000.json</v>
      </c>
      <c r="BC38">
        <v>16</v>
      </c>
      <c r="BD38" s="78" t="str">
        <f>REPLACE(INDEX(GroupVertices[Group], MATCH(Edges[[#This Row],[Vertex 1]],GroupVertices[Vertex],0)),1,1,"")</f>
        <v>3</v>
      </c>
      <c r="BE38" s="78" t="str">
        <f>REPLACE(INDEX(GroupVertices[Group], MATCH(Edges[[#This Row],[Vertex 2]],GroupVertices[Vertex],0)),1,1,"")</f>
        <v>3</v>
      </c>
    </row>
    <row r="39" spans="1:57" x14ac:dyDescent="0.25">
      <c r="A39" s="64" t="s">
        <v>289</v>
      </c>
      <c r="B39" s="64" t="s">
        <v>322</v>
      </c>
      <c r="C39" s="65" t="s">
        <v>2092</v>
      </c>
      <c r="D39" s="66">
        <v>10</v>
      </c>
      <c r="E39" s="67"/>
      <c r="F39" s="68">
        <v>20</v>
      </c>
      <c r="G39" s="65"/>
      <c r="H39" s="69"/>
      <c r="I39" s="70"/>
      <c r="J39" s="70"/>
      <c r="K39" s="35" t="s">
        <v>65</v>
      </c>
      <c r="L39" s="77">
        <v>39</v>
      </c>
      <c r="M3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9" s="72"/>
      <c r="O39" s="79" t="s">
        <v>339</v>
      </c>
      <c r="P39" s="81">
        <v>44406.62605324074</v>
      </c>
      <c r="Q39" s="79" t="s">
        <v>366</v>
      </c>
      <c r="R39" s="79"/>
      <c r="S39" s="79"/>
      <c r="T39" s="85" t="s">
        <v>461</v>
      </c>
      <c r="U39" s="83" t="str">
        <f>HYPERLINK("https://pbs.twimg.com/media/E7eO9zIVUAEjK-g.jpg")</f>
        <v>https://pbs.twimg.com/media/E7eO9zIVUAEjK-g.jpg</v>
      </c>
      <c r="V39" s="83" t="str">
        <f>HYPERLINK("https://pbs.twimg.com/media/E7eO9zIVUAEjK-g.jpg")</f>
        <v>https://pbs.twimg.com/media/E7eO9zIVUAEjK-g.jpg</v>
      </c>
      <c r="W39" s="81">
        <v>44406.62605324074</v>
      </c>
      <c r="X39" s="87">
        <v>44406</v>
      </c>
      <c r="Y39" s="85" t="s">
        <v>619</v>
      </c>
      <c r="Z39" s="83" t="str">
        <f>HYPERLINK("https://twitter.com/ucatonsville/status/1420761412998209539")</f>
        <v>https://twitter.com/ucatonsville/status/1420761412998209539</v>
      </c>
      <c r="AA39" s="79"/>
      <c r="AB39" s="79"/>
      <c r="AC39" s="85" t="s">
        <v>799</v>
      </c>
      <c r="AD39" s="79"/>
      <c r="AE39" s="79" t="b">
        <v>0</v>
      </c>
      <c r="AF39" s="79">
        <v>6</v>
      </c>
      <c r="AG39" s="85" t="s">
        <v>867</v>
      </c>
      <c r="AH39" s="79" t="b">
        <v>0</v>
      </c>
      <c r="AI39" s="79" t="s">
        <v>874</v>
      </c>
      <c r="AJ39" s="79"/>
      <c r="AK39" s="85" t="s">
        <v>867</v>
      </c>
      <c r="AL39" s="79" t="b">
        <v>0</v>
      </c>
      <c r="AM39" s="79">
        <v>4</v>
      </c>
      <c r="AN39" s="85" t="s">
        <v>867</v>
      </c>
      <c r="AO39" s="85" t="s">
        <v>883</v>
      </c>
      <c r="AP39" s="79" t="b">
        <v>0</v>
      </c>
      <c r="AQ39" s="85" t="s">
        <v>799</v>
      </c>
      <c r="AR39" s="79" t="s">
        <v>177</v>
      </c>
      <c r="AS39" s="79">
        <v>0</v>
      </c>
      <c r="AT39" s="79">
        <v>0</v>
      </c>
      <c r="AU39" s="79" t="s">
        <v>894</v>
      </c>
      <c r="AV39" s="79" t="s">
        <v>902</v>
      </c>
      <c r="AW39" s="79" t="s">
        <v>903</v>
      </c>
      <c r="AX39" s="79" t="s">
        <v>907</v>
      </c>
      <c r="AY39" s="79" t="s">
        <v>917</v>
      </c>
      <c r="AZ39" s="79" t="s">
        <v>907</v>
      </c>
      <c r="BA39" s="79" t="s">
        <v>931</v>
      </c>
      <c r="BB39" s="83" t="str">
        <f>HYPERLINK("https://api.twitter.com/1.1/geo/id/07d9ec6f99488000.json")</f>
        <v>https://api.twitter.com/1.1/geo/id/07d9ec6f99488000.json</v>
      </c>
      <c r="BC39">
        <v>16</v>
      </c>
      <c r="BD39" s="78" t="str">
        <f>REPLACE(INDEX(GroupVertices[Group], MATCH(Edges[[#This Row],[Vertex 1]],GroupVertices[Vertex],0)),1,1,"")</f>
        <v>3</v>
      </c>
      <c r="BE39" s="78" t="str">
        <f>REPLACE(INDEX(GroupVertices[Group], MATCH(Edges[[#This Row],[Vertex 2]],GroupVertices[Vertex],0)),1,1,"")</f>
        <v>3</v>
      </c>
    </row>
    <row r="40" spans="1:57" x14ac:dyDescent="0.25">
      <c r="A40" s="64" t="s">
        <v>289</v>
      </c>
      <c r="B40" s="64" t="s">
        <v>322</v>
      </c>
      <c r="C40" s="65" t="s">
        <v>2092</v>
      </c>
      <c r="D40" s="66">
        <v>10</v>
      </c>
      <c r="E40" s="67"/>
      <c r="F40" s="68">
        <v>20</v>
      </c>
      <c r="G40" s="65"/>
      <c r="H40" s="69"/>
      <c r="I40" s="70"/>
      <c r="J40" s="70"/>
      <c r="K40" s="35" t="s">
        <v>65</v>
      </c>
      <c r="L40" s="77">
        <v>40</v>
      </c>
      <c r="M4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40" s="72"/>
      <c r="O40" s="79" t="s">
        <v>339</v>
      </c>
      <c r="P40" s="81">
        <v>44407.767523148148</v>
      </c>
      <c r="Q40" s="79" t="s">
        <v>391</v>
      </c>
      <c r="R40" s="83" t="str">
        <f>HYPERLINK("https://youtu.be/AblrrbQT5AE")</f>
        <v>https://youtu.be/AblrrbQT5AE</v>
      </c>
      <c r="S40" s="79" t="s">
        <v>454</v>
      </c>
      <c r="T40" s="85" t="s">
        <v>461</v>
      </c>
      <c r="U40" s="79"/>
      <c r="V40" s="83" t="str">
        <f>HYPERLINK("https://pbs.twimg.com/profile_images/1280188684483076097/hDD1guXX_normal.jpg")</f>
        <v>https://pbs.twimg.com/profile_images/1280188684483076097/hDD1guXX_normal.jpg</v>
      </c>
      <c r="W40" s="81">
        <v>44407.767523148148</v>
      </c>
      <c r="X40" s="87">
        <v>44407</v>
      </c>
      <c r="Y40" s="85" t="s">
        <v>620</v>
      </c>
      <c r="Z40" s="83" t="str">
        <f>HYPERLINK("https://twitter.com/ucatonsville/status/1421175066356850692")</f>
        <v>https://twitter.com/ucatonsville/status/1421175066356850692</v>
      </c>
      <c r="AA40" s="79"/>
      <c r="AB40" s="79"/>
      <c r="AC40" s="85" t="s">
        <v>800</v>
      </c>
      <c r="AD40" s="79"/>
      <c r="AE40" s="79" t="b">
        <v>0</v>
      </c>
      <c r="AF40" s="79">
        <v>0</v>
      </c>
      <c r="AG40" s="85" t="s">
        <v>867</v>
      </c>
      <c r="AH40" s="79" t="b">
        <v>0</v>
      </c>
      <c r="AI40" s="79" t="s">
        <v>874</v>
      </c>
      <c r="AJ40" s="79"/>
      <c r="AK40" s="85" t="s">
        <v>867</v>
      </c>
      <c r="AL40" s="79" t="b">
        <v>0</v>
      </c>
      <c r="AM40" s="79">
        <v>0</v>
      </c>
      <c r="AN40" s="85" t="s">
        <v>867</v>
      </c>
      <c r="AO40" s="85" t="s">
        <v>883</v>
      </c>
      <c r="AP40" s="79" t="b">
        <v>0</v>
      </c>
      <c r="AQ40" s="85" t="s">
        <v>800</v>
      </c>
      <c r="AR40" s="79" t="s">
        <v>177</v>
      </c>
      <c r="AS40" s="79">
        <v>0</v>
      </c>
      <c r="AT40" s="79">
        <v>0</v>
      </c>
      <c r="AU40" s="79"/>
      <c r="AV40" s="79"/>
      <c r="AW40" s="79"/>
      <c r="AX40" s="79"/>
      <c r="AY40" s="79"/>
      <c r="AZ40" s="79"/>
      <c r="BA40" s="79"/>
      <c r="BB40" s="79"/>
      <c r="BC40">
        <v>16</v>
      </c>
      <c r="BD40" s="78" t="str">
        <f>REPLACE(INDEX(GroupVertices[Group], MATCH(Edges[[#This Row],[Vertex 1]],GroupVertices[Vertex],0)),1,1,"")</f>
        <v>3</v>
      </c>
      <c r="BE40" s="78" t="str">
        <f>REPLACE(INDEX(GroupVertices[Group], MATCH(Edges[[#This Row],[Vertex 2]],GroupVertices[Vertex],0)),1,1,"")</f>
        <v>3</v>
      </c>
    </row>
    <row r="41" spans="1:57" x14ac:dyDescent="0.25">
      <c r="A41" s="64" t="s">
        <v>267</v>
      </c>
      <c r="B41" s="64" t="s">
        <v>289</v>
      </c>
      <c r="C41" s="65" t="s">
        <v>2092</v>
      </c>
      <c r="D41" s="66">
        <v>10</v>
      </c>
      <c r="E41" s="67"/>
      <c r="F41" s="68">
        <v>20</v>
      </c>
      <c r="G41" s="65"/>
      <c r="H41" s="69"/>
      <c r="I41" s="70"/>
      <c r="J41" s="70"/>
      <c r="K41" s="35" t="s">
        <v>65</v>
      </c>
      <c r="L41" s="77">
        <v>41</v>
      </c>
      <c r="M4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41" s="72"/>
      <c r="O41" s="79" t="s">
        <v>337</v>
      </c>
      <c r="P41" s="81">
        <v>44406.628321759257</v>
      </c>
      <c r="Q41" s="79" t="s">
        <v>371</v>
      </c>
      <c r="R41" s="83" t="str">
        <f>HYPERLINK("https://youtube.com/shorts/qku6RAs")</f>
        <v>https://youtube.com/shorts/qku6RAs</v>
      </c>
      <c r="S41" s="79" t="s">
        <v>450</v>
      </c>
      <c r="T41" s="85" t="s">
        <v>478</v>
      </c>
      <c r="U41" s="79"/>
      <c r="V41" s="83" t="str">
        <f>HYPERLINK("https://pbs.twimg.com/profile_images/1398299805156360194/2uVusLCs_normal.jpg")</f>
        <v>https://pbs.twimg.com/profile_images/1398299805156360194/2uVusLCs_normal.jpg</v>
      </c>
      <c r="W41" s="81">
        <v>44406.628321759257</v>
      </c>
      <c r="X41" s="87">
        <v>44406</v>
      </c>
      <c r="Y41" s="85" t="s">
        <v>573</v>
      </c>
      <c r="Z41" s="83" t="str">
        <f>HYPERLINK("https://twitter.com/ms_tabu/status/1420762232816914432")</f>
        <v>https://twitter.com/ms_tabu/status/1420762232816914432</v>
      </c>
      <c r="AA41" s="79"/>
      <c r="AB41" s="79"/>
      <c r="AC41" s="85" t="s">
        <v>752</v>
      </c>
      <c r="AD41" s="79"/>
      <c r="AE41" s="79" t="b">
        <v>0</v>
      </c>
      <c r="AF41" s="79">
        <v>0</v>
      </c>
      <c r="AG41" s="85" t="s">
        <v>867</v>
      </c>
      <c r="AH41" s="79" t="b">
        <v>0</v>
      </c>
      <c r="AI41" s="79" t="s">
        <v>874</v>
      </c>
      <c r="AJ41" s="79"/>
      <c r="AK41" s="85" t="s">
        <v>867</v>
      </c>
      <c r="AL41" s="79" t="b">
        <v>0</v>
      </c>
      <c r="AM41" s="79">
        <v>3</v>
      </c>
      <c r="AN41" s="85" t="s">
        <v>790</v>
      </c>
      <c r="AO41" s="85" t="s">
        <v>887</v>
      </c>
      <c r="AP41" s="79" t="b">
        <v>0</v>
      </c>
      <c r="AQ41" s="85" t="s">
        <v>790</v>
      </c>
      <c r="AR41" s="79" t="s">
        <v>177</v>
      </c>
      <c r="AS41" s="79">
        <v>0</v>
      </c>
      <c r="AT41" s="79">
        <v>0</v>
      </c>
      <c r="AU41" s="79"/>
      <c r="AV41" s="79"/>
      <c r="AW41" s="79"/>
      <c r="AX41" s="79"/>
      <c r="AY41" s="79"/>
      <c r="AZ41" s="79"/>
      <c r="BA41" s="79"/>
      <c r="BB41" s="79"/>
      <c r="BC41">
        <v>12</v>
      </c>
      <c r="BD41" s="78" t="str">
        <f>REPLACE(INDEX(GroupVertices[Group], MATCH(Edges[[#This Row],[Vertex 1]],GroupVertices[Vertex],0)),1,1,"")</f>
        <v>3</v>
      </c>
      <c r="BE41" s="78" t="str">
        <f>REPLACE(INDEX(GroupVertices[Group], MATCH(Edges[[#This Row],[Vertex 2]],GroupVertices[Vertex],0)),1,1,"")</f>
        <v>3</v>
      </c>
    </row>
    <row r="42" spans="1:57" x14ac:dyDescent="0.25">
      <c r="A42" s="64" t="s">
        <v>267</v>
      </c>
      <c r="B42" s="64" t="s">
        <v>289</v>
      </c>
      <c r="C42" s="65" t="s">
        <v>2092</v>
      </c>
      <c r="D42" s="66">
        <v>10</v>
      </c>
      <c r="E42" s="67"/>
      <c r="F42" s="68">
        <v>20</v>
      </c>
      <c r="G42" s="65"/>
      <c r="H42" s="69"/>
      <c r="I42" s="70"/>
      <c r="J42" s="70"/>
      <c r="K42" s="35" t="s">
        <v>65</v>
      </c>
      <c r="L42" s="77">
        <v>42</v>
      </c>
      <c r="M4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42" s="72"/>
      <c r="O42" s="79" t="s">
        <v>338</v>
      </c>
      <c r="P42" s="81">
        <v>44406.628321759257</v>
      </c>
      <c r="Q42" s="79" t="s">
        <v>371</v>
      </c>
      <c r="R42" s="83" t="str">
        <f>HYPERLINK("https://youtube.com/shorts/qku6RAs")</f>
        <v>https://youtube.com/shorts/qku6RAs</v>
      </c>
      <c r="S42" s="79" t="s">
        <v>450</v>
      </c>
      <c r="T42" s="85" t="s">
        <v>478</v>
      </c>
      <c r="U42" s="79"/>
      <c r="V42" s="83" t="str">
        <f>HYPERLINK("https://pbs.twimg.com/profile_images/1398299805156360194/2uVusLCs_normal.jpg")</f>
        <v>https://pbs.twimg.com/profile_images/1398299805156360194/2uVusLCs_normal.jpg</v>
      </c>
      <c r="W42" s="81">
        <v>44406.628321759257</v>
      </c>
      <c r="X42" s="87">
        <v>44406</v>
      </c>
      <c r="Y42" s="85" t="s">
        <v>573</v>
      </c>
      <c r="Z42" s="83" t="str">
        <f>HYPERLINK("https://twitter.com/ms_tabu/status/1420762232816914432")</f>
        <v>https://twitter.com/ms_tabu/status/1420762232816914432</v>
      </c>
      <c r="AA42" s="79"/>
      <c r="AB42" s="79"/>
      <c r="AC42" s="85" t="s">
        <v>752</v>
      </c>
      <c r="AD42" s="79"/>
      <c r="AE42" s="79" t="b">
        <v>0</v>
      </c>
      <c r="AF42" s="79">
        <v>0</v>
      </c>
      <c r="AG42" s="85" t="s">
        <v>867</v>
      </c>
      <c r="AH42" s="79" t="b">
        <v>0</v>
      </c>
      <c r="AI42" s="79" t="s">
        <v>874</v>
      </c>
      <c r="AJ42" s="79"/>
      <c r="AK42" s="85" t="s">
        <v>867</v>
      </c>
      <c r="AL42" s="79" t="b">
        <v>0</v>
      </c>
      <c r="AM42" s="79">
        <v>3</v>
      </c>
      <c r="AN42" s="85" t="s">
        <v>790</v>
      </c>
      <c r="AO42" s="85" t="s">
        <v>887</v>
      </c>
      <c r="AP42" s="79" t="b">
        <v>0</v>
      </c>
      <c r="AQ42" s="85" t="s">
        <v>790</v>
      </c>
      <c r="AR42" s="79" t="s">
        <v>177</v>
      </c>
      <c r="AS42" s="79">
        <v>0</v>
      </c>
      <c r="AT42" s="79">
        <v>0</v>
      </c>
      <c r="AU42" s="79"/>
      <c r="AV42" s="79"/>
      <c r="AW42" s="79"/>
      <c r="AX42" s="79"/>
      <c r="AY42" s="79"/>
      <c r="AZ42" s="79"/>
      <c r="BA42" s="79"/>
      <c r="BB42" s="79"/>
      <c r="BC42">
        <v>12</v>
      </c>
      <c r="BD42" s="78" t="str">
        <f>REPLACE(INDEX(GroupVertices[Group], MATCH(Edges[[#This Row],[Vertex 1]],GroupVertices[Vertex],0)),1,1,"")</f>
        <v>3</v>
      </c>
      <c r="BE42" s="78" t="str">
        <f>REPLACE(INDEX(GroupVertices[Group], MATCH(Edges[[#This Row],[Vertex 2]],GroupVertices[Vertex],0)),1,1,"")</f>
        <v>3</v>
      </c>
    </row>
    <row r="43" spans="1:57" x14ac:dyDescent="0.25">
      <c r="A43" s="64" t="s">
        <v>267</v>
      </c>
      <c r="B43" s="64" t="s">
        <v>289</v>
      </c>
      <c r="C43" s="65" t="s">
        <v>2092</v>
      </c>
      <c r="D43" s="66">
        <v>10</v>
      </c>
      <c r="E43" s="67"/>
      <c r="F43" s="68">
        <v>20</v>
      </c>
      <c r="G43" s="65"/>
      <c r="H43" s="69"/>
      <c r="I43" s="70"/>
      <c r="J43" s="70"/>
      <c r="K43" s="35" t="s">
        <v>65</v>
      </c>
      <c r="L43" s="77">
        <v>43</v>
      </c>
      <c r="M4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43" s="72"/>
      <c r="O43" s="79" t="s">
        <v>337</v>
      </c>
      <c r="P43" s="81">
        <v>44406.628391203703</v>
      </c>
      <c r="Q43" s="79" t="s">
        <v>367</v>
      </c>
      <c r="R43" s="83" t="str">
        <f>HYPERLINK("https://www.youtube.com/shorts/qku6RAs0B3k?feature=share")</f>
        <v>https://www.youtube.com/shorts/qku6RAs0B3k?feature=share</v>
      </c>
      <c r="S43" s="79" t="s">
        <v>450</v>
      </c>
      <c r="T43" s="85" t="s">
        <v>478</v>
      </c>
      <c r="U43" s="83" t="str">
        <f>HYPERLINK("https://pbs.twimg.com/media/E7T3xyJWQAYfYP3.jpg")</f>
        <v>https://pbs.twimg.com/media/E7T3xyJWQAYfYP3.jpg</v>
      </c>
      <c r="V43" s="83" t="str">
        <f>HYPERLINK("https://pbs.twimg.com/media/E7T3xyJWQAYfYP3.jpg")</f>
        <v>https://pbs.twimg.com/media/E7T3xyJWQAYfYP3.jpg</v>
      </c>
      <c r="W43" s="81">
        <v>44406.628391203703</v>
      </c>
      <c r="X43" s="87">
        <v>44406</v>
      </c>
      <c r="Y43" s="85" t="s">
        <v>574</v>
      </c>
      <c r="Z43" s="83" t="str">
        <f>HYPERLINK("https://twitter.com/ms_tabu/status/1420762259693973506")</f>
        <v>https://twitter.com/ms_tabu/status/1420762259693973506</v>
      </c>
      <c r="AA43" s="79"/>
      <c r="AB43" s="79"/>
      <c r="AC43" s="85" t="s">
        <v>753</v>
      </c>
      <c r="AD43" s="79"/>
      <c r="AE43" s="79" t="b">
        <v>0</v>
      </c>
      <c r="AF43" s="79">
        <v>0</v>
      </c>
      <c r="AG43" s="85" t="s">
        <v>867</v>
      </c>
      <c r="AH43" s="79" t="b">
        <v>0</v>
      </c>
      <c r="AI43" s="79" t="s">
        <v>874</v>
      </c>
      <c r="AJ43" s="79"/>
      <c r="AK43" s="85" t="s">
        <v>867</v>
      </c>
      <c r="AL43" s="79" t="b">
        <v>0</v>
      </c>
      <c r="AM43" s="79">
        <v>3</v>
      </c>
      <c r="AN43" s="85" t="s">
        <v>789</v>
      </c>
      <c r="AO43" s="85" t="s">
        <v>887</v>
      </c>
      <c r="AP43" s="79" t="b">
        <v>0</v>
      </c>
      <c r="AQ43" s="85" t="s">
        <v>789</v>
      </c>
      <c r="AR43" s="79" t="s">
        <v>177</v>
      </c>
      <c r="AS43" s="79">
        <v>0</v>
      </c>
      <c r="AT43" s="79">
        <v>0</v>
      </c>
      <c r="AU43" s="79"/>
      <c r="AV43" s="79"/>
      <c r="AW43" s="79"/>
      <c r="AX43" s="79"/>
      <c r="AY43" s="79"/>
      <c r="AZ43" s="79"/>
      <c r="BA43" s="79"/>
      <c r="BB43" s="79"/>
      <c r="BC43">
        <v>12</v>
      </c>
      <c r="BD43" s="78" t="str">
        <f>REPLACE(INDEX(GroupVertices[Group], MATCH(Edges[[#This Row],[Vertex 1]],GroupVertices[Vertex],0)),1,1,"")</f>
        <v>3</v>
      </c>
      <c r="BE43" s="78" t="str">
        <f>REPLACE(INDEX(GroupVertices[Group], MATCH(Edges[[#This Row],[Vertex 2]],GroupVertices[Vertex],0)),1,1,"")</f>
        <v>3</v>
      </c>
    </row>
    <row r="44" spans="1:57" x14ac:dyDescent="0.25">
      <c r="A44" s="64" t="s">
        <v>267</v>
      </c>
      <c r="B44" s="64" t="s">
        <v>289</v>
      </c>
      <c r="C44" s="65" t="s">
        <v>2092</v>
      </c>
      <c r="D44" s="66">
        <v>10</v>
      </c>
      <c r="E44" s="67"/>
      <c r="F44" s="68">
        <v>20</v>
      </c>
      <c r="G44" s="65"/>
      <c r="H44" s="69"/>
      <c r="I44" s="70"/>
      <c r="J44" s="70"/>
      <c r="K44" s="35" t="s">
        <v>65</v>
      </c>
      <c r="L44" s="77">
        <v>44</v>
      </c>
      <c r="M4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44" s="72"/>
      <c r="O44" s="79" t="s">
        <v>338</v>
      </c>
      <c r="P44" s="81">
        <v>44406.628391203703</v>
      </c>
      <c r="Q44" s="79" t="s">
        <v>367</v>
      </c>
      <c r="R44" s="83" t="str">
        <f>HYPERLINK("https://www.youtube.com/shorts/qku6RAs0B3k?feature=share")</f>
        <v>https://www.youtube.com/shorts/qku6RAs0B3k?feature=share</v>
      </c>
      <c r="S44" s="79" t="s">
        <v>450</v>
      </c>
      <c r="T44" s="85" t="s">
        <v>478</v>
      </c>
      <c r="U44" s="83" t="str">
        <f>HYPERLINK("https://pbs.twimg.com/media/E7T3xyJWQAYfYP3.jpg")</f>
        <v>https://pbs.twimg.com/media/E7T3xyJWQAYfYP3.jpg</v>
      </c>
      <c r="V44" s="83" t="str">
        <f>HYPERLINK("https://pbs.twimg.com/media/E7T3xyJWQAYfYP3.jpg")</f>
        <v>https://pbs.twimg.com/media/E7T3xyJWQAYfYP3.jpg</v>
      </c>
      <c r="W44" s="81">
        <v>44406.628391203703</v>
      </c>
      <c r="X44" s="87">
        <v>44406</v>
      </c>
      <c r="Y44" s="85" t="s">
        <v>574</v>
      </c>
      <c r="Z44" s="83" t="str">
        <f>HYPERLINK("https://twitter.com/ms_tabu/status/1420762259693973506")</f>
        <v>https://twitter.com/ms_tabu/status/1420762259693973506</v>
      </c>
      <c r="AA44" s="79"/>
      <c r="AB44" s="79"/>
      <c r="AC44" s="85" t="s">
        <v>753</v>
      </c>
      <c r="AD44" s="79"/>
      <c r="AE44" s="79" t="b">
        <v>0</v>
      </c>
      <c r="AF44" s="79">
        <v>0</v>
      </c>
      <c r="AG44" s="85" t="s">
        <v>867</v>
      </c>
      <c r="AH44" s="79" t="b">
        <v>0</v>
      </c>
      <c r="AI44" s="79" t="s">
        <v>874</v>
      </c>
      <c r="AJ44" s="79"/>
      <c r="AK44" s="85" t="s">
        <v>867</v>
      </c>
      <c r="AL44" s="79" t="b">
        <v>0</v>
      </c>
      <c r="AM44" s="79">
        <v>3</v>
      </c>
      <c r="AN44" s="85" t="s">
        <v>789</v>
      </c>
      <c r="AO44" s="85" t="s">
        <v>887</v>
      </c>
      <c r="AP44" s="79" t="b">
        <v>0</v>
      </c>
      <c r="AQ44" s="85" t="s">
        <v>789</v>
      </c>
      <c r="AR44" s="79" t="s">
        <v>177</v>
      </c>
      <c r="AS44" s="79">
        <v>0</v>
      </c>
      <c r="AT44" s="79">
        <v>0</v>
      </c>
      <c r="AU44" s="79"/>
      <c r="AV44" s="79"/>
      <c r="AW44" s="79"/>
      <c r="AX44" s="79"/>
      <c r="AY44" s="79"/>
      <c r="AZ44" s="79"/>
      <c r="BA44" s="79"/>
      <c r="BB44" s="79"/>
      <c r="BC44">
        <v>12</v>
      </c>
      <c r="BD44" s="78" t="str">
        <f>REPLACE(INDEX(GroupVertices[Group], MATCH(Edges[[#This Row],[Vertex 1]],GroupVertices[Vertex],0)),1,1,"")</f>
        <v>3</v>
      </c>
      <c r="BE44" s="78" t="str">
        <f>REPLACE(INDEX(GroupVertices[Group], MATCH(Edges[[#This Row],[Vertex 2]],GroupVertices[Vertex],0)),1,1,"")</f>
        <v>3</v>
      </c>
    </row>
    <row r="45" spans="1:57" x14ac:dyDescent="0.25">
      <c r="A45" s="64" t="s">
        <v>267</v>
      </c>
      <c r="B45" s="64" t="s">
        <v>289</v>
      </c>
      <c r="C45" s="65" t="s">
        <v>2092</v>
      </c>
      <c r="D45" s="66">
        <v>10</v>
      </c>
      <c r="E45" s="67"/>
      <c r="F45" s="68">
        <v>20</v>
      </c>
      <c r="G45" s="65"/>
      <c r="H45" s="69"/>
      <c r="I45" s="70"/>
      <c r="J45" s="70"/>
      <c r="K45" s="35" t="s">
        <v>65</v>
      </c>
      <c r="L45" s="77">
        <v>45</v>
      </c>
      <c r="M4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45" s="72"/>
      <c r="O45" s="79" t="s">
        <v>337</v>
      </c>
      <c r="P45" s="81">
        <v>44406.629178240742</v>
      </c>
      <c r="Q45" s="79" t="s">
        <v>368</v>
      </c>
      <c r="R45" s="79"/>
      <c r="S45" s="79"/>
      <c r="T45" s="85" t="s">
        <v>461</v>
      </c>
      <c r="U45" s="83" t="str">
        <f>HYPERLINK("https://pbs.twimg.com/media/E6IQoc-XIAIEHeV.jpg")</f>
        <v>https://pbs.twimg.com/media/E6IQoc-XIAIEHeV.jpg</v>
      </c>
      <c r="V45" s="83" t="str">
        <f>HYPERLINK("https://pbs.twimg.com/media/E6IQoc-XIAIEHeV.jpg")</f>
        <v>https://pbs.twimg.com/media/E6IQoc-XIAIEHeV.jpg</v>
      </c>
      <c r="W45" s="81">
        <v>44406.629178240742</v>
      </c>
      <c r="X45" s="87">
        <v>44406</v>
      </c>
      <c r="Y45" s="85" t="s">
        <v>575</v>
      </c>
      <c r="Z45" s="83" t="str">
        <f>HYPERLINK("https://twitter.com/ms_tabu/status/1420762541416869895")</f>
        <v>https://twitter.com/ms_tabu/status/1420762541416869895</v>
      </c>
      <c r="AA45" s="79"/>
      <c r="AB45" s="79"/>
      <c r="AC45" s="85" t="s">
        <v>754</v>
      </c>
      <c r="AD45" s="79"/>
      <c r="AE45" s="79" t="b">
        <v>0</v>
      </c>
      <c r="AF45" s="79">
        <v>0</v>
      </c>
      <c r="AG45" s="85" t="s">
        <v>867</v>
      </c>
      <c r="AH45" s="79" t="b">
        <v>0</v>
      </c>
      <c r="AI45" s="79" t="s">
        <v>874</v>
      </c>
      <c r="AJ45" s="79"/>
      <c r="AK45" s="85" t="s">
        <v>867</v>
      </c>
      <c r="AL45" s="79" t="b">
        <v>0</v>
      </c>
      <c r="AM45" s="79">
        <v>4</v>
      </c>
      <c r="AN45" s="85" t="s">
        <v>801</v>
      </c>
      <c r="AO45" s="85" t="s">
        <v>887</v>
      </c>
      <c r="AP45" s="79" t="b">
        <v>0</v>
      </c>
      <c r="AQ45" s="85" t="s">
        <v>801</v>
      </c>
      <c r="AR45" s="79" t="s">
        <v>177</v>
      </c>
      <c r="AS45" s="79">
        <v>0</v>
      </c>
      <c r="AT45" s="79">
        <v>0</v>
      </c>
      <c r="AU45" s="79"/>
      <c r="AV45" s="79"/>
      <c r="AW45" s="79"/>
      <c r="AX45" s="79"/>
      <c r="AY45" s="79"/>
      <c r="AZ45" s="79"/>
      <c r="BA45" s="79"/>
      <c r="BB45" s="79"/>
      <c r="BC45">
        <v>12</v>
      </c>
      <c r="BD45" s="78" t="str">
        <f>REPLACE(INDEX(GroupVertices[Group], MATCH(Edges[[#This Row],[Vertex 1]],GroupVertices[Vertex],0)),1,1,"")</f>
        <v>3</v>
      </c>
      <c r="BE45" s="78" t="str">
        <f>REPLACE(INDEX(GroupVertices[Group], MATCH(Edges[[#This Row],[Vertex 2]],GroupVertices[Vertex],0)),1,1,"")</f>
        <v>3</v>
      </c>
    </row>
    <row r="46" spans="1:57" x14ac:dyDescent="0.25">
      <c r="A46" s="64" t="s">
        <v>267</v>
      </c>
      <c r="B46" s="64" t="s">
        <v>289</v>
      </c>
      <c r="C46" s="65" t="s">
        <v>2092</v>
      </c>
      <c r="D46" s="66">
        <v>10</v>
      </c>
      <c r="E46" s="67"/>
      <c r="F46" s="68">
        <v>20</v>
      </c>
      <c r="G46" s="65"/>
      <c r="H46" s="69"/>
      <c r="I46" s="70"/>
      <c r="J46" s="70"/>
      <c r="K46" s="35" t="s">
        <v>65</v>
      </c>
      <c r="L46" s="77">
        <v>46</v>
      </c>
      <c r="M4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46" s="72"/>
      <c r="O46" s="79" t="s">
        <v>338</v>
      </c>
      <c r="P46" s="81">
        <v>44406.629178240742</v>
      </c>
      <c r="Q46" s="79" t="s">
        <v>368</v>
      </c>
      <c r="R46" s="79"/>
      <c r="S46" s="79"/>
      <c r="T46" s="85" t="s">
        <v>461</v>
      </c>
      <c r="U46" s="83" t="str">
        <f>HYPERLINK("https://pbs.twimg.com/media/E6IQoc-XIAIEHeV.jpg")</f>
        <v>https://pbs.twimg.com/media/E6IQoc-XIAIEHeV.jpg</v>
      </c>
      <c r="V46" s="83" t="str">
        <f>HYPERLINK("https://pbs.twimg.com/media/E6IQoc-XIAIEHeV.jpg")</f>
        <v>https://pbs.twimg.com/media/E6IQoc-XIAIEHeV.jpg</v>
      </c>
      <c r="W46" s="81">
        <v>44406.629178240742</v>
      </c>
      <c r="X46" s="87">
        <v>44406</v>
      </c>
      <c r="Y46" s="85" t="s">
        <v>575</v>
      </c>
      <c r="Z46" s="83" t="str">
        <f>HYPERLINK("https://twitter.com/ms_tabu/status/1420762541416869895")</f>
        <v>https://twitter.com/ms_tabu/status/1420762541416869895</v>
      </c>
      <c r="AA46" s="79"/>
      <c r="AB46" s="79"/>
      <c r="AC46" s="85" t="s">
        <v>754</v>
      </c>
      <c r="AD46" s="79"/>
      <c r="AE46" s="79" t="b">
        <v>0</v>
      </c>
      <c r="AF46" s="79">
        <v>0</v>
      </c>
      <c r="AG46" s="85" t="s">
        <v>867</v>
      </c>
      <c r="AH46" s="79" t="b">
        <v>0</v>
      </c>
      <c r="AI46" s="79" t="s">
        <v>874</v>
      </c>
      <c r="AJ46" s="79"/>
      <c r="AK46" s="85" t="s">
        <v>867</v>
      </c>
      <c r="AL46" s="79" t="b">
        <v>0</v>
      </c>
      <c r="AM46" s="79">
        <v>4</v>
      </c>
      <c r="AN46" s="85" t="s">
        <v>801</v>
      </c>
      <c r="AO46" s="85" t="s">
        <v>887</v>
      </c>
      <c r="AP46" s="79" t="b">
        <v>0</v>
      </c>
      <c r="AQ46" s="85" t="s">
        <v>801</v>
      </c>
      <c r="AR46" s="79" t="s">
        <v>177</v>
      </c>
      <c r="AS46" s="79">
        <v>0</v>
      </c>
      <c r="AT46" s="79">
        <v>0</v>
      </c>
      <c r="AU46" s="79"/>
      <c r="AV46" s="79"/>
      <c r="AW46" s="79"/>
      <c r="AX46" s="79"/>
      <c r="AY46" s="79"/>
      <c r="AZ46" s="79"/>
      <c r="BA46" s="79"/>
      <c r="BB46" s="79"/>
      <c r="BC46">
        <v>12</v>
      </c>
      <c r="BD46" s="78" t="str">
        <f>REPLACE(INDEX(GroupVertices[Group], MATCH(Edges[[#This Row],[Vertex 1]],GroupVertices[Vertex],0)),1,1,"")</f>
        <v>3</v>
      </c>
      <c r="BE46" s="78" t="str">
        <f>REPLACE(INDEX(GroupVertices[Group], MATCH(Edges[[#This Row],[Vertex 2]],GroupVertices[Vertex],0)),1,1,"")</f>
        <v>3</v>
      </c>
    </row>
    <row r="47" spans="1:57" x14ac:dyDescent="0.25">
      <c r="A47" s="64" t="s">
        <v>267</v>
      </c>
      <c r="B47" s="64" t="s">
        <v>289</v>
      </c>
      <c r="C47" s="65" t="s">
        <v>2092</v>
      </c>
      <c r="D47" s="66">
        <v>10</v>
      </c>
      <c r="E47" s="67"/>
      <c r="F47" s="68">
        <v>20</v>
      </c>
      <c r="G47" s="65"/>
      <c r="H47" s="69"/>
      <c r="I47" s="70"/>
      <c r="J47" s="70"/>
      <c r="K47" s="35" t="s">
        <v>65</v>
      </c>
      <c r="L47" s="77">
        <v>47</v>
      </c>
      <c r="M4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47" s="72"/>
      <c r="O47" s="79" t="s">
        <v>337</v>
      </c>
      <c r="P47" s="81">
        <v>44406.629236111112</v>
      </c>
      <c r="Q47" s="79" t="s">
        <v>369</v>
      </c>
      <c r="R47" s="79"/>
      <c r="S47" s="79"/>
      <c r="T47" s="85" t="s">
        <v>461</v>
      </c>
      <c r="U47" s="83" t="str">
        <f>HYPERLINK("https://pbs.twimg.com/media/E6IPmASXMAAHX-l.jpg")</f>
        <v>https://pbs.twimg.com/media/E6IPmASXMAAHX-l.jpg</v>
      </c>
      <c r="V47" s="83" t="str">
        <f>HYPERLINK("https://pbs.twimg.com/media/E6IPmASXMAAHX-l.jpg")</f>
        <v>https://pbs.twimg.com/media/E6IPmASXMAAHX-l.jpg</v>
      </c>
      <c r="W47" s="81">
        <v>44406.629236111112</v>
      </c>
      <c r="X47" s="87">
        <v>44406</v>
      </c>
      <c r="Y47" s="85" t="s">
        <v>576</v>
      </c>
      <c r="Z47" s="83" t="str">
        <f>HYPERLINK("https://twitter.com/ms_tabu/status/1420762565572022277")</f>
        <v>https://twitter.com/ms_tabu/status/1420762565572022277</v>
      </c>
      <c r="AA47" s="79"/>
      <c r="AB47" s="79"/>
      <c r="AC47" s="85" t="s">
        <v>755</v>
      </c>
      <c r="AD47" s="79"/>
      <c r="AE47" s="79" t="b">
        <v>0</v>
      </c>
      <c r="AF47" s="79">
        <v>0</v>
      </c>
      <c r="AG47" s="85" t="s">
        <v>867</v>
      </c>
      <c r="AH47" s="79" t="b">
        <v>0</v>
      </c>
      <c r="AI47" s="79" t="s">
        <v>874</v>
      </c>
      <c r="AJ47" s="79"/>
      <c r="AK47" s="85" t="s">
        <v>867</v>
      </c>
      <c r="AL47" s="79" t="b">
        <v>0</v>
      </c>
      <c r="AM47" s="79">
        <v>4</v>
      </c>
      <c r="AN47" s="85" t="s">
        <v>802</v>
      </c>
      <c r="AO47" s="85" t="s">
        <v>887</v>
      </c>
      <c r="AP47" s="79" t="b">
        <v>0</v>
      </c>
      <c r="AQ47" s="85" t="s">
        <v>802</v>
      </c>
      <c r="AR47" s="79" t="s">
        <v>177</v>
      </c>
      <c r="AS47" s="79">
        <v>0</v>
      </c>
      <c r="AT47" s="79">
        <v>0</v>
      </c>
      <c r="AU47" s="79"/>
      <c r="AV47" s="79"/>
      <c r="AW47" s="79"/>
      <c r="AX47" s="79"/>
      <c r="AY47" s="79"/>
      <c r="AZ47" s="79"/>
      <c r="BA47" s="79"/>
      <c r="BB47" s="79"/>
      <c r="BC47">
        <v>12</v>
      </c>
      <c r="BD47" s="78" t="str">
        <f>REPLACE(INDEX(GroupVertices[Group], MATCH(Edges[[#This Row],[Vertex 1]],GroupVertices[Vertex],0)),1,1,"")</f>
        <v>3</v>
      </c>
      <c r="BE47" s="78" t="str">
        <f>REPLACE(INDEX(GroupVertices[Group], MATCH(Edges[[#This Row],[Vertex 2]],GroupVertices[Vertex],0)),1,1,"")</f>
        <v>3</v>
      </c>
    </row>
    <row r="48" spans="1:57" x14ac:dyDescent="0.25">
      <c r="A48" s="64" t="s">
        <v>267</v>
      </c>
      <c r="B48" s="64" t="s">
        <v>289</v>
      </c>
      <c r="C48" s="65" t="s">
        <v>2092</v>
      </c>
      <c r="D48" s="66">
        <v>10</v>
      </c>
      <c r="E48" s="67"/>
      <c r="F48" s="68">
        <v>20</v>
      </c>
      <c r="G48" s="65"/>
      <c r="H48" s="69"/>
      <c r="I48" s="70"/>
      <c r="J48" s="70"/>
      <c r="K48" s="35" t="s">
        <v>65</v>
      </c>
      <c r="L48" s="77">
        <v>48</v>
      </c>
      <c r="M4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48" s="72"/>
      <c r="O48" s="79" t="s">
        <v>338</v>
      </c>
      <c r="P48" s="81">
        <v>44406.629236111112</v>
      </c>
      <c r="Q48" s="79" t="s">
        <v>369</v>
      </c>
      <c r="R48" s="79"/>
      <c r="S48" s="79"/>
      <c r="T48" s="85" t="s">
        <v>461</v>
      </c>
      <c r="U48" s="83" t="str">
        <f>HYPERLINK("https://pbs.twimg.com/media/E6IPmASXMAAHX-l.jpg")</f>
        <v>https://pbs.twimg.com/media/E6IPmASXMAAHX-l.jpg</v>
      </c>
      <c r="V48" s="83" t="str">
        <f>HYPERLINK("https://pbs.twimg.com/media/E6IPmASXMAAHX-l.jpg")</f>
        <v>https://pbs.twimg.com/media/E6IPmASXMAAHX-l.jpg</v>
      </c>
      <c r="W48" s="81">
        <v>44406.629236111112</v>
      </c>
      <c r="X48" s="87">
        <v>44406</v>
      </c>
      <c r="Y48" s="85" t="s">
        <v>576</v>
      </c>
      <c r="Z48" s="83" t="str">
        <f>HYPERLINK("https://twitter.com/ms_tabu/status/1420762565572022277")</f>
        <v>https://twitter.com/ms_tabu/status/1420762565572022277</v>
      </c>
      <c r="AA48" s="79"/>
      <c r="AB48" s="79"/>
      <c r="AC48" s="85" t="s">
        <v>755</v>
      </c>
      <c r="AD48" s="79"/>
      <c r="AE48" s="79" t="b">
        <v>0</v>
      </c>
      <c r="AF48" s="79">
        <v>0</v>
      </c>
      <c r="AG48" s="85" t="s">
        <v>867</v>
      </c>
      <c r="AH48" s="79" t="b">
        <v>0</v>
      </c>
      <c r="AI48" s="79" t="s">
        <v>874</v>
      </c>
      <c r="AJ48" s="79"/>
      <c r="AK48" s="85" t="s">
        <v>867</v>
      </c>
      <c r="AL48" s="79" t="b">
        <v>0</v>
      </c>
      <c r="AM48" s="79">
        <v>4</v>
      </c>
      <c r="AN48" s="85" t="s">
        <v>802</v>
      </c>
      <c r="AO48" s="85" t="s">
        <v>887</v>
      </c>
      <c r="AP48" s="79" t="b">
        <v>0</v>
      </c>
      <c r="AQ48" s="85" t="s">
        <v>802</v>
      </c>
      <c r="AR48" s="79" t="s">
        <v>177</v>
      </c>
      <c r="AS48" s="79">
        <v>0</v>
      </c>
      <c r="AT48" s="79">
        <v>0</v>
      </c>
      <c r="AU48" s="79"/>
      <c r="AV48" s="79"/>
      <c r="AW48" s="79"/>
      <c r="AX48" s="79"/>
      <c r="AY48" s="79"/>
      <c r="AZ48" s="79"/>
      <c r="BA48" s="79"/>
      <c r="BB48" s="79"/>
      <c r="BC48">
        <v>12</v>
      </c>
      <c r="BD48" s="78" t="str">
        <f>REPLACE(INDEX(GroupVertices[Group], MATCH(Edges[[#This Row],[Vertex 1]],GroupVertices[Vertex],0)),1,1,"")</f>
        <v>3</v>
      </c>
      <c r="BE48" s="78" t="str">
        <f>REPLACE(INDEX(GroupVertices[Group], MATCH(Edges[[#This Row],[Vertex 2]],GroupVertices[Vertex],0)),1,1,"")</f>
        <v>3</v>
      </c>
    </row>
    <row r="49" spans="1:57" x14ac:dyDescent="0.25">
      <c r="A49" s="64" t="s">
        <v>267</v>
      </c>
      <c r="B49" s="64" t="s">
        <v>289</v>
      </c>
      <c r="C49" s="65" t="s">
        <v>2092</v>
      </c>
      <c r="D49" s="66">
        <v>10</v>
      </c>
      <c r="E49" s="67"/>
      <c r="F49" s="68">
        <v>20</v>
      </c>
      <c r="G49" s="65"/>
      <c r="H49" s="69"/>
      <c r="I49" s="70"/>
      <c r="J49" s="70"/>
      <c r="K49" s="35" t="s">
        <v>65</v>
      </c>
      <c r="L49" s="77">
        <v>49</v>
      </c>
      <c r="M4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49" s="72"/>
      <c r="O49" s="79" t="s">
        <v>337</v>
      </c>
      <c r="P49" s="81">
        <v>44406.629282407404</v>
      </c>
      <c r="Q49" s="79" t="s">
        <v>370</v>
      </c>
      <c r="R49" s="79"/>
      <c r="S49" s="79"/>
      <c r="T49" s="85" t="s">
        <v>461</v>
      </c>
      <c r="U49" s="83" t="str">
        <f>HYPERLINK("https://pbs.twimg.com/media/E6IOXacX0AIO80c.jpg")</f>
        <v>https://pbs.twimg.com/media/E6IOXacX0AIO80c.jpg</v>
      </c>
      <c r="V49" s="83" t="str">
        <f>HYPERLINK("https://pbs.twimg.com/media/E6IOXacX0AIO80c.jpg")</f>
        <v>https://pbs.twimg.com/media/E6IOXacX0AIO80c.jpg</v>
      </c>
      <c r="W49" s="81">
        <v>44406.629282407404</v>
      </c>
      <c r="X49" s="87">
        <v>44406</v>
      </c>
      <c r="Y49" s="85" t="s">
        <v>577</v>
      </c>
      <c r="Z49" s="83" t="str">
        <f>HYPERLINK("https://twitter.com/ms_tabu/status/1420762579748724739")</f>
        <v>https://twitter.com/ms_tabu/status/1420762579748724739</v>
      </c>
      <c r="AA49" s="79"/>
      <c r="AB49" s="79"/>
      <c r="AC49" s="85" t="s">
        <v>756</v>
      </c>
      <c r="AD49" s="79"/>
      <c r="AE49" s="79" t="b">
        <v>0</v>
      </c>
      <c r="AF49" s="79">
        <v>0</v>
      </c>
      <c r="AG49" s="85" t="s">
        <v>867</v>
      </c>
      <c r="AH49" s="79" t="b">
        <v>0</v>
      </c>
      <c r="AI49" s="79" t="s">
        <v>874</v>
      </c>
      <c r="AJ49" s="79"/>
      <c r="AK49" s="85" t="s">
        <v>867</v>
      </c>
      <c r="AL49" s="79" t="b">
        <v>0</v>
      </c>
      <c r="AM49" s="79">
        <v>3</v>
      </c>
      <c r="AN49" s="85" t="s">
        <v>803</v>
      </c>
      <c r="AO49" s="85" t="s">
        <v>887</v>
      </c>
      <c r="AP49" s="79" t="b">
        <v>0</v>
      </c>
      <c r="AQ49" s="85" t="s">
        <v>803</v>
      </c>
      <c r="AR49" s="79" t="s">
        <v>177</v>
      </c>
      <c r="AS49" s="79">
        <v>0</v>
      </c>
      <c r="AT49" s="79">
        <v>0</v>
      </c>
      <c r="AU49" s="79"/>
      <c r="AV49" s="79"/>
      <c r="AW49" s="79"/>
      <c r="AX49" s="79"/>
      <c r="AY49" s="79"/>
      <c r="AZ49" s="79"/>
      <c r="BA49" s="79"/>
      <c r="BB49" s="79"/>
      <c r="BC49">
        <v>12</v>
      </c>
      <c r="BD49" s="78" t="str">
        <f>REPLACE(INDEX(GroupVertices[Group], MATCH(Edges[[#This Row],[Vertex 1]],GroupVertices[Vertex],0)),1,1,"")</f>
        <v>3</v>
      </c>
      <c r="BE49" s="78" t="str">
        <f>REPLACE(INDEX(GroupVertices[Group], MATCH(Edges[[#This Row],[Vertex 2]],GroupVertices[Vertex],0)),1,1,"")</f>
        <v>3</v>
      </c>
    </row>
    <row r="50" spans="1:57" x14ac:dyDescent="0.25">
      <c r="A50" s="64" t="s">
        <v>267</v>
      </c>
      <c r="B50" s="64" t="s">
        <v>289</v>
      </c>
      <c r="C50" s="65" t="s">
        <v>2092</v>
      </c>
      <c r="D50" s="66">
        <v>10</v>
      </c>
      <c r="E50" s="67"/>
      <c r="F50" s="68">
        <v>20</v>
      </c>
      <c r="G50" s="65"/>
      <c r="H50" s="69"/>
      <c r="I50" s="70"/>
      <c r="J50" s="70"/>
      <c r="K50" s="35" t="s">
        <v>65</v>
      </c>
      <c r="L50" s="77">
        <v>50</v>
      </c>
      <c r="M5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50" s="72"/>
      <c r="O50" s="79" t="s">
        <v>338</v>
      </c>
      <c r="P50" s="81">
        <v>44406.629282407404</v>
      </c>
      <c r="Q50" s="79" t="s">
        <v>370</v>
      </c>
      <c r="R50" s="79"/>
      <c r="S50" s="79"/>
      <c r="T50" s="85" t="s">
        <v>461</v>
      </c>
      <c r="U50" s="83" t="str">
        <f>HYPERLINK("https://pbs.twimg.com/media/E6IOXacX0AIO80c.jpg")</f>
        <v>https://pbs.twimg.com/media/E6IOXacX0AIO80c.jpg</v>
      </c>
      <c r="V50" s="83" t="str">
        <f>HYPERLINK("https://pbs.twimg.com/media/E6IOXacX0AIO80c.jpg")</f>
        <v>https://pbs.twimg.com/media/E6IOXacX0AIO80c.jpg</v>
      </c>
      <c r="W50" s="81">
        <v>44406.629282407404</v>
      </c>
      <c r="X50" s="87">
        <v>44406</v>
      </c>
      <c r="Y50" s="85" t="s">
        <v>577</v>
      </c>
      <c r="Z50" s="83" t="str">
        <f>HYPERLINK("https://twitter.com/ms_tabu/status/1420762579748724739")</f>
        <v>https://twitter.com/ms_tabu/status/1420762579748724739</v>
      </c>
      <c r="AA50" s="79"/>
      <c r="AB50" s="79"/>
      <c r="AC50" s="85" t="s">
        <v>756</v>
      </c>
      <c r="AD50" s="79"/>
      <c r="AE50" s="79" t="b">
        <v>0</v>
      </c>
      <c r="AF50" s="79">
        <v>0</v>
      </c>
      <c r="AG50" s="85" t="s">
        <v>867</v>
      </c>
      <c r="AH50" s="79" t="b">
        <v>0</v>
      </c>
      <c r="AI50" s="79" t="s">
        <v>874</v>
      </c>
      <c r="AJ50" s="79"/>
      <c r="AK50" s="85" t="s">
        <v>867</v>
      </c>
      <c r="AL50" s="79" t="b">
        <v>0</v>
      </c>
      <c r="AM50" s="79">
        <v>3</v>
      </c>
      <c r="AN50" s="85" t="s">
        <v>803</v>
      </c>
      <c r="AO50" s="85" t="s">
        <v>887</v>
      </c>
      <c r="AP50" s="79" t="b">
        <v>0</v>
      </c>
      <c r="AQ50" s="85" t="s">
        <v>803</v>
      </c>
      <c r="AR50" s="79" t="s">
        <v>177</v>
      </c>
      <c r="AS50" s="79">
        <v>0</v>
      </c>
      <c r="AT50" s="79">
        <v>0</v>
      </c>
      <c r="AU50" s="79"/>
      <c r="AV50" s="79"/>
      <c r="AW50" s="79"/>
      <c r="AX50" s="79"/>
      <c r="AY50" s="79"/>
      <c r="AZ50" s="79"/>
      <c r="BA50" s="79"/>
      <c r="BB50" s="79"/>
      <c r="BC50">
        <v>12</v>
      </c>
      <c r="BD50" s="78" t="str">
        <f>REPLACE(INDEX(GroupVertices[Group], MATCH(Edges[[#This Row],[Vertex 1]],GroupVertices[Vertex],0)),1,1,"")</f>
        <v>3</v>
      </c>
      <c r="BE50" s="78" t="str">
        <f>REPLACE(INDEX(GroupVertices[Group], MATCH(Edges[[#This Row],[Vertex 2]],GroupVertices[Vertex],0)),1,1,"")</f>
        <v>3</v>
      </c>
    </row>
    <row r="51" spans="1:57" x14ac:dyDescent="0.25">
      <c r="A51" s="64" t="s">
        <v>267</v>
      </c>
      <c r="B51" s="64" t="s">
        <v>289</v>
      </c>
      <c r="C51" s="65" t="s">
        <v>2092</v>
      </c>
      <c r="D51" s="66">
        <v>10</v>
      </c>
      <c r="E51" s="67"/>
      <c r="F51" s="68">
        <v>20</v>
      </c>
      <c r="G51" s="65"/>
      <c r="H51" s="69"/>
      <c r="I51" s="70"/>
      <c r="J51" s="70"/>
      <c r="K51" s="35" t="s">
        <v>65</v>
      </c>
      <c r="L51" s="77">
        <v>51</v>
      </c>
      <c r="M5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51" s="72"/>
      <c r="O51" s="79" t="s">
        <v>337</v>
      </c>
      <c r="P51" s="81">
        <v>44406.638159722221</v>
      </c>
      <c r="Q51" s="79" t="s">
        <v>366</v>
      </c>
      <c r="R51" s="79"/>
      <c r="S51" s="79"/>
      <c r="T51" s="85" t="s">
        <v>461</v>
      </c>
      <c r="U51" s="83" t="str">
        <f>HYPERLINK("https://pbs.twimg.com/media/E7eO9zIVUAEjK-g.jpg")</f>
        <v>https://pbs.twimg.com/media/E7eO9zIVUAEjK-g.jpg</v>
      </c>
      <c r="V51" s="83" t="str">
        <f>HYPERLINK("https://pbs.twimg.com/media/E7eO9zIVUAEjK-g.jpg")</f>
        <v>https://pbs.twimg.com/media/E7eO9zIVUAEjK-g.jpg</v>
      </c>
      <c r="W51" s="81">
        <v>44406.638159722221</v>
      </c>
      <c r="X51" s="87">
        <v>44406</v>
      </c>
      <c r="Y51" s="85" t="s">
        <v>578</v>
      </c>
      <c r="Z51" s="83" t="str">
        <f>HYPERLINK("https://twitter.com/ms_tabu/status/1420765797316714501")</f>
        <v>https://twitter.com/ms_tabu/status/1420765797316714501</v>
      </c>
      <c r="AA51" s="79"/>
      <c r="AB51" s="79"/>
      <c r="AC51" s="85" t="s">
        <v>757</v>
      </c>
      <c r="AD51" s="79"/>
      <c r="AE51" s="79" t="b">
        <v>0</v>
      </c>
      <c r="AF51" s="79">
        <v>0</v>
      </c>
      <c r="AG51" s="85" t="s">
        <v>867</v>
      </c>
      <c r="AH51" s="79" t="b">
        <v>0</v>
      </c>
      <c r="AI51" s="79" t="s">
        <v>874</v>
      </c>
      <c r="AJ51" s="79"/>
      <c r="AK51" s="85" t="s">
        <v>867</v>
      </c>
      <c r="AL51" s="79" t="b">
        <v>0</v>
      </c>
      <c r="AM51" s="79">
        <v>4</v>
      </c>
      <c r="AN51" s="85" t="s">
        <v>799</v>
      </c>
      <c r="AO51" s="85" t="s">
        <v>887</v>
      </c>
      <c r="AP51" s="79" t="b">
        <v>0</v>
      </c>
      <c r="AQ51" s="85" t="s">
        <v>799</v>
      </c>
      <c r="AR51" s="79" t="s">
        <v>177</v>
      </c>
      <c r="AS51" s="79">
        <v>0</v>
      </c>
      <c r="AT51" s="79">
        <v>0</v>
      </c>
      <c r="AU51" s="79"/>
      <c r="AV51" s="79"/>
      <c r="AW51" s="79"/>
      <c r="AX51" s="79"/>
      <c r="AY51" s="79"/>
      <c r="AZ51" s="79"/>
      <c r="BA51" s="79"/>
      <c r="BB51" s="79"/>
      <c r="BC51">
        <v>12</v>
      </c>
      <c r="BD51" s="78" t="str">
        <f>REPLACE(INDEX(GroupVertices[Group], MATCH(Edges[[#This Row],[Vertex 1]],GroupVertices[Vertex],0)),1,1,"")</f>
        <v>3</v>
      </c>
      <c r="BE51" s="78" t="str">
        <f>REPLACE(INDEX(GroupVertices[Group], MATCH(Edges[[#This Row],[Vertex 2]],GroupVertices[Vertex],0)),1,1,"")</f>
        <v>3</v>
      </c>
    </row>
    <row r="52" spans="1:57" x14ac:dyDescent="0.25">
      <c r="A52" s="64" t="s">
        <v>267</v>
      </c>
      <c r="B52" s="64" t="s">
        <v>289</v>
      </c>
      <c r="C52" s="65" t="s">
        <v>2092</v>
      </c>
      <c r="D52" s="66">
        <v>10</v>
      </c>
      <c r="E52" s="67"/>
      <c r="F52" s="68">
        <v>20</v>
      </c>
      <c r="G52" s="65"/>
      <c r="H52" s="69"/>
      <c r="I52" s="70"/>
      <c r="J52" s="70"/>
      <c r="K52" s="35" t="s">
        <v>65</v>
      </c>
      <c r="L52" s="77">
        <v>52</v>
      </c>
      <c r="M5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52" s="72"/>
      <c r="O52" s="79" t="s">
        <v>338</v>
      </c>
      <c r="P52" s="81">
        <v>44406.638159722221</v>
      </c>
      <c r="Q52" s="79" t="s">
        <v>366</v>
      </c>
      <c r="R52" s="79"/>
      <c r="S52" s="79"/>
      <c r="T52" s="85" t="s">
        <v>461</v>
      </c>
      <c r="U52" s="83" t="str">
        <f>HYPERLINK("https://pbs.twimg.com/media/E7eO9zIVUAEjK-g.jpg")</f>
        <v>https://pbs.twimg.com/media/E7eO9zIVUAEjK-g.jpg</v>
      </c>
      <c r="V52" s="83" t="str">
        <f>HYPERLINK("https://pbs.twimg.com/media/E7eO9zIVUAEjK-g.jpg")</f>
        <v>https://pbs.twimg.com/media/E7eO9zIVUAEjK-g.jpg</v>
      </c>
      <c r="W52" s="81">
        <v>44406.638159722221</v>
      </c>
      <c r="X52" s="87">
        <v>44406</v>
      </c>
      <c r="Y52" s="85" t="s">
        <v>578</v>
      </c>
      <c r="Z52" s="83" t="str">
        <f>HYPERLINK("https://twitter.com/ms_tabu/status/1420765797316714501")</f>
        <v>https://twitter.com/ms_tabu/status/1420765797316714501</v>
      </c>
      <c r="AA52" s="79"/>
      <c r="AB52" s="79"/>
      <c r="AC52" s="85" t="s">
        <v>757</v>
      </c>
      <c r="AD52" s="79"/>
      <c r="AE52" s="79" t="b">
        <v>0</v>
      </c>
      <c r="AF52" s="79">
        <v>0</v>
      </c>
      <c r="AG52" s="85" t="s">
        <v>867</v>
      </c>
      <c r="AH52" s="79" t="b">
        <v>0</v>
      </c>
      <c r="AI52" s="79" t="s">
        <v>874</v>
      </c>
      <c r="AJ52" s="79"/>
      <c r="AK52" s="85" t="s">
        <v>867</v>
      </c>
      <c r="AL52" s="79" t="b">
        <v>0</v>
      </c>
      <c r="AM52" s="79">
        <v>4</v>
      </c>
      <c r="AN52" s="85" t="s">
        <v>799</v>
      </c>
      <c r="AO52" s="85" t="s">
        <v>887</v>
      </c>
      <c r="AP52" s="79" t="b">
        <v>0</v>
      </c>
      <c r="AQ52" s="85" t="s">
        <v>799</v>
      </c>
      <c r="AR52" s="79" t="s">
        <v>177</v>
      </c>
      <c r="AS52" s="79">
        <v>0</v>
      </c>
      <c r="AT52" s="79">
        <v>0</v>
      </c>
      <c r="AU52" s="79"/>
      <c r="AV52" s="79"/>
      <c r="AW52" s="79"/>
      <c r="AX52" s="79"/>
      <c r="AY52" s="79"/>
      <c r="AZ52" s="79"/>
      <c r="BA52" s="79"/>
      <c r="BB52" s="79"/>
      <c r="BC52">
        <v>12</v>
      </c>
      <c r="BD52" s="78" t="str">
        <f>REPLACE(INDEX(GroupVertices[Group], MATCH(Edges[[#This Row],[Vertex 1]],GroupVertices[Vertex],0)),1,1,"")</f>
        <v>3</v>
      </c>
      <c r="BE52" s="78" t="str">
        <f>REPLACE(INDEX(GroupVertices[Group], MATCH(Edges[[#This Row],[Vertex 2]],GroupVertices[Vertex],0)),1,1,"")</f>
        <v>3</v>
      </c>
    </row>
    <row r="53" spans="1:57" x14ac:dyDescent="0.25">
      <c r="A53" s="64" t="s">
        <v>289</v>
      </c>
      <c r="B53" s="64" t="s">
        <v>320</v>
      </c>
      <c r="C53" s="65" t="s">
        <v>2092</v>
      </c>
      <c r="D53" s="66">
        <v>10</v>
      </c>
      <c r="E53" s="67"/>
      <c r="F53" s="68">
        <v>20</v>
      </c>
      <c r="G53" s="65"/>
      <c r="H53" s="69"/>
      <c r="I53" s="70"/>
      <c r="J53" s="70"/>
      <c r="K53" s="35" t="s">
        <v>65</v>
      </c>
      <c r="L53" s="77">
        <v>53</v>
      </c>
      <c r="M5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53" s="72"/>
      <c r="O53" s="79" t="s">
        <v>339</v>
      </c>
      <c r="P53" s="81">
        <v>44404.613877314812</v>
      </c>
      <c r="Q53" s="79" t="s">
        <v>367</v>
      </c>
      <c r="R53" s="83" t="str">
        <f>HYPERLINK("https://www.youtube.com/shorts/qku6RAs0B3k?feature=share")</f>
        <v>https://www.youtube.com/shorts/qku6RAs0B3k?feature=share</v>
      </c>
      <c r="S53" s="79" t="s">
        <v>450</v>
      </c>
      <c r="T53" s="85" t="s">
        <v>478</v>
      </c>
      <c r="U53" s="83" t="str">
        <f>HYPERLINK("https://pbs.twimg.com/media/E7T3xyJWQAYfYP3.jpg")</f>
        <v>https://pbs.twimg.com/media/E7T3xyJWQAYfYP3.jpg</v>
      </c>
      <c r="V53" s="83" t="str">
        <f>HYPERLINK("https://pbs.twimg.com/media/E7T3xyJWQAYfYP3.jpg")</f>
        <v>https://pbs.twimg.com/media/E7T3xyJWQAYfYP3.jpg</v>
      </c>
      <c r="W53" s="81">
        <v>44404.613877314812</v>
      </c>
      <c r="X53" s="87">
        <v>44404</v>
      </c>
      <c r="Y53" s="85" t="s">
        <v>609</v>
      </c>
      <c r="Z53" s="83" t="str">
        <f>HYPERLINK("https://twitter.com/ucatonsville/status/1420032222283898895")</f>
        <v>https://twitter.com/ucatonsville/status/1420032222283898895</v>
      </c>
      <c r="AA53" s="79"/>
      <c r="AB53" s="79"/>
      <c r="AC53" s="85" t="s">
        <v>789</v>
      </c>
      <c r="AD53" s="79"/>
      <c r="AE53" s="79" t="b">
        <v>0</v>
      </c>
      <c r="AF53" s="79">
        <v>4</v>
      </c>
      <c r="AG53" s="85" t="s">
        <v>867</v>
      </c>
      <c r="AH53" s="79" t="b">
        <v>0</v>
      </c>
      <c r="AI53" s="79" t="s">
        <v>874</v>
      </c>
      <c r="AJ53" s="79"/>
      <c r="AK53" s="85" t="s">
        <v>867</v>
      </c>
      <c r="AL53" s="79" t="b">
        <v>0</v>
      </c>
      <c r="AM53" s="79">
        <v>3</v>
      </c>
      <c r="AN53" s="85" t="s">
        <v>867</v>
      </c>
      <c r="AO53" s="85" t="s">
        <v>883</v>
      </c>
      <c r="AP53" s="79" t="b">
        <v>0</v>
      </c>
      <c r="AQ53" s="85" t="s">
        <v>789</v>
      </c>
      <c r="AR53" s="79" t="s">
        <v>177</v>
      </c>
      <c r="AS53" s="79">
        <v>0</v>
      </c>
      <c r="AT53" s="79">
        <v>0</v>
      </c>
      <c r="AU53" s="79" t="s">
        <v>892</v>
      </c>
      <c r="AV53" s="79" t="s">
        <v>902</v>
      </c>
      <c r="AW53" s="79" t="s">
        <v>903</v>
      </c>
      <c r="AX53" s="79" t="s">
        <v>905</v>
      </c>
      <c r="AY53" s="79" t="s">
        <v>915</v>
      </c>
      <c r="AZ53" s="79" t="s">
        <v>905</v>
      </c>
      <c r="BA53" s="79" t="s">
        <v>931</v>
      </c>
      <c r="BB53" s="83" t="str">
        <f>HYPERLINK("https://api.twitter.com/1.1/geo/id/07d9ccb5d1086000.json")</f>
        <v>https://api.twitter.com/1.1/geo/id/07d9ccb5d1086000.json</v>
      </c>
      <c r="BC53">
        <v>11</v>
      </c>
      <c r="BD53" s="78" t="str">
        <f>REPLACE(INDEX(GroupVertices[Group], MATCH(Edges[[#This Row],[Vertex 1]],GroupVertices[Vertex],0)),1,1,"")</f>
        <v>3</v>
      </c>
      <c r="BE53" s="78" t="str">
        <f>REPLACE(INDEX(GroupVertices[Group], MATCH(Edges[[#This Row],[Vertex 2]],GroupVertices[Vertex],0)),1,1,"")</f>
        <v>3</v>
      </c>
    </row>
    <row r="54" spans="1:57" x14ac:dyDescent="0.25">
      <c r="A54" s="64" t="s">
        <v>289</v>
      </c>
      <c r="B54" s="64" t="s">
        <v>320</v>
      </c>
      <c r="C54" s="65" t="s">
        <v>2092</v>
      </c>
      <c r="D54" s="66">
        <v>10</v>
      </c>
      <c r="E54" s="67"/>
      <c r="F54" s="68">
        <v>20</v>
      </c>
      <c r="G54" s="65"/>
      <c r="H54" s="69"/>
      <c r="I54" s="70"/>
      <c r="J54" s="70"/>
      <c r="K54" s="35" t="s">
        <v>65</v>
      </c>
      <c r="L54" s="77">
        <v>54</v>
      </c>
      <c r="M5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54" s="72"/>
      <c r="O54" s="79" t="s">
        <v>339</v>
      </c>
      <c r="P54" s="81">
        <v>44404.614560185182</v>
      </c>
      <c r="Q54" s="79" t="s">
        <v>371</v>
      </c>
      <c r="R54" s="83" t="str">
        <f>HYPERLINK("https://youtube.com/shorts/qku6RAs")</f>
        <v>https://youtube.com/shorts/qku6RAs</v>
      </c>
      <c r="S54" s="79" t="s">
        <v>450</v>
      </c>
      <c r="T54" s="85" t="s">
        <v>478</v>
      </c>
      <c r="U54" s="79"/>
      <c r="V54" s="83" t="str">
        <f>HYPERLINK("https://pbs.twimg.com/profile_images/1280188684483076097/hDD1guXX_normal.jpg")</f>
        <v>https://pbs.twimg.com/profile_images/1280188684483076097/hDD1guXX_normal.jpg</v>
      </c>
      <c r="W54" s="81">
        <v>44404.614560185182</v>
      </c>
      <c r="X54" s="87">
        <v>44404</v>
      </c>
      <c r="Y54" s="85" t="s">
        <v>610</v>
      </c>
      <c r="Z54" s="83" t="str">
        <f>HYPERLINK("https://twitter.com/ucatonsville/status/1420032469043134480")</f>
        <v>https://twitter.com/ucatonsville/status/1420032469043134480</v>
      </c>
      <c r="AA54" s="79"/>
      <c r="AB54" s="79"/>
      <c r="AC54" s="85" t="s">
        <v>790</v>
      </c>
      <c r="AD54" s="79"/>
      <c r="AE54" s="79" t="b">
        <v>0</v>
      </c>
      <c r="AF54" s="79">
        <v>5</v>
      </c>
      <c r="AG54" s="85" t="s">
        <v>867</v>
      </c>
      <c r="AH54" s="79" t="b">
        <v>0</v>
      </c>
      <c r="AI54" s="79" t="s">
        <v>874</v>
      </c>
      <c r="AJ54" s="79"/>
      <c r="AK54" s="85" t="s">
        <v>867</v>
      </c>
      <c r="AL54" s="79" t="b">
        <v>0</v>
      </c>
      <c r="AM54" s="79">
        <v>3</v>
      </c>
      <c r="AN54" s="85" t="s">
        <v>867</v>
      </c>
      <c r="AO54" s="85" t="s">
        <v>883</v>
      </c>
      <c r="AP54" s="79" t="b">
        <v>0</v>
      </c>
      <c r="AQ54" s="85" t="s">
        <v>790</v>
      </c>
      <c r="AR54" s="79" t="s">
        <v>177</v>
      </c>
      <c r="AS54" s="79">
        <v>0</v>
      </c>
      <c r="AT54" s="79">
        <v>0</v>
      </c>
      <c r="AU54" s="79" t="s">
        <v>892</v>
      </c>
      <c r="AV54" s="79" t="s">
        <v>902</v>
      </c>
      <c r="AW54" s="79" t="s">
        <v>903</v>
      </c>
      <c r="AX54" s="79" t="s">
        <v>905</v>
      </c>
      <c r="AY54" s="79" t="s">
        <v>915</v>
      </c>
      <c r="AZ54" s="79" t="s">
        <v>905</v>
      </c>
      <c r="BA54" s="79" t="s">
        <v>931</v>
      </c>
      <c r="BB54" s="83" t="str">
        <f>HYPERLINK("https://api.twitter.com/1.1/geo/id/07d9ccb5d1086000.json")</f>
        <v>https://api.twitter.com/1.1/geo/id/07d9ccb5d1086000.json</v>
      </c>
      <c r="BC54">
        <v>11</v>
      </c>
      <c r="BD54" s="78" t="str">
        <f>REPLACE(INDEX(GroupVertices[Group], MATCH(Edges[[#This Row],[Vertex 1]],GroupVertices[Vertex],0)),1,1,"")</f>
        <v>3</v>
      </c>
      <c r="BE54" s="78" t="str">
        <f>REPLACE(INDEX(GroupVertices[Group], MATCH(Edges[[#This Row],[Vertex 2]],GroupVertices[Vertex],0)),1,1,"")</f>
        <v>3</v>
      </c>
    </row>
    <row r="55" spans="1:57" x14ac:dyDescent="0.25">
      <c r="A55" s="64" t="s">
        <v>289</v>
      </c>
      <c r="B55" s="64" t="s">
        <v>320</v>
      </c>
      <c r="C55" s="65" t="s">
        <v>2092</v>
      </c>
      <c r="D55" s="66">
        <v>10</v>
      </c>
      <c r="E55" s="67"/>
      <c r="F55" s="68">
        <v>20</v>
      </c>
      <c r="G55" s="65"/>
      <c r="H55" s="69"/>
      <c r="I55" s="70"/>
      <c r="J55" s="70"/>
      <c r="K55" s="35" t="s">
        <v>65</v>
      </c>
      <c r="L55" s="77">
        <v>55</v>
      </c>
      <c r="M5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55" s="72"/>
      <c r="O55" s="79" t="s">
        <v>339</v>
      </c>
      <c r="P55" s="81">
        <v>44405.982974537037</v>
      </c>
      <c r="Q55" s="79" t="s">
        <v>385</v>
      </c>
      <c r="R55" s="79"/>
      <c r="S55" s="79"/>
      <c r="T55" s="85" t="s">
        <v>461</v>
      </c>
      <c r="U55" s="83" t="str">
        <f>HYPERLINK("https://pbs.twimg.com/media/E7a7A6jX0AQDEwY.jpg")</f>
        <v>https://pbs.twimg.com/media/E7a7A6jX0AQDEwY.jpg</v>
      </c>
      <c r="V55" s="83" t="str">
        <f>HYPERLINK("https://pbs.twimg.com/media/E7a7A6jX0AQDEwY.jpg")</f>
        <v>https://pbs.twimg.com/media/E7a7A6jX0AQDEwY.jpg</v>
      </c>
      <c r="W55" s="81">
        <v>44405.982974537037</v>
      </c>
      <c r="X55" s="87">
        <v>44405</v>
      </c>
      <c r="Y55" s="85" t="s">
        <v>611</v>
      </c>
      <c r="Z55" s="83" t="str">
        <f>HYPERLINK("https://twitter.com/ucatonsville/status/1420528365354856453")</f>
        <v>https://twitter.com/ucatonsville/status/1420528365354856453</v>
      </c>
      <c r="AA55" s="79"/>
      <c r="AB55" s="79"/>
      <c r="AC55" s="85" t="s">
        <v>791</v>
      </c>
      <c r="AD55" s="79"/>
      <c r="AE55" s="79" t="b">
        <v>0</v>
      </c>
      <c r="AF55" s="79">
        <v>0</v>
      </c>
      <c r="AG55" s="85" t="s">
        <v>872</v>
      </c>
      <c r="AH55" s="79" t="b">
        <v>0</v>
      </c>
      <c r="AI55" s="79" t="s">
        <v>874</v>
      </c>
      <c r="AJ55" s="79"/>
      <c r="AK55" s="85" t="s">
        <v>867</v>
      </c>
      <c r="AL55" s="79" t="b">
        <v>0</v>
      </c>
      <c r="AM55" s="79">
        <v>0</v>
      </c>
      <c r="AN55" s="85" t="s">
        <v>867</v>
      </c>
      <c r="AO55" s="85" t="s">
        <v>883</v>
      </c>
      <c r="AP55" s="79" t="b">
        <v>0</v>
      </c>
      <c r="AQ55" s="85" t="s">
        <v>791</v>
      </c>
      <c r="AR55" s="79" t="s">
        <v>177</v>
      </c>
      <c r="AS55" s="79">
        <v>0</v>
      </c>
      <c r="AT55" s="79">
        <v>0</v>
      </c>
      <c r="AU55" s="79" t="s">
        <v>893</v>
      </c>
      <c r="AV55" s="79" t="s">
        <v>902</v>
      </c>
      <c r="AW55" s="79" t="s">
        <v>903</v>
      </c>
      <c r="AX55" s="79" t="s">
        <v>906</v>
      </c>
      <c r="AY55" s="79" t="s">
        <v>916</v>
      </c>
      <c r="AZ55" s="79" t="s">
        <v>906</v>
      </c>
      <c r="BA55" s="79" t="s">
        <v>931</v>
      </c>
      <c r="BB55" s="83" t="str">
        <f>HYPERLINK("https://api.twitter.com/1.1/geo/id/11dca57e8e54e001.json")</f>
        <v>https://api.twitter.com/1.1/geo/id/11dca57e8e54e001.json</v>
      </c>
      <c r="BC55">
        <v>11</v>
      </c>
      <c r="BD55" s="78" t="str">
        <f>REPLACE(INDEX(GroupVertices[Group], MATCH(Edges[[#This Row],[Vertex 1]],GroupVertices[Vertex],0)),1,1,"")</f>
        <v>3</v>
      </c>
      <c r="BE55" s="78" t="str">
        <f>REPLACE(INDEX(GroupVertices[Group], MATCH(Edges[[#This Row],[Vertex 2]],GroupVertices[Vertex],0)),1,1,"")</f>
        <v>3</v>
      </c>
    </row>
    <row r="56" spans="1:57" x14ac:dyDescent="0.25">
      <c r="A56" s="64" t="s">
        <v>289</v>
      </c>
      <c r="B56" s="64" t="s">
        <v>320</v>
      </c>
      <c r="C56" s="65" t="s">
        <v>2092</v>
      </c>
      <c r="D56" s="66">
        <v>10</v>
      </c>
      <c r="E56" s="67"/>
      <c r="F56" s="68">
        <v>20</v>
      </c>
      <c r="G56" s="65"/>
      <c r="H56" s="69"/>
      <c r="I56" s="70"/>
      <c r="J56" s="70"/>
      <c r="K56" s="35" t="s">
        <v>65</v>
      </c>
      <c r="L56" s="77">
        <v>56</v>
      </c>
      <c r="M5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56" s="72"/>
      <c r="O56" s="79" t="s">
        <v>339</v>
      </c>
      <c r="P56" s="81">
        <v>44405.984050925923</v>
      </c>
      <c r="Q56" s="79" t="s">
        <v>386</v>
      </c>
      <c r="R56" s="79"/>
      <c r="S56" s="79"/>
      <c r="T56" s="85" t="s">
        <v>461</v>
      </c>
      <c r="U56" s="83" t="str">
        <f>HYPERLINK("https://pbs.twimg.com/media/E7a7XzIWQAAyDbT.jpg")</f>
        <v>https://pbs.twimg.com/media/E7a7XzIWQAAyDbT.jpg</v>
      </c>
      <c r="V56" s="83" t="str">
        <f>HYPERLINK("https://pbs.twimg.com/media/E7a7XzIWQAAyDbT.jpg")</f>
        <v>https://pbs.twimg.com/media/E7a7XzIWQAAyDbT.jpg</v>
      </c>
      <c r="W56" s="81">
        <v>44405.984050925923</v>
      </c>
      <c r="X56" s="87">
        <v>44405</v>
      </c>
      <c r="Y56" s="85" t="s">
        <v>612</v>
      </c>
      <c r="Z56" s="83" t="str">
        <f>HYPERLINK("https://twitter.com/ucatonsville/status/1420528757392150530")</f>
        <v>https://twitter.com/ucatonsville/status/1420528757392150530</v>
      </c>
      <c r="AA56" s="79"/>
      <c r="AB56" s="79"/>
      <c r="AC56" s="85" t="s">
        <v>792</v>
      </c>
      <c r="AD56" s="79"/>
      <c r="AE56" s="79" t="b">
        <v>0</v>
      </c>
      <c r="AF56" s="79">
        <v>0</v>
      </c>
      <c r="AG56" s="85" t="s">
        <v>872</v>
      </c>
      <c r="AH56" s="79" t="b">
        <v>0</v>
      </c>
      <c r="AI56" s="79" t="s">
        <v>874</v>
      </c>
      <c r="AJ56" s="79"/>
      <c r="AK56" s="85" t="s">
        <v>867</v>
      </c>
      <c r="AL56" s="79" t="b">
        <v>0</v>
      </c>
      <c r="AM56" s="79">
        <v>0</v>
      </c>
      <c r="AN56" s="85" t="s">
        <v>867</v>
      </c>
      <c r="AO56" s="85" t="s">
        <v>883</v>
      </c>
      <c r="AP56" s="79" t="b">
        <v>0</v>
      </c>
      <c r="AQ56" s="85" t="s">
        <v>792</v>
      </c>
      <c r="AR56" s="79" t="s">
        <v>177</v>
      </c>
      <c r="AS56" s="79">
        <v>0</v>
      </c>
      <c r="AT56" s="79">
        <v>0</v>
      </c>
      <c r="AU56" s="79" t="s">
        <v>893</v>
      </c>
      <c r="AV56" s="79" t="s">
        <v>902</v>
      </c>
      <c r="AW56" s="79" t="s">
        <v>903</v>
      </c>
      <c r="AX56" s="79" t="s">
        <v>906</v>
      </c>
      <c r="AY56" s="79" t="s">
        <v>916</v>
      </c>
      <c r="AZ56" s="79" t="s">
        <v>906</v>
      </c>
      <c r="BA56" s="79" t="s">
        <v>931</v>
      </c>
      <c r="BB56" s="83" t="str">
        <f>HYPERLINK("https://api.twitter.com/1.1/geo/id/11dca57e8e54e001.json")</f>
        <v>https://api.twitter.com/1.1/geo/id/11dca57e8e54e001.json</v>
      </c>
      <c r="BC56">
        <v>11</v>
      </c>
      <c r="BD56" s="78" t="str">
        <f>REPLACE(INDEX(GroupVertices[Group], MATCH(Edges[[#This Row],[Vertex 1]],GroupVertices[Vertex],0)),1,1,"")</f>
        <v>3</v>
      </c>
      <c r="BE56" s="78" t="str">
        <f>REPLACE(INDEX(GroupVertices[Group], MATCH(Edges[[#This Row],[Vertex 2]],GroupVertices[Vertex],0)),1,1,"")</f>
        <v>3</v>
      </c>
    </row>
    <row r="57" spans="1:57" x14ac:dyDescent="0.25">
      <c r="A57" s="64" t="s">
        <v>289</v>
      </c>
      <c r="B57" s="64" t="s">
        <v>320</v>
      </c>
      <c r="C57" s="65" t="s">
        <v>2092</v>
      </c>
      <c r="D57" s="66">
        <v>10</v>
      </c>
      <c r="E57" s="67"/>
      <c r="F57" s="68">
        <v>20</v>
      </c>
      <c r="G57" s="65"/>
      <c r="H57" s="69"/>
      <c r="I57" s="70"/>
      <c r="J57" s="70"/>
      <c r="K57" s="35" t="s">
        <v>65</v>
      </c>
      <c r="L57" s="77">
        <v>57</v>
      </c>
      <c r="M5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57" s="72"/>
      <c r="O57" s="79" t="s">
        <v>339</v>
      </c>
      <c r="P57" s="81">
        <v>44405.984942129631</v>
      </c>
      <c r="Q57" s="79" t="s">
        <v>379</v>
      </c>
      <c r="R57" s="79"/>
      <c r="S57" s="79"/>
      <c r="T57" s="85" t="s">
        <v>461</v>
      </c>
      <c r="U57" s="83" t="str">
        <f>HYPERLINK("https://pbs.twimg.com/media/E7a7qL-X0AEub4f.jpg")</f>
        <v>https://pbs.twimg.com/media/E7a7qL-X0AEub4f.jpg</v>
      </c>
      <c r="V57" s="83" t="str">
        <f>HYPERLINK("https://pbs.twimg.com/media/E7a7qL-X0AEub4f.jpg")</f>
        <v>https://pbs.twimg.com/media/E7a7qL-X0AEub4f.jpg</v>
      </c>
      <c r="W57" s="81">
        <v>44405.984942129631</v>
      </c>
      <c r="X57" s="87">
        <v>44405</v>
      </c>
      <c r="Y57" s="85" t="s">
        <v>613</v>
      </c>
      <c r="Z57" s="83" t="str">
        <f>HYPERLINK("https://twitter.com/ucatonsville/status/1420529079518892034")</f>
        <v>https://twitter.com/ucatonsville/status/1420529079518892034</v>
      </c>
      <c r="AA57" s="79"/>
      <c r="AB57" s="79"/>
      <c r="AC57" s="85" t="s">
        <v>793</v>
      </c>
      <c r="AD57" s="79"/>
      <c r="AE57" s="79" t="b">
        <v>0</v>
      </c>
      <c r="AF57" s="79">
        <v>1</v>
      </c>
      <c r="AG57" s="85" t="s">
        <v>872</v>
      </c>
      <c r="AH57" s="79" t="b">
        <v>0</v>
      </c>
      <c r="AI57" s="79" t="s">
        <v>874</v>
      </c>
      <c r="AJ57" s="79"/>
      <c r="AK57" s="85" t="s">
        <v>867</v>
      </c>
      <c r="AL57" s="79" t="b">
        <v>0</v>
      </c>
      <c r="AM57" s="79">
        <v>1</v>
      </c>
      <c r="AN57" s="85" t="s">
        <v>867</v>
      </c>
      <c r="AO57" s="85" t="s">
        <v>883</v>
      </c>
      <c r="AP57" s="79" t="b">
        <v>0</v>
      </c>
      <c r="AQ57" s="85" t="s">
        <v>793</v>
      </c>
      <c r="AR57" s="79" t="s">
        <v>177</v>
      </c>
      <c r="AS57" s="79">
        <v>0</v>
      </c>
      <c r="AT57" s="79">
        <v>0</v>
      </c>
      <c r="AU57" s="79" t="s">
        <v>893</v>
      </c>
      <c r="AV57" s="79" t="s">
        <v>902</v>
      </c>
      <c r="AW57" s="79" t="s">
        <v>903</v>
      </c>
      <c r="AX57" s="79" t="s">
        <v>906</v>
      </c>
      <c r="AY57" s="79" t="s">
        <v>916</v>
      </c>
      <c r="AZ57" s="79" t="s">
        <v>906</v>
      </c>
      <c r="BA57" s="79" t="s">
        <v>931</v>
      </c>
      <c r="BB57" s="83" t="str">
        <f>HYPERLINK("https://api.twitter.com/1.1/geo/id/11dca57e8e54e001.json")</f>
        <v>https://api.twitter.com/1.1/geo/id/11dca57e8e54e001.json</v>
      </c>
      <c r="BC57">
        <v>11</v>
      </c>
      <c r="BD57" s="78" t="str">
        <f>REPLACE(INDEX(GroupVertices[Group], MATCH(Edges[[#This Row],[Vertex 1]],GroupVertices[Vertex],0)),1,1,"")</f>
        <v>3</v>
      </c>
      <c r="BE57" s="78" t="str">
        <f>REPLACE(INDEX(GroupVertices[Group], MATCH(Edges[[#This Row],[Vertex 2]],GroupVertices[Vertex],0)),1,1,"")</f>
        <v>3</v>
      </c>
    </row>
    <row r="58" spans="1:57" x14ac:dyDescent="0.25">
      <c r="A58" s="64" t="s">
        <v>289</v>
      </c>
      <c r="B58" s="64" t="s">
        <v>320</v>
      </c>
      <c r="C58" s="65" t="s">
        <v>2092</v>
      </c>
      <c r="D58" s="66">
        <v>10</v>
      </c>
      <c r="E58" s="67"/>
      <c r="F58" s="68">
        <v>20</v>
      </c>
      <c r="G58" s="65"/>
      <c r="H58" s="69"/>
      <c r="I58" s="70"/>
      <c r="J58" s="70"/>
      <c r="K58" s="35" t="s">
        <v>65</v>
      </c>
      <c r="L58" s="77">
        <v>58</v>
      </c>
      <c r="M5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58" s="72"/>
      <c r="O58" s="79" t="s">
        <v>339</v>
      </c>
      <c r="P58" s="81">
        <v>44405.98541666667</v>
      </c>
      <c r="Q58" s="79" t="s">
        <v>387</v>
      </c>
      <c r="R58" s="79"/>
      <c r="S58" s="79"/>
      <c r="T58" s="85" t="s">
        <v>461</v>
      </c>
      <c r="U58" s="83" t="str">
        <f>HYPERLINK("https://pbs.twimg.com/media/E7a70a7XEAQb9EK.jpg")</f>
        <v>https://pbs.twimg.com/media/E7a70a7XEAQb9EK.jpg</v>
      </c>
      <c r="V58" s="83" t="str">
        <f>HYPERLINK("https://pbs.twimg.com/media/E7a70a7XEAQb9EK.jpg")</f>
        <v>https://pbs.twimg.com/media/E7a70a7XEAQb9EK.jpg</v>
      </c>
      <c r="W58" s="81">
        <v>44405.98541666667</v>
      </c>
      <c r="X58" s="87">
        <v>44405</v>
      </c>
      <c r="Y58" s="85" t="s">
        <v>614</v>
      </c>
      <c r="Z58" s="83" t="str">
        <f>HYPERLINK("https://twitter.com/ucatonsville/status/1420529251510542348")</f>
        <v>https://twitter.com/ucatonsville/status/1420529251510542348</v>
      </c>
      <c r="AA58" s="79"/>
      <c r="AB58" s="79"/>
      <c r="AC58" s="85" t="s">
        <v>794</v>
      </c>
      <c r="AD58" s="79"/>
      <c r="AE58" s="79" t="b">
        <v>0</v>
      </c>
      <c r="AF58" s="79">
        <v>0</v>
      </c>
      <c r="AG58" s="85" t="s">
        <v>872</v>
      </c>
      <c r="AH58" s="79" t="b">
        <v>0</v>
      </c>
      <c r="AI58" s="79" t="s">
        <v>874</v>
      </c>
      <c r="AJ58" s="79"/>
      <c r="AK58" s="85" t="s">
        <v>867</v>
      </c>
      <c r="AL58" s="79" t="b">
        <v>0</v>
      </c>
      <c r="AM58" s="79">
        <v>0</v>
      </c>
      <c r="AN58" s="85" t="s">
        <v>867</v>
      </c>
      <c r="AO58" s="85" t="s">
        <v>883</v>
      </c>
      <c r="AP58" s="79" t="b">
        <v>0</v>
      </c>
      <c r="AQ58" s="85" t="s">
        <v>794</v>
      </c>
      <c r="AR58" s="79" t="s">
        <v>177</v>
      </c>
      <c r="AS58" s="79">
        <v>0</v>
      </c>
      <c r="AT58" s="79">
        <v>0</v>
      </c>
      <c r="AU58" s="79" t="s">
        <v>893</v>
      </c>
      <c r="AV58" s="79" t="s">
        <v>902</v>
      </c>
      <c r="AW58" s="79" t="s">
        <v>903</v>
      </c>
      <c r="AX58" s="79" t="s">
        <v>906</v>
      </c>
      <c r="AY58" s="79" t="s">
        <v>916</v>
      </c>
      <c r="AZ58" s="79" t="s">
        <v>906</v>
      </c>
      <c r="BA58" s="79" t="s">
        <v>931</v>
      </c>
      <c r="BB58" s="83" t="str">
        <f>HYPERLINK("https://api.twitter.com/1.1/geo/id/11dca57e8e54e001.json")</f>
        <v>https://api.twitter.com/1.1/geo/id/11dca57e8e54e001.json</v>
      </c>
      <c r="BC58">
        <v>11</v>
      </c>
      <c r="BD58" s="78" t="str">
        <f>REPLACE(INDEX(GroupVertices[Group], MATCH(Edges[[#This Row],[Vertex 1]],GroupVertices[Vertex],0)),1,1,"")</f>
        <v>3</v>
      </c>
      <c r="BE58" s="78" t="str">
        <f>REPLACE(INDEX(GroupVertices[Group], MATCH(Edges[[#This Row],[Vertex 2]],GroupVertices[Vertex],0)),1,1,"")</f>
        <v>3</v>
      </c>
    </row>
    <row r="59" spans="1:57" x14ac:dyDescent="0.25">
      <c r="A59" s="64" t="s">
        <v>289</v>
      </c>
      <c r="B59" s="64" t="s">
        <v>320</v>
      </c>
      <c r="C59" s="65" t="s">
        <v>2092</v>
      </c>
      <c r="D59" s="66">
        <v>10</v>
      </c>
      <c r="E59" s="67"/>
      <c r="F59" s="68">
        <v>20</v>
      </c>
      <c r="G59" s="65"/>
      <c r="H59" s="69"/>
      <c r="I59" s="70"/>
      <c r="J59" s="70"/>
      <c r="K59" s="35" t="s">
        <v>65</v>
      </c>
      <c r="L59" s="77">
        <v>59</v>
      </c>
      <c r="M5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59" s="72"/>
      <c r="O59" s="79" t="s">
        <v>339</v>
      </c>
      <c r="P59" s="81">
        <v>44405.986250000002</v>
      </c>
      <c r="Q59" s="79" t="s">
        <v>388</v>
      </c>
      <c r="R59" s="79"/>
      <c r="S59" s="79"/>
      <c r="T59" s="85" t="s">
        <v>461</v>
      </c>
      <c r="U59" s="83" t="str">
        <f>HYPERLINK("https://pbs.twimg.com/media/E7a8GjlXoAg2YCs.jpg")</f>
        <v>https://pbs.twimg.com/media/E7a8GjlXoAg2YCs.jpg</v>
      </c>
      <c r="V59" s="83" t="str">
        <f>HYPERLINK("https://pbs.twimg.com/media/E7a8GjlXoAg2YCs.jpg")</f>
        <v>https://pbs.twimg.com/media/E7a8GjlXoAg2YCs.jpg</v>
      </c>
      <c r="W59" s="81">
        <v>44405.986250000002</v>
      </c>
      <c r="X59" s="87">
        <v>44405</v>
      </c>
      <c r="Y59" s="85" t="s">
        <v>615</v>
      </c>
      <c r="Z59" s="83" t="str">
        <f>HYPERLINK("https://twitter.com/ucatonsville/status/1420529556025380864")</f>
        <v>https://twitter.com/ucatonsville/status/1420529556025380864</v>
      </c>
      <c r="AA59" s="79"/>
      <c r="AB59" s="79"/>
      <c r="AC59" s="85" t="s">
        <v>795</v>
      </c>
      <c r="AD59" s="79"/>
      <c r="AE59" s="79" t="b">
        <v>0</v>
      </c>
      <c r="AF59" s="79">
        <v>0</v>
      </c>
      <c r="AG59" s="85" t="s">
        <v>872</v>
      </c>
      <c r="AH59" s="79" t="b">
        <v>0</v>
      </c>
      <c r="AI59" s="79" t="s">
        <v>874</v>
      </c>
      <c r="AJ59" s="79"/>
      <c r="AK59" s="85" t="s">
        <v>867</v>
      </c>
      <c r="AL59" s="79" t="b">
        <v>0</v>
      </c>
      <c r="AM59" s="79">
        <v>0</v>
      </c>
      <c r="AN59" s="85" t="s">
        <v>867</v>
      </c>
      <c r="AO59" s="85" t="s">
        <v>883</v>
      </c>
      <c r="AP59" s="79" t="b">
        <v>0</v>
      </c>
      <c r="AQ59" s="85" t="s">
        <v>795</v>
      </c>
      <c r="AR59" s="79" t="s">
        <v>177</v>
      </c>
      <c r="AS59" s="79">
        <v>0</v>
      </c>
      <c r="AT59" s="79">
        <v>0</v>
      </c>
      <c r="AU59" s="79"/>
      <c r="AV59" s="79"/>
      <c r="AW59" s="79"/>
      <c r="AX59" s="79"/>
      <c r="AY59" s="79"/>
      <c r="AZ59" s="79"/>
      <c r="BA59" s="79"/>
      <c r="BB59" s="79"/>
      <c r="BC59">
        <v>11</v>
      </c>
      <c r="BD59" s="78" t="str">
        <f>REPLACE(INDEX(GroupVertices[Group], MATCH(Edges[[#This Row],[Vertex 1]],GroupVertices[Vertex],0)),1,1,"")</f>
        <v>3</v>
      </c>
      <c r="BE59" s="78" t="str">
        <f>REPLACE(INDEX(GroupVertices[Group], MATCH(Edges[[#This Row],[Vertex 2]],GroupVertices[Vertex],0)),1,1,"")</f>
        <v>3</v>
      </c>
    </row>
    <row r="60" spans="1:57" x14ac:dyDescent="0.25">
      <c r="A60" s="64" t="s">
        <v>289</v>
      </c>
      <c r="B60" s="64" t="s">
        <v>320</v>
      </c>
      <c r="C60" s="65" t="s">
        <v>2092</v>
      </c>
      <c r="D60" s="66">
        <v>10</v>
      </c>
      <c r="E60" s="67"/>
      <c r="F60" s="68">
        <v>20</v>
      </c>
      <c r="G60" s="65"/>
      <c r="H60" s="69"/>
      <c r="I60" s="70"/>
      <c r="J60" s="70"/>
      <c r="K60" s="35" t="s">
        <v>65</v>
      </c>
      <c r="L60" s="77">
        <v>60</v>
      </c>
      <c r="M6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60" s="72"/>
      <c r="O60" s="79" t="s">
        <v>339</v>
      </c>
      <c r="P60" s="81">
        <v>44405.986550925925</v>
      </c>
      <c r="Q60" s="79" t="s">
        <v>389</v>
      </c>
      <c r="R60" s="79"/>
      <c r="S60" s="79"/>
      <c r="T60" s="85" t="s">
        <v>461</v>
      </c>
      <c r="U60" s="83" t="str">
        <f>HYPERLINK("https://pbs.twimg.com/media/E7a8M1bXEAQWb44.jpg")</f>
        <v>https://pbs.twimg.com/media/E7a8M1bXEAQWb44.jpg</v>
      </c>
      <c r="V60" s="83" t="str">
        <f>HYPERLINK("https://pbs.twimg.com/media/E7a8M1bXEAQWb44.jpg")</f>
        <v>https://pbs.twimg.com/media/E7a8M1bXEAQWb44.jpg</v>
      </c>
      <c r="W60" s="81">
        <v>44405.986550925925</v>
      </c>
      <c r="X60" s="87">
        <v>44405</v>
      </c>
      <c r="Y60" s="85" t="s">
        <v>616</v>
      </c>
      <c r="Z60" s="83" t="str">
        <f>HYPERLINK("https://twitter.com/ucatonsville/status/1420529664280469510")</f>
        <v>https://twitter.com/ucatonsville/status/1420529664280469510</v>
      </c>
      <c r="AA60" s="79"/>
      <c r="AB60" s="79"/>
      <c r="AC60" s="85" t="s">
        <v>796</v>
      </c>
      <c r="AD60" s="79"/>
      <c r="AE60" s="79" t="b">
        <v>0</v>
      </c>
      <c r="AF60" s="79">
        <v>0</v>
      </c>
      <c r="AG60" s="85" t="s">
        <v>872</v>
      </c>
      <c r="AH60" s="79" t="b">
        <v>0</v>
      </c>
      <c r="AI60" s="79" t="s">
        <v>874</v>
      </c>
      <c r="AJ60" s="79"/>
      <c r="AK60" s="85" t="s">
        <v>867</v>
      </c>
      <c r="AL60" s="79" t="b">
        <v>0</v>
      </c>
      <c r="AM60" s="79">
        <v>0</v>
      </c>
      <c r="AN60" s="85" t="s">
        <v>867</v>
      </c>
      <c r="AO60" s="85" t="s">
        <v>883</v>
      </c>
      <c r="AP60" s="79" t="b">
        <v>0</v>
      </c>
      <c r="AQ60" s="85" t="s">
        <v>796</v>
      </c>
      <c r="AR60" s="79" t="s">
        <v>177</v>
      </c>
      <c r="AS60" s="79">
        <v>0</v>
      </c>
      <c r="AT60" s="79">
        <v>0</v>
      </c>
      <c r="AU60" s="79"/>
      <c r="AV60" s="79"/>
      <c r="AW60" s="79"/>
      <c r="AX60" s="79"/>
      <c r="AY60" s="79"/>
      <c r="AZ60" s="79"/>
      <c r="BA60" s="79"/>
      <c r="BB60" s="79"/>
      <c r="BC60">
        <v>11</v>
      </c>
      <c r="BD60" s="78" t="str">
        <f>REPLACE(INDEX(GroupVertices[Group], MATCH(Edges[[#This Row],[Vertex 1]],GroupVertices[Vertex],0)),1,1,"")</f>
        <v>3</v>
      </c>
      <c r="BE60" s="78" t="str">
        <f>REPLACE(INDEX(GroupVertices[Group], MATCH(Edges[[#This Row],[Vertex 2]],GroupVertices[Vertex],0)),1,1,"")</f>
        <v>3</v>
      </c>
    </row>
    <row r="61" spans="1:57" x14ac:dyDescent="0.25">
      <c r="A61" s="64" t="s">
        <v>289</v>
      </c>
      <c r="B61" s="64" t="s">
        <v>320</v>
      </c>
      <c r="C61" s="65" t="s">
        <v>2092</v>
      </c>
      <c r="D61" s="66">
        <v>10</v>
      </c>
      <c r="E61" s="67"/>
      <c r="F61" s="68">
        <v>20</v>
      </c>
      <c r="G61" s="65"/>
      <c r="H61" s="69"/>
      <c r="I61" s="70"/>
      <c r="J61" s="70"/>
      <c r="K61" s="35" t="s">
        <v>65</v>
      </c>
      <c r="L61" s="77">
        <v>61</v>
      </c>
      <c r="M6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61" s="72"/>
      <c r="O61" s="79" t="s">
        <v>339</v>
      </c>
      <c r="P61" s="81">
        <v>44405.987962962965</v>
      </c>
      <c r="Q61" s="79" t="s">
        <v>390</v>
      </c>
      <c r="R61" s="79"/>
      <c r="S61" s="79"/>
      <c r="T61" s="85" t="s">
        <v>461</v>
      </c>
      <c r="U61" s="83" t="str">
        <f>HYPERLINK("https://pbs.twimg.com/media/E7a8qbhWYAAJ_Pp.jpg")</f>
        <v>https://pbs.twimg.com/media/E7a8qbhWYAAJ_Pp.jpg</v>
      </c>
      <c r="V61" s="83" t="str">
        <f>HYPERLINK("https://pbs.twimg.com/media/E7a8qbhWYAAJ_Pp.jpg")</f>
        <v>https://pbs.twimg.com/media/E7a8qbhWYAAJ_Pp.jpg</v>
      </c>
      <c r="W61" s="81">
        <v>44405.987962962965</v>
      </c>
      <c r="X61" s="87">
        <v>44405</v>
      </c>
      <c r="Y61" s="85" t="s">
        <v>617</v>
      </c>
      <c r="Z61" s="83" t="str">
        <f>HYPERLINK("https://twitter.com/ucatonsville/status/1420530173947088905")</f>
        <v>https://twitter.com/ucatonsville/status/1420530173947088905</v>
      </c>
      <c r="AA61" s="79"/>
      <c r="AB61" s="79"/>
      <c r="AC61" s="85" t="s">
        <v>797</v>
      </c>
      <c r="AD61" s="79"/>
      <c r="AE61" s="79" t="b">
        <v>0</v>
      </c>
      <c r="AF61" s="79">
        <v>0</v>
      </c>
      <c r="AG61" s="85" t="s">
        <v>872</v>
      </c>
      <c r="AH61" s="79" t="b">
        <v>0</v>
      </c>
      <c r="AI61" s="79" t="s">
        <v>874</v>
      </c>
      <c r="AJ61" s="79"/>
      <c r="AK61" s="85" t="s">
        <v>867</v>
      </c>
      <c r="AL61" s="79" t="b">
        <v>0</v>
      </c>
      <c r="AM61" s="79">
        <v>0</v>
      </c>
      <c r="AN61" s="85" t="s">
        <v>867</v>
      </c>
      <c r="AO61" s="85" t="s">
        <v>883</v>
      </c>
      <c r="AP61" s="79" t="b">
        <v>0</v>
      </c>
      <c r="AQ61" s="85" t="s">
        <v>797</v>
      </c>
      <c r="AR61" s="79" t="s">
        <v>177</v>
      </c>
      <c r="AS61" s="79">
        <v>0</v>
      </c>
      <c r="AT61" s="79">
        <v>0</v>
      </c>
      <c r="AU61" s="79"/>
      <c r="AV61" s="79"/>
      <c r="AW61" s="79"/>
      <c r="AX61" s="79"/>
      <c r="AY61" s="79"/>
      <c r="AZ61" s="79"/>
      <c r="BA61" s="79"/>
      <c r="BB61" s="79"/>
      <c r="BC61">
        <v>11</v>
      </c>
      <c r="BD61" s="78" t="str">
        <f>REPLACE(INDEX(GroupVertices[Group], MATCH(Edges[[#This Row],[Vertex 1]],GroupVertices[Vertex],0)),1,1,"")</f>
        <v>3</v>
      </c>
      <c r="BE61" s="78" t="str">
        <f>REPLACE(INDEX(GroupVertices[Group], MATCH(Edges[[#This Row],[Vertex 2]],GroupVertices[Vertex],0)),1,1,"")</f>
        <v>3</v>
      </c>
    </row>
    <row r="62" spans="1:57" x14ac:dyDescent="0.25">
      <c r="A62" s="64" t="s">
        <v>289</v>
      </c>
      <c r="B62" s="64" t="s">
        <v>320</v>
      </c>
      <c r="C62" s="65" t="s">
        <v>2092</v>
      </c>
      <c r="D62" s="66">
        <v>10</v>
      </c>
      <c r="E62" s="67"/>
      <c r="F62" s="68">
        <v>20</v>
      </c>
      <c r="G62" s="65"/>
      <c r="H62" s="69"/>
      <c r="I62" s="70"/>
      <c r="J62" s="70"/>
      <c r="K62" s="35" t="s">
        <v>65</v>
      </c>
      <c r="L62" s="77">
        <v>62</v>
      </c>
      <c r="M6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62" s="72"/>
      <c r="O62" s="79" t="s">
        <v>339</v>
      </c>
      <c r="P62" s="81">
        <v>44405.997476851851</v>
      </c>
      <c r="Q62" s="79" t="s">
        <v>378</v>
      </c>
      <c r="R62" s="79"/>
      <c r="S62" s="79"/>
      <c r="T62" s="85" t="s">
        <v>461</v>
      </c>
      <c r="U62" s="83" t="str">
        <f>HYPERLINK("https://pbs.twimg.com/media/E7a_y_LXIAEIoB-.jpg")</f>
        <v>https://pbs.twimg.com/media/E7a_y_LXIAEIoB-.jpg</v>
      </c>
      <c r="V62" s="83" t="str">
        <f>HYPERLINK("https://pbs.twimg.com/media/E7a_y_LXIAEIoB-.jpg")</f>
        <v>https://pbs.twimg.com/media/E7a_y_LXIAEIoB-.jpg</v>
      </c>
      <c r="W62" s="81">
        <v>44405.997476851851</v>
      </c>
      <c r="X62" s="87">
        <v>44405</v>
      </c>
      <c r="Y62" s="85" t="s">
        <v>618</v>
      </c>
      <c r="Z62" s="83" t="str">
        <f>HYPERLINK("https://twitter.com/ucatonsville/status/1420533623971848193")</f>
        <v>https://twitter.com/ucatonsville/status/1420533623971848193</v>
      </c>
      <c r="AA62" s="79"/>
      <c r="AB62" s="79"/>
      <c r="AC62" s="85" t="s">
        <v>798</v>
      </c>
      <c r="AD62" s="79"/>
      <c r="AE62" s="79" t="b">
        <v>0</v>
      </c>
      <c r="AF62" s="79">
        <v>1</v>
      </c>
      <c r="AG62" s="85" t="s">
        <v>872</v>
      </c>
      <c r="AH62" s="79" t="b">
        <v>0</v>
      </c>
      <c r="AI62" s="79" t="s">
        <v>874</v>
      </c>
      <c r="AJ62" s="79"/>
      <c r="AK62" s="85" t="s">
        <v>867</v>
      </c>
      <c r="AL62" s="79" t="b">
        <v>0</v>
      </c>
      <c r="AM62" s="79">
        <v>1</v>
      </c>
      <c r="AN62" s="85" t="s">
        <v>867</v>
      </c>
      <c r="AO62" s="85" t="s">
        <v>883</v>
      </c>
      <c r="AP62" s="79" t="b">
        <v>0</v>
      </c>
      <c r="AQ62" s="85" t="s">
        <v>798</v>
      </c>
      <c r="AR62" s="79" t="s">
        <v>177</v>
      </c>
      <c r="AS62" s="79">
        <v>0</v>
      </c>
      <c r="AT62" s="79">
        <v>0</v>
      </c>
      <c r="AU62" s="79" t="s">
        <v>894</v>
      </c>
      <c r="AV62" s="79" t="s">
        <v>902</v>
      </c>
      <c r="AW62" s="79" t="s">
        <v>903</v>
      </c>
      <c r="AX62" s="79" t="s">
        <v>907</v>
      </c>
      <c r="AY62" s="79" t="s">
        <v>917</v>
      </c>
      <c r="AZ62" s="79" t="s">
        <v>907</v>
      </c>
      <c r="BA62" s="79" t="s">
        <v>931</v>
      </c>
      <c r="BB62" s="83" t="str">
        <f>HYPERLINK("https://api.twitter.com/1.1/geo/id/07d9ec6f99488000.json")</f>
        <v>https://api.twitter.com/1.1/geo/id/07d9ec6f99488000.json</v>
      </c>
      <c r="BC62">
        <v>11</v>
      </c>
      <c r="BD62" s="78" t="str">
        <f>REPLACE(INDEX(GroupVertices[Group], MATCH(Edges[[#This Row],[Vertex 1]],GroupVertices[Vertex],0)),1,1,"")</f>
        <v>3</v>
      </c>
      <c r="BE62" s="78" t="str">
        <f>REPLACE(INDEX(GroupVertices[Group], MATCH(Edges[[#This Row],[Vertex 2]],GroupVertices[Vertex],0)),1,1,"")</f>
        <v>3</v>
      </c>
    </row>
    <row r="63" spans="1:57" x14ac:dyDescent="0.25">
      <c r="A63" s="64" t="s">
        <v>289</v>
      </c>
      <c r="B63" s="64" t="s">
        <v>320</v>
      </c>
      <c r="C63" s="65" t="s">
        <v>2092</v>
      </c>
      <c r="D63" s="66">
        <v>10</v>
      </c>
      <c r="E63" s="67"/>
      <c r="F63" s="68">
        <v>20</v>
      </c>
      <c r="G63" s="65"/>
      <c r="H63" s="69"/>
      <c r="I63" s="70"/>
      <c r="J63" s="70"/>
      <c r="K63" s="35" t="s">
        <v>65</v>
      </c>
      <c r="L63" s="77">
        <v>63</v>
      </c>
      <c r="M6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63" s="72"/>
      <c r="O63" s="79" t="s">
        <v>339</v>
      </c>
      <c r="P63" s="81">
        <v>44406.62605324074</v>
      </c>
      <c r="Q63" s="79" t="s">
        <v>366</v>
      </c>
      <c r="R63" s="79"/>
      <c r="S63" s="79"/>
      <c r="T63" s="85" t="s">
        <v>461</v>
      </c>
      <c r="U63" s="83" t="str">
        <f t="shared" ref="U63:V65" si="1">HYPERLINK("https://pbs.twimg.com/media/E7eO9zIVUAEjK-g.jpg")</f>
        <v>https://pbs.twimg.com/media/E7eO9zIVUAEjK-g.jpg</v>
      </c>
      <c r="V63" s="83" t="str">
        <f t="shared" si="1"/>
        <v>https://pbs.twimg.com/media/E7eO9zIVUAEjK-g.jpg</v>
      </c>
      <c r="W63" s="81">
        <v>44406.62605324074</v>
      </c>
      <c r="X63" s="87">
        <v>44406</v>
      </c>
      <c r="Y63" s="85" t="s">
        <v>619</v>
      </c>
      <c r="Z63" s="83" t="str">
        <f>HYPERLINK("https://twitter.com/ucatonsville/status/1420761412998209539")</f>
        <v>https://twitter.com/ucatonsville/status/1420761412998209539</v>
      </c>
      <c r="AA63" s="79"/>
      <c r="AB63" s="79"/>
      <c r="AC63" s="85" t="s">
        <v>799</v>
      </c>
      <c r="AD63" s="79"/>
      <c r="AE63" s="79" t="b">
        <v>0</v>
      </c>
      <c r="AF63" s="79">
        <v>6</v>
      </c>
      <c r="AG63" s="85" t="s">
        <v>867</v>
      </c>
      <c r="AH63" s="79" t="b">
        <v>0</v>
      </c>
      <c r="AI63" s="79" t="s">
        <v>874</v>
      </c>
      <c r="AJ63" s="79"/>
      <c r="AK63" s="85" t="s">
        <v>867</v>
      </c>
      <c r="AL63" s="79" t="b">
        <v>0</v>
      </c>
      <c r="AM63" s="79">
        <v>4</v>
      </c>
      <c r="AN63" s="85" t="s">
        <v>867</v>
      </c>
      <c r="AO63" s="85" t="s">
        <v>883</v>
      </c>
      <c r="AP63" s="79" t="b">
        <v>0</v>
      </c>
      <c r="AQ63" s="85" t="s">
        <v>799</v>
      </c>
      <c r="AR63" s="79" t="s">
        <v>177</v>
      </c>
      <c r="AS63" s="79">
        <v>0</v>
      </c>
      <c r="AT63" s="79">
        <v>0</v>
      </c>
      <c r="AU63" s="79" t="s">
        <v>894</v>
      </c>
      <c r="AV63" s="79" t="s">
        <v>902</v>
      </c>
      <c r="AW63" s="79" t="s">
        <v>903</v>
      </c>
      <c r="AX63" s="79" t="s">
        <v>907</v>
      </c>
      <c r="AY63" s="79" t="s">
        <v>917</v>
      </c>
      <c r="AZ63" s="79" t="s">
        <v>907</v>
      </c>
      <c r="BA63" s="79" t="s">
        <v>931</v>
      </c>
      <c r="BB63" s="83" t="str">
        <f>HYPERLINK("https://api.twitter.com/1.1/geo/id/07d9ec6f99488000.json")</f>
        <v>https://api.twitter.com/1.1/geo/id/07d9ec6f99488000.json</v>
      </c>
      <c r="BC63">
        <v>11</v>
      </c>
      <c r="BD63" s="78" t="str">
        <f>REPLACE(INDEX(GroupVertices[Group], MATCH(Edges[[#This Row],[Vertex 1]],GroupVertices[Vertex],0)),1,1,"")</f>
        <v>3</v>
      </c>
      <c r="BE63" s="78" t="str">
        <f>REPLACE(INDEX(GroupVertices[Group], MATCH(Edges[[#This Row],[Vertex 2]],GroupVertices[Vertex],0)),1,1,"")</f>
        <v>3</v>
      </c>
    </row>
    <row r="64" spans="1:57" x14ac:dyDescent="0.25">
      <c r="A64" s="64" t="s">
        <v>265</v>
      </c>
      <c r="B64" s="64" t="s">
        <v>289</v>
      </c>
      <c r="C64" s="65" t="s">
        <v>2093</v>
      </c>
      <c r="D64" s="66">
        <v>9.3000000000000007</v>
      </c>
      <c r="E64" s="67"/>
      <c r="F64" s="68">
        <v>22</v>
      </c>
      <c r="G64" s="65"/>
      <c r="H64" s="69"/>
      <c r="I64" s="70"/>
      <c r="J64" s="70"/>
      <c r="K64" s="35" t="s">
        <v>65</v>
      </c>
      <c r="L64" s="77">
        <v>64</v>
      </c>
      <c r="M6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64" s="72"/>
      <c r="O64" s="79" t="s">
        <v>337</v>
      </c>
      <c r="P64" s="81">
        <v>44406.629803240743</v>
      </c>
      <c r="Q64" s="79" t="s">
        <v>366</v>
      </c>
      <c r="R64" s="79"/>
      <c r="S64" s="79"/>
      <c r="T64" s="85" t="s">
        <v>461</v>
      </c>
      <c r="U64" s="83" t="str">
        <f t="shared" si="1"/>
        <v>https://pbs.twimg.com/media/E7eO9zIVUAEjK-g.jpg</v>
      </c>
      <c r="V64" s="83" t="str">
        <f t="shared" si="1"/>
        <v>https://pbs.twimg.com/media/E7eO9zIVUAEjK-g.jpg</v>
      </c>
      <c r="W64" s="81">
        <v>44406.629803240743</v>
      </c>
      <c r="X64" s="87">
        <v>44406</v>
      </c>
      <c r="Y64" s="85" t="s">
        <v>563</v>
      </c>
      <c r="Z64" s="83" t="str">
        <f>HYPERLINK("https://twitter.com/tabuwinslow/status/1420762771801530374")</f>
        <v>https://twitter.com/tabuwinslow/status/1420762771801530374</v>
      </c>
      <c r="AA64" s="79"/>
      <c r="AB64" s="79"/>
      <c r="AC64" s="85" t="s">
        <v>742</v>
      </c>
      <c r="AD64" s="79"/>
      <c r="AE64" s="79" t="b">
        <v>0</v>
      </c>
      <c r="AF64" s="79">
        <v>0</v>
      </c>
      <c r="AG64" s="85" t="s">
        <v>867</v>
      </c>
      <c r="AH64" s="79" t="b">
        <v>0</v>
      </c>
      <c r="AI64" s="79" t="s">
        <v>874</v>
      </c>
      <c r="AJ64" s="79"/>
      <c r="AK64" s="85" t="s">
        <v>867</v>
      </c>
      <c r="AL64" s="79" t="b">
        <v>0</v>
      </c>
      <c r="AM64" s="79">
        <v>4</v>
      </c>
      <c r="AN64" s="85" t="s">
        <v>799</v>
      </c>
      <c r="AO64" s="85" t="s">
        <v>887</v>
      </c>
      <c r="AP64" s="79" t="b">
        <v>0</v>
      </c>
      <c r="AQ64" s="85" t="s">
        <v>799</v>
      </c>
      <c r="AR64" s="79" t="s">
        <v>177</v>
      </c>
      <c r="AS64" s="79">
        <v>0</v>
      </c>
      <c r="AT64" s="79">
        <v>0</v>
      </c>
      <c r="AU64" s="79"/>
      <c r="AV64" s="79"/>
      <c r="AW64" s="79"/>
      <c r="AX64" s="79"/>
      <c r="AY64" s="79"/>
      <c r="AZ64" s="79"/>
      <c r="BA64" s="79"/>
      <c r="BB64" s="79"/>
      <c r="BC64">
        <v>10</v>
      </c>
      <c r="BD64" s="78" t="str">
        <f>REPLACE(INDEX(GroupVertices[Group], MATCH(Edges[[#This Row],[Vertex 1]],GroupVertices[Vertex],0)),1,1,"")</f>
        <v>3</v>
      </c>
      <c r="BE64" s="78" t="str">
        <f>REPLACE(INDEX(GroupVertices[Group], MATCH(Edges[[#This Row],[Vertex 2]],GroupVertices[Vertex],0)),1,1,"")</f>
        <v>3</v>
      </c>
    </row>
    <row r="65" spans="1:57" x14ac:dyDescent="0.25">
      <c r="A65" s="64" t="s">
        <v>265</v>
      </c>
      <c r="B65" s="64" t="s">
        <v>289</v>
      </c>
      <c r="C65" s="65" t="s">
        <v>2093</v>
      </c>
      <c r="D65" s="66">
        <v>9.3000000000000007</v>
      </c>
      <c r="E65" s="67"/>
      <c r="F65" s="68">
        <v>22</v>
      </c>
      <c r="G65" s="65"/>
      <c r="H65" s="69"/>
      <c r="I65" s="70"/>
      <c r="J65" s="70"/>
      <c r="K65" s="35" t="s">
        <v>65</v>
      </c>
      <c r="L65" s="77">
        <v>65</v>
      </c>
      <c r="M6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65" s="72"/>
      <c r="O65" s="79" t="s">
        <v>338</v>
      </c>
      <c r="P65" s="81">
        <v>44406.629803240743</v>
      </c>
      <c r="Q65" s="79" t="s">
        <v>366</v>
      </c>
      <c r="R65" s="79"/>
      <c r="S65" s="79"/>
      <c r="T65" s="85" t="s">
        <v>461</v>
      </c>
      <c r="U65" s="83" t="str">
        <f t="shared" si="1"/>
        <v>https://pbs.twimg.com/media/E7eO9zIVUAEjK-g.jpg</v>
      </c>
      <c r="V65" s="83" t="str">
        <f t="shared" si="1"/>
        <v>https://pbs.twimg.com/media/E7eO9zIVUAEjK-g.jpg</v>
      </c>
      <c r="W65" s="81">
        <v>44406.629803240743</v>
      </c>
      <c r="X65" s="87">
        <v>44406</v>
      </c>
      <c r="Y65" s="85" t="s">
        <v>563</v>
      </c>
      <c r="Z65" s="83" t="str">
        <f>HYPERLINK("https://twitter.com/tabuwinslow/status/1420762771801530374")</f>
        <v>https://twitter.com/tabuwinslow/status/1420762771801530374</v>
      </c>
      <c r="AA65" s="79"/>
      <c r="AB65" s="79"/>
      <c r="AC65" s="85" t="s">
        <v>742</v>
      </c>
      <c r="AD65" s="79"/>
      <c r="AE65" s="79" t="b">
        <v>0</v>
      </c>
      <c r="AF65" s="79">
        <v>0</v>
      </c>
      <c r="AG65" s="85" t="s">
        <v>867</v>
      </c>
      <c r="AH65" s="79" t="b">
        <v>0</v>
      </c>
      <c r="AI65" s="79" t="s">
        <v>874</v>
      </c>
      <c r="AJ65" s="79"/>
      <c r="AK65" s="85" t="s">
        <v>867</v>
      </c>
      <c r="AL65" s="79" t="b">
        <v>0</v>
      </c>
      <c r="AM65" s="79">
        <v>4</v>
      </c>
      <c r="AN65" s="85" t="s">
        <v>799</v>
      </c>
      <c r="AO65" s="85" t="s">
        <v>887</v>
      </c>
      <c r="AP65" s="79" t="b">
        <v>0</v>
      </c>
      <c r="AQ65" s="85" t="s">
        <v>799</v>
      </c>
      <c r="AR65" s="79" t="s">
        <v>177</v>
      </c>
      <c r="AS65" s="79">
        <v>0</v>
      </c>
      <c r="AT65" s="79">
        <v>0</v>
      </c>
      <c r="AU65" s="79"/>
      <c r="AV65" s="79"/>
      <c r="AW65" s="79"/>
      <c r="AX65" s="79"/>
      <c r="AY65" s="79"/>
      <c r="AZ65" s="79"/>
      <c r="BA65" s="79"/>
      <c r="BB65" s="79"/>
      <c r="BC65">
        <v>10</v>
      </c>
      <c r="BD65" s="78" t="str">
        <f>REPLACE(INDEX(GroupVertices[Group], MATCH(Edges[[#This Row],[Vertex 1]],GroupVertices[Vertex],0)),1,1,"")</f>
        <v>3</v>
      </c>
      <c r="BE65" s="78" t="str">
        <f>REPLACE(INDEX(GroupVertices[Group], MATCH(Edges[[#This Row],[Vertex 2]],GroupVertices[Vertex],0)),1,1,"")</f>
        <v>3</v>
      </c>
    </row>
    <row r="66" spans="1:57" x14ac:dyDescent="0.25">
      <c r="A66" s="64" t="s">
        <v>265</v>
      </c>
      <c r="B66" s="64" t="s">
        <v>289</v>
      </c>
      <c r="C66" s="65" t="s">
        <v>2093</v>
      </c>
      <c r="D66" s="66">
        <v>9.3000000000000007</v>
      </c>
      <c r="E66" s="67"/>
      <c r="F66" s="68">
        <v>22</v>
      </c>
      <c r="G66" s="65"/>
      <c r="H66" s="69"/>
      <c r="I66" s="70"/>
      <c r="J66" s="70"/>
      <c r="K66" s="35" t="s">
        <v>65</v>
      </c>
      <c r="L66" s="77">
        <v>66</v>
      </c>
      <c r="M6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66" s="72"/>
      <c r="O66" s="79" t="s">
        <v>337</v>
      </c>
      <c r="P66" s="81">
        <v>44406.629988425928</v>
      </c>
      <c r="Q66" s="79" t="s">
        <v>367</v>
      </c>
      <c r="R66" s="83" t="str">
        <f>HYPERLINK("https://www.youtube.com/shorts/qku6RAs0B3k?feature=share")</f>
        <v>https://www.youtube.com/shorts/qku6RAs0B3k?feature=share</v>
      </c>
      <c r="S66" s="79" t="s">
        <v>450</v>
      </c>
      <c r="T66" s="85" t="s">
        <v>478</v>
      </c>
      <c r="U66" s="83" t="str">
        <f>HYPERLINK("https://pbs.twimg.com/media/E7T3xyJWQAYfYP3.jpg")</f>
        <v>https://pbs.twimg.com/media/E7T3xyJWQAYfYP3.jpg</v>
      </c>
      <c r="V66" s="83" t="str">
        <f>HYPERLINK("https://pbs.twimg.com/media/E7T3xyJWQAYfYP3.jpg")</f>
        <v>https://pbs.twimg.com/media/E7T3xyJWQAYfYP3.jpg</v>
      </c>
      <c r="W66" s="81">
        <v>44406.629988425928</v>
      </c>
      <c r="X66" s="87">
        <v>44406</v>
      </c>
      <c r="Y66" s="85" t="s">
        <v>564</v>
      </c>
      <c r="Z66" s="83" t="str">
        <f>HYPERLINK("https://twitter.com/tabuwinslow/status/1420762838113587200")</f>
        <v>https://twitter.com/tabuwinslow/status/1420762838113587200</v>
      </c>
      <c r="AA66" s="79"/>
      <c r="AB66" s="79"/>
      <c r="AC66" s="85" t="s">
        <v>743</v>
      </c>
      <c r="AD66" s="79"/>
      <c r="AE66" s="79" t="b">
        <v>0</v>
      </c>
      <c r="AF66" s="79">
        <v>0</v>
      </c>
      <c r="AG66" s="85" t="s">
        <v>867</v>
      </c>
      <c r="AH66" s="79" t="b">
        <v>0</v>
      </c>
      <c r="AI66" s="79" t="s">
        <v>874</v>
      </c>
      <c r="AJ66" s="79"/>
      <c r="AK66" s="85" t="s">
        <v>867</v>
      </c>
      <c r="AL66" s="79" t="b">
        <v>0</v>
      </c>
      <c r="AM66" s="79">
        <v>3</v>
      </c>
      <c r="AN66" s="85" t="s">
        <v>789</v>
      </c>
      <c r="AO66" s="85" t="s">
        <v>887</v>
      </c>
      <c r="AP66" s="79" t="b">
        <v>0</v>
      </c>
      <c r="AQ66" s="85" t="s">
        <v>789</v>
      </c>
      <c r="AR66" s="79" t="s">
        <v>177</v>
      </c>
      <c r="AS66" s="79">
        <v>0</v>
      </c>
      <c r="AT66" s="79">
        <v>0</v>
      </c>
      <c r="AU66" s="79"/>
      <c r="AV66" s="79"/>
      <c r="AW66" s="79"/>
      <c r="AX66" s="79"/>
      <c r="AY66" s="79"/>
      <c r="AZ66" s="79"/>
      <c r="BA66" s="79"/>
      <c r="BB66" s="79"/>
      <c r="BC66">
        <v>10</v>
      </c>
      <c r="BD66" s="78" t="str">
        <f>REPLACE(INDEX(GroupVertices[Group], MATCH(Edges[[#This Row],[Vertex 1]],GroupVertices[Vertex],0)),1,1,"")</f>
        <v>3</v>
      </c>
      <c r="BE66" s="78" t="str">
        <f>REPLACE(INDEX(GroupVertices[Group], MATCH(Edges[[#This Row],[Vertex 2]],GroupVertices[Vertex],0)),1,1,"")</f>
        <v>3</v>
      </c>
    </row>
    <row r="67" spans="1:57" x14ac:dyDescent="0.25">
      <c r="A67" s="64" t="s">
        <v>265</v>
      </c>
      <c r="B67" s="64" t="s">
        <v>289</v>
      </c>
      <c r="C67" s="65" t="s">
        <v>2093</v>
      </c>
      <c r="D67" s="66">
        <v>9.3000000000000007</v>
      </c>
      <c r="E67" s="67"/>
      <c r="F67" s="68">
        <v>22</v>
      </c>
      <c r="G67" s="65"/>
      <c r="H67" s="69"/>
      <c r="I67" s="70"/>
      <c r="J67" s="70"/>
      <c r="K67" s="35" t="s">
        <v>65</v>
      </c>
      <c r="L67" s="77">
        <v>67</v>
      </c>
      <c r="M6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67" s="72"/>
      <c r="O67" s="79" t="s">
        <v>338</v>
      </c>
      <c r="P67" s="81">
        <v>44406.629988425928</v>
      </c>
      <c r="Q67" s="79" t="s">
        <v>367</v>
      </c>
      <c r="R67" s="83" t="str">
        <f>HYPERLINK("https://www.youtube.com/shorts/qku6RAs0B3k?feature=share")</f>
        <v>https://www.youtube.com/shorts/qku6RAs0B3k?feature=share</v>
      </c>
      <c r="S67" s="79" t="s">
        <v>450</v>
      </c>
      <c r="T67" s="85" t="s">
        <v>478</v>
      </c>
      <c r="U67" s="83" t="str">
        <f>HYPERLINK("https://pbs.twimg.com/media/E7T3xyJWQAYfYP3.jpg")</f>
        <v>https://pbs.twimg.com/media/E7T3xyJWQAYfYP3.jpg</v>
      </c>
      <c r="V67" s="83" t="str">
        <f>HYPERLINK("https://pbs.twimg.com/media/E7T3xyJWQAYfYP3.jpg")</f>
        <v>https://pbs.twimg.com/media/E7T3xyJWQAYfYP3.jpg</v>
      </c>
      <c r="W67" s="81">
        <v>44406.629988425928</v>
      </c>
      <c r="X67" s="87">
        <v>44406</v>
      </c>
      <c r="Y67" s="85" t="s">
        <v>564</v>
      </c>
      <c r="Z67" s="83" t="str">
        <f>HYPERLINK("https://twitter.com/tabuwinslow/status/1420762838113587200")</f>
        <v>https://twitter.com/tabuwinslow/status/1420762838113587200</v>
      </c>
      <c r="AA67" s="79"/>
      <c r="AB67" s="79"/>
      <c r="AC67" s="85" t="s">
        <v>743</v>
      </c>
      <c r="AD67" s="79"/>
      <c r="AE67" s="79" t="b">
        <v>0</v>
      </c>
      <c r="AF67" s="79">
        <v>0</v>
      </c>
      <c r="AG67" s="85" t="s">
        <v>867</v>
      </c>
      <c r="AH67" s="79" t="b">
        <v>0</v>
      </c>
      <c r="AI67" s="79" t="s">
        <v>874</v>
      </c>
      <c r="AJ67" s="79"/>
      <c r="AK67" s="85" t="s">
        <v>867</v>
      </c>
      <c r="AL67" s="79" t="b">
        <v>0</v>
      </c>
      <c r="AM67" s="79">
        <v>3</v>
      </c>
      <c r="AN67" s="85" t="s">
        <v>789</v>
      </c>
      <c r="AO67" s="85" t="s">
        <v>887</v>
      </c>
      <c r="AP67" s="79" t="b">
        <v>0</v>
      </c>
      <c r="AQ67" s="85" t="s">
        <v>789</v>
      </c>
      <c r="AR67" s="79" t="s">
        <v>177</v>
      </c>
      <c r="AS67" s="79">
        <v>0</v>
      </c>
      <c r="AT67" s="79">
        <v>0</v>
      </c>
      <c r="AU67" s="79"/>
      <c r="AV67" s="79"/>
      <c r="AW67" s="79"/>
      <c r="AX67" s="79"/>
      <c r="AY67" s="79"/>
      <c r="AZ67" s="79"/>
      <c r="BA67" s="79"/>
      <c r="BB67" s="79"/>
      <c r="BC67">
        <v>10</v>
      </c>
      <c r="BD67" s="78" t="str">
        <f>REPLACE(INDEX(GroupVertices[Group], MATCH(Edges[[#This Row],[Vertex 1]],GroupVertices[Vertex],0)),1,1,"")</f>
        <v>3</v>
      </c>
      <c r="BE67" s="78" t="str">
        <f>REPLACE(INDEX(GroupVertices[Group], MATCH(Edges[[#This Row],[Vertex 2]],GroupVertices[Vertex],0)),1,1,"")</f>
        <v>3</v>
      </c>
    </row>
    <row r="68" spans="1:57" x14ac:dyDescent="0.25">
      <c r="A68" s="64" t="s">
        <v>265</v>
      </c>
      <c r="B68" s="64" t="s">
        <v>289</v>
      </c>
      <c r="C68" s="65" t="s">
        <v>2093</v>
      </c>
      <c r="D68" s="66">
        <v>9.3000000000000007</v>
      </c>
      <c r="E68" s="67"/>
      <c r="F68" s="68">
        <v>22</v>
      </c>
      <c r="G68" s="65"/>
      <c r="H68" s="69"/>
      <c r="I68" s="70"/>
      <c r="J68" s="70"/>
      <c r="K68" s="35" t="s">
        <v>65</v>
      </c>
      <c r="L68" s="77">
        <v>68</v>
      </c>
      <c r="M6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68" s="72"/>
      <c r="O68" s="79" t="s">
        <v>337</v>
      </c>
      <c r="P68" s="81">
        <v>44406.630613425928</v>
      </c>
      <c r="Q68" s="79" t="s">
        <v>368</v>
      </c>
      <c r="R68" s="79"/>
      <c r="S68" s="79"/>
      <c r="T68" s="85" t="s">
        <v>461</v>
      </c>
      <c r="U68" s="83" t="str">
        <f>HYPERLINK("https://pbs.twimg.com/media/E6IQoc-XIAIEHeV.jpg")</f>
        <v>https://pbs.twimg.com/media/E6IQoc-XIAIEHeV.jpg</v>
      </c>
      <c r="V68" s="83" t="str">
        <f>HYPERLINK("https://pbs.twimg.com/media/E6IQoc-XIAIEHeV.jpg")</f>
        <v>https://pbs.twimg.com/media/E6IQoc-XIAIEHeV.jpg</v>
      </c>
      <c r="W68" s="81">
        <v>44406.630613425928</v>
      </c>
      <c r="X68" s="87">
        <v>44406</v>
      </c>
      <c r="Y68" s="85" t="s">
        <v>565</v>
      </c>
      <c r="Z68" s="83" t="str">
        <f>HYPERLINK("https://twitter.com/tabuwinslow/status/1420763064908099589")</f>
        <v>https://twitter.com/tabuwinslow/status/1420763064908099589</v>
      </c>
      <c r="AA68" s="79"/>
      <c r="AB68" s="79"/>
      <c r="AC68" s="85" t="s">
        <v>744</v>
      </c>
      <c r="AD68" s="79"/>
      <c r="AE68" s="79" t="b">
        <v>0</v>
      </c>
      <c r="AF68" s="79">
        <v>0</v>
      </c>
      <c r="AG68" s="85" t="s">
        <v>867</v>
      </c>
      <c r="AH68" s="79" t="b">
        <v>0</v>
      </c>
      <c r="AI68" s="79" t="s">
        <v>874</v>
      </c>
      <c r="AJ68" s="79"/>
      <c r="AK68" s="85" t="s">
        <v>867</v>
      </c>
      <c r="AL68" s="79" t="b">
        <v>0</v>
      </c>
      <c r="AM68" s="79">
        <v>4</v>
      </c>
      <c r="AN68" s="85" t="s">
        <v>801</v>
      </c>
      <c r="AO68" s="85" t="s">
        <v>887</v>
      </c>
      <c r="AP68" s="79" t="b">
        <v>0</v>
      </c>
      <c r="AQ68" s="85" t="s">
        <v>801</v>
      </c>
      <c r="AR68" s="79" t="s">
        <v>177</v>
      </c>
      <c r="AS68" s="79">
        <v>0</v>
      </c>
      <c r="AT68" s="79">
        <v>0</v>
      </c>
      <c r="AU68" s="79"/>
      <c r="AV68" s="79"/>
      <c r="AW68" s="79"/>
      <c r="AX68" s="79"/>
      <c r="AY68" s="79"/>
      <c r="AZ68" s="79"/>
      <c r="BA68" s="79"/>
      <c r="BB68" s="79"/>
      <c r="BC68">
        <v>10</v>
      </c>
      <c r="BD68" s="78" t="str">
        <f>REPLACE(INDEX(GroupVertices[Group], MATCH(Edges[[#This Row],[Vertex 1]],GroupVertices[Vertex],0)),1,1,"")</f>
        <v>3</v>
      </c>
      <c r="BE68" s="78" t="str">
        <f>REPLACE(INDEX(GroupVertices[Group], MATCH(Edges[[#This Row],[Vertex 2]],GroupVertices[Vertex],0)),1,1,"")</f>
        <v>3</v>
      </c>
    </row>
    <row r="69" spans="1:57" x14ac:dyDescent="0.25">
      <c r="A69" s="64" t="s">
        <v>265</v>
      </c>
      <c r="B69" s="64" t="s">
        <v>289</v>
      </c>
      <c r="C69" s="65" t="s">
        <v>2093</v>
      </c>
      <c r="D69" s="66">
        <v>9.3000000000000007</v>
      </c>
      <c r="E69" s="67"/>
      <c r="F69" s="68">
        <v>22</v>
      </c>
      <c r="G69" s="65"/>
      <c r="H69" s="69"/>
      <c r="I69" s="70"/>
      <c r="J69" s="70"/>
      <c r="K69" s="35" t="s">
        <v>65</v>
      </c>
      <c r="L69" s="77">
        <v>69</v>
      </c>
      <c r="M6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69" s="72"/>
      <c r="O69" s="79" t="s">
        <v>338</v>
      </c>
      <c r="P69" s="81">
        <v>44406.630613425928</v>
      </c>
      <c r="Q69" s="79" t="s">
        <v>368</v>
      </c>
      <c r="R69" s="79"/>
      <c r="S69" s="79"/>
      <c r="T69" s="85" t="s">
        <v>461</v>
      </c>
      <c r="U69" s="83" t="str">
        <f>HYPERLINK("https://pbs.twimg.com/media/E6IQoc-XIAIEHeV.jpg")</f>
        <v>https://pbs.twimg.com/media/E6IQoc-XIAIEHeV.jpg</v>
      </c>
      <c r="V69" s="83" t="str">
        <f>HYPERLINK("https://pbs.twimg.com/media/E6IQoc-XIAIEHeV.jpg")</f>
        <v>https://pbs.twimg.com/media/E6IQoc-XIAIEHeV.jpg</v>
      </c>
      <c r="W69" s="81">
        <v>44406.630613425928</v>
      </c>
      <c r="X69" s="87">
        <v>44406</v>
      </c>
      <c r="Y69" s="85" t="s">
        <v>565</v>
      </c>
      <c r="Z69" s="83" t="str">
        <f>HYPERLINK("https://twitter.com/tabuwinslow/status/1420763064908099589")</f>
        <v>https://twitter.com/tabuwinslow/status/1420763064908099589</v>
      </c>
      <c r="AA69" s="79"/>
      <c r="AB69" s="79"/>
      <c r="AC69" s="85" t="s">
        <v>744</v>
      </c>
      <c r="AD69" s="79"/>
      <c r="AE69" s="79" t="b">
        <v>0</v>
      </c>
      <c r="AF69" s="79">
        <v>0</v>
      </c>
      <c r="AG69" s="85" t="s">
        <v>867</v>
      </c>
      <c r="AH69" s="79" t="b">
        <v>0</v>
      </c>
      <c r="AI69" s="79" t="s">
        <v>874</v>
      </c>
      <c r="AJ69" s="79"/>
      <c r="AK69" s="85" t="s">
        <v>867</v>
      </c>
      <c r="AL69" s="79" t="b">
        <v>0</v>
      </c>
      <c r="AM69" s="79">
        <v>4</v>
      </c>
      <c r="AN69" s="85" t="s">
        <v>801</v>
      </c>
      <c r="AO69" s="85" t="s">
        <v>887</v>
      </c>
      <c r="AP69" s="79" t="b">
        <v>0</v>
      </c>
      <c r="AQ69" s="85" t="s">
        <v>801</v>
      </c>
      <c r="AR69" s="79" t="s">
        <v>177</v>
      </c>
      <c r="AS69" s="79">
        <v>0</v>
      </c>
      <c r="AT69" s="79">
        <v>0</v>
      </c>
      <c r="AU69" s="79"/>
      <c r="AV69" s="79"/>
      <c r="AW69" s="79"/>
      <c r="AX69" s="79"/>
      <c r="AY69" s="79"/>
      <c r="AZ69" s="79"/>
      <c r="BA69" s="79"/>
      <c r="BB69" s="79"/>
      <c r="BC69">
        <v>10</v>
      </c>
      <c r="BD69" s="78" t="str">
        <f>REPLACE(INDEX(GroupVertices[Group], MATCH(Edges[[#This Row],[Vertex 1]],GroupVertices[Vertex],0)),1,1,"")</f>
        <v>3</v>
      </c>
      <c r="BE69" s="78" t="str">
        <f>REPLACE(INDEX(GroupVertices[Group], MATCH(Edges[[#This Row],[Vertex 2]],GroupVertices[Vertex],0)),1,1,"")</f>
        <v>3</v>
      </c>
    </row>
    <row r="70" spans="1:57" x14ac:dyDescent="0.25">
      <c r="A70" s="64" t="s">
        <v>265</v>
      </c>
      <c r="B70" s="64" t="s">
        <v>289</v>
      </c>
      <c r="C70" s="65" t="s">
        <v>2093</v>
      </c>
      <c r="D70" s="66">
        <v>9.3000000000000007</v>
      </c>
      <c r="E70" s="67"/>
      <c r="F70" s="68">
        <v>22</v>
      </c>
      <c r="G70" s="65"/>
      <c r="H70" s="69"/>
      <c r="I70" s="70"/>
      <c r="J70" s="70"/>
      <c r="K70" s="35" t="s">
        <v>65</v>
      </c>
      <c r="L70" s="77">
        <v>70</v>
      </c>
      <c r="M7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70" s="72"/>
      <c r="O70" s="79" t="s">
        <v>337</v>
      </c>
      <c r="P70" s="81">
        <v>44406.630694444444</v>
      </c>
      <c r="Q70" s="79" t="s">
        <v>369</v>
      </c>
      <c r="R70" s="79"/>
      <c r="S70" s="79"/>
      <c r="T70" s="85" t="s">
        <v>461</v>
      </c>
      <c r="U70" s="83" t="str">
        <f>HYPERLINK("https://pbs.twimg.com/media/E6IPmASXMAAHX-l.jpg")</f>
        <v>https://pbs.twimg.com/media/E6IPmASXMAAHX-l.jpg</v>
      </c>
      <c r="V70" s="83" t="str">
        <f>HYPERLINK("https://pbs.twimg.com/media/E6IPmASXMAAHX-l.jpg")</f>
        <v>https://pbs.twimg.com/media/E6IPmASXMAAHX-l.jpg</v>
      </c>
      <c r="W70" s="81">
        <v>44406.630694444444</v>
      </c>
      <c r="X70" s="87">
        <v>44406</v>
      </c>
      <c r="Y70" s="85" t="s">
        <v>566</v>
      </c>
      <c r="Z70" s="83" t="str">
        <f>HYPERLINK("https://twitter.com/tabuwinslow/status/1420763091483054099")</f>
        <v>https://twitter.com/tabuwinslow/status/1420763091483054099</v>
      </c>
      <c r="AA70" s="79"/>
      <c r="AB70" s="79"/>
      <c r="AC70" s="85" t="s">
        <v>745</v>
      </c>
      <c r="AD70" s="79"/>
      <c r="AE70" s="79" t="b">
        <v>0</v>
      </c>
      <c r="AF70" s="79">
        <v>0</v>
      </c>
      <c r="AG70" s="85" t="s">
        <v>867</v>
      </c>
      <c r="AH70" s="79" t="b">
        <v>0</v>
      </c>
      <c r="AI70" s="79" t="s">
        <v>874</v>
      </c>
      <c r="AJ70" s="79"/>
      <c r="AK70" s="85" t="s">
        <v>867</v>
      </c>
      <c r="AL70" s="79" t="b">
        <v>0</v>
      </c>
      <c r="AM70" s="79">
        <v>4</v>
      </c>
      <c r="AN70" s="85" t="s">
        <v>802</v>
      </c>
      <c r="AO70" s="85" t="s">
        <v>887</v>
      </c>
      <c r="AP70" s="79" t="b">
        <v>0</v>
      </c>
      <c r="AQ70" s="85" t="s">
        <v>802</v>
      </c>
      <c r="AR70" s="79" t="s">
        <v>177</v>
      </c>
      <c r="AS70" s="79">
        <v>0</v>
      </c>
      <c r="AT70" s="79">
        <v>0</v>
      </c>
      <c r="AU70" s="79"/>
      <c r="AV70" s="79"/>
      <c r="AW70" s="79"/>
      <c r="AX70" s="79"/>
      <c r="AY70" s="79"/>
      <c r="AZ70" s="79"/>
      <c r="BA70" s="79"/>
      <c r="BB70" s="79"/>
      <c r="BC70">
        <v>10</v>
      </c>
      <c r="BD70" s="78" t="str">
        <f>REPLACE(INDEX(GroupVertices[Group], MATCH(Edges[[#This Row],[Vertex 1]],GroupVertices[Vertex],0)),1,1,"")</f>
        <v>3</v>
      </c>
      <c r="BE70" s="78" t="str">
        <f>REPLACE(INDEX(GroupVertices[Group], MATCH(Edges[[#This Row],[Vertex 2]],GroupVertices[Vertex],0)),1,1,"")</f>
        <v>3</v>
      </c>
    </row>
    <row r="71" spans="1:57" x14ac:dyDescent="0.25">
      <c r="A71" s="64" t="s">
        <v>265</v>
      </c>
      <c r="B71" s="64" t="s">
        <v>289</v>
      </c>
      <c r="C71" s="65" t="s">
        <v>2093</v>
      </c>
      <c r="D71" s="66">
        <v>9.3000000000000007</v>
      </c>
      <c r="E71" s="67"/>
      <c r="F71" s="68">
        <v>22</v>
      </c>
      <c r="G71" s="65"/>
      <c r="H71" s="69"/>
      <c r="I71" s="70"/>
      <c r="J71" s="70"/>
      <c r="K71" s="35" t="s">
        <v>65</v>
      </c>
      <c r="L71" s="77">
        <v>71</v>
      </c>
      <c r="M7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71" s="72"/>
      <c r="O71" s="79" t="s">
        <v>338</v>
      </c>
      <c r="P71" s="81">
        <v>44406.630694444444</v>
      </c>
      <c r="Q71" s="79" t="s">
        <v>369</v>
      </c>
      <c r="R71" s="79"/>
      <c r="S71" s="79"/>
      <c r="T71" s="85" t="s">
        <v>461</v>
      </c>
      <c r="U71" s="83" t="str">
        <f>HYPERLINK("https://pbs.twimg.com/media/E6IPmASXMAAHX-l.jpg")</f>
        <v>https://pbs.twimg.com/media/E6IPmASXMAAHX-l.jpg</v>
      </c>
      <c r="V71" s="83" t="str">
        <f>HYPERLINK("https://pbs.twimg.com/media/E6IPmASXMAAHX-l.jpg")</f>
        <v>https://pbs.twimg.com/media/E6IPmASXMAAHX-l.jpg</v>
      </c>
      <c r="W71" s="81">
        <v>44406.630694444444</v>
      </c>
      <c r="X71" s="87">
        <v>44406</v>
      </c>
      <c r="Y71" s="85" t="s">
        <v>566</v>
      </c>
      <c r="Z71" s="83" t="str">
        <f>HYPERLINK("https://twitter.com/tabuwinslow/status/1420763091483054099")</f>
        <v>https://twitter.com/tabuwinslow/status/1420763091483054099</v>
      </c>
      <c r="AA71" s="79"/>
      <c r="AB71" s="79"/>
      <c r="AC71" s="85" t="s">
        <v>745</v>
      </c>
      <c r="AD71" s="79"/>
      <c r="AE71" s="79" t="b">
        <v>0</v>
      </c>
      <c r="AF71" s="79">
        <v>0</v>
      </c>
      <c r="AG71" s="85" t="s">
        <v>867</v>
      </c>
      <c r="AH71" s="79" t="b">
        <v>0</v>
      </c>
      <c r="AI71" s="79" t="s">
        <v>874</v>
      </c>
      <c r="AJ71" s="79"/>
      <c r="AK71" s="85" t="s">
        <v>867</v>
      </c>
      <c r="AL71" s="79" t="b">
        <v>0</v>
      </c>
      <c r="AM71" s="79">
        <v>4</v>
      </c>
      <c r="AN71" s="85" t="s">
        <v>802</v>
      </c>
      <c r="AO71" s="85" t="s">
        <v>887</v>
      </c>
      <c r="AP71" s="79" t="b">
        <v>0</v>
      </c>
      <c r="AQ71" s="85" t="s">
        <v>802</v>
      </c>
      <c r="AR71" s="79" t="s">
        <v>177</v>
      </c>
      <c r="AS71" s="79">
        <v>0</v>
      </c>
      <c r="AT71" s="79">
        <v>0</v>
      </c>
      <c r="AU71" s="79"/>
      <c r="AV71" s="79"/>
      <c r="AW71" s="79"/>
      <c r="AX71" s="79"/>
      <c r="AY71" s="79"/>
      <c r="AZ71" s="79"/>
      <c r="BA71" s="79"/>
      <c r="BB71" s="79"/>
      <c r="BC71">
        <v>10</v>
      </c>
      <c r="BD71" s="78" t="str">
        <f>REPLACE(INDEX(GroupVertices[Group], MATCH(Edges[[#This Row],[Vertex 1]],GroupVertices[Vertex],0)),1,1,"")</f>
        <v>3</v>
      </c>
      <c r="BE71" s="78" t="str">
        <f>REPLACE(INDEX(GroupVertices[Group], MATCH(Edges[[#This Row],[Vertex 2]],GroupVertices[Vertex],0)),1,1,"")</f>
        <v>3</v>
      </c>
    </row>
    <row r="72" spans="1:57" x14ac:dyDescent="0.25">
      <c r="A72" s="64" t="s">
        <v>265</v>
      </c>
      <c r="B72" s="64" t="s">
        <v>289</v>
      </c>
      <c r="C72" s="65" t="s">
        <v>2093</v>
      </c>
      <c r="D72" s="66">
        <v>9.3000000000000007</v>
      </c>
      <c r="E72" s="67"/>
      <c r="F72" s="68">
        <v>22</v>
      </c>
      <c r="G72" s="65"/>
      <c r="H72" s="69"/>
      <c r="I72" s="70"/>
      <c r="J72" s="70"/>
      <c r="K72" s="35" t="s">
        <v>65</v>
      </c>
      <c r="L72" s="77">
        <v>72</v>
      </c>
      <c r="M7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72" s="72"/>
      <c r="O72" s="79" t="s">
        <v>337</v>
      </c>
      <c r="P72" s="81">
        <v>44406.630729166667</v>
      </c>
      <c r="Q72" s="79" t="s">
        <v>370</v>
      </c>
      <c r="R72" s="79"/>
      <c r="S72" s="79"/>
      <c r="T72" s="85" t="s">
        <v>461</v>
      </c>
      <c r="U72" s="83" t="str">
        <f>HYPERLINK("https://pbs.twimg.com/media/E6IOXacX0AIO80c.jpg")</f>
        <v>https://pbs.twimg.com/media/E6IOXacX0AIO80c.jpg</v>
      </c>
      <c r="V72" s="83" t="str">
        <f>HYPERLINK("https://pbs.twimg.com/media/E6IOXacX0AIO80c.jpg")</f>
        <v>https://pbs.twimg.com/media/E6IOXacX0AIO80c.jpg</v>
      </c>
      <c r="W72" s="81">
        <v>44406.630729166667</v>
      </c>
      <c r="X72" s="87">
        <v>44406</v>
      </c>
      <c r="Y72" s="85" t="s">
        <v>567</v>
      </c>
      <c r="Z72" s="83" t="str">
        <f>HYPERLINK("https://twitter.com/tabuwinslow/status/1420763104921767937")</f>
        <v>https://twitter.com/tabuwinslow/status/1420763104921767937</v>
      </c>
      <c r="AA72" s="79"/>
      <c r="AB72" s="79"/>
      <c r="AC72" s="85" t="s">
        <v>746</v>
      </c>
      <c r="AD72" s="79"/>
      <c r="AE72" s="79" t="b">
        <v>0</v>
      </c>
      <c r="AF72" s="79">
        <v>0</v>
      </c>
      <c r="AG72" s="85" t="s">
        <v>867</v>
      </c>
      <c r="AH72" s="79" t="b">
        <v>0</v>
      </c>
      <c r="AI72" s="79" t="s">
        <v>874</v>
      </c>
      <c r="AJ72" s="79"/>
      <c r="AK72" s="85" t="s">
        <v>867</v>
      </c>
      <c r="AL72" s="79" t="b">
        <v>0</v>
      </c>
      <c r="AM72" s="79">
        <v>3</v>
      </c>
      <c r="AN72" s="85" t="s">
        <v>803</v>
      </c>
      <c r="AO72" s="85" t="s">
        <v>887</v>
      </c>
      <c r="AP72" s="79" t="b">
        <v>0</v>
      </c>
      <c r="AQ72" s="85" t="s">
        <v>803</v>
      </c>
      <c r="AR72" s="79" t="s">
        <v>177</v>
      </c>
      <c r="AS72" s="79">
        <v>0</v>
      </c>
      <c r="AT72" s="79">
        <v>0</v>
      </c>
      <c r="AU72" s="79"/>
      <c r="AV72" s="79"/>
      <c r="AW72" s="79"/>
      <c r="AX72" s="79"/>
      <c r="AY72" s="79"/>
      <c r="AZ72" s="79"/>
      <c r="BA72" s="79"/>
      <c r="BB72" s="79"/>
      <c r="BC72">
        <v>10</v>
      </c>
      <c r="BD72" s="78" t="str">
        <f>REPLACE(INDEX(GroupVertices[Group], MATCH(Edges[[#This Row],[Vertex 1]],GroupVertices[Vertex],0)),1,1,"")</f>
        <v>3</v>
      </c>
      <c r="BE72" s="78" t="str">
        <f>REPLACE(INDEX(GroupVertices[Group], MATCH(Edges[[#This Row],[Vertex 2]],GroupVertices[Vertex],0)),1,1,"")</f>
        <v>3</v>
      </c>
    </row>
    <row r="73" spans="1:57" x14ac:dyDescent="0.25">
      <c r="A73" s="64" t="s">
        <v>265</v>
      </c>
      <c r="B73" s="64" t="s">
        <v>289</v>
      </c>
      <c r="C73" s="65" t="s">
        <v>2093</v>
      </c>
      <c r="D73" s="66">
        <v>9.3000000000000007</v>
      </c>
      <c r="E73" s="67"/>
      <c r="F73" s="68">
        <v>22</v>
      </c>
      <c r="G73" s="65"/>
      <c r="H73" s="69"/>
      <c r="I73" s="70"/>
      <c r="J73" s="70"/>
      <c r="K73" s="35" t="s">
        <v>65</v>
      </c>
      <c r="L73" s="77">
        <v>73</v>
      </c>
      <c r="M7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73" s="72"/>
      <c r="O73" s="79" t="s">
        <v>338</v>
      </c>
      <c r="P73" s="81">
        <v>44406.630729166667</v>
      </c>
      <c r="Q73" s="79" t="s">
        <v>370</v>
      </c>
      <c r="R73" s="79"/>
      <c r="S73" s="79"/>
      <c r="T73" s="85" t="s">
        <v>461</v>
      </c>
      <c r="U73" s="83" t="str">
        <f>HYPERLINK("https://pbs.twimg.com/media/E6IOXacX0AIO80c.jpg")</f>
        <v>https://pbs.twimg.com/media/E6IOXacX0AIO80c.jpg</v>
      </c>
      <c r="V73" s="83" t="str">
        <f>HYPERLINK("https://pbs.twimg.com/media/E6IOXacX0AIO80c.jpg")</f>
        <v>https://pbs.twimg.com/media/E6IOXacX0AIO80c.jpg</v>
      </c>
      <c r="W73" s="81">
        <v>44406.630729166667</v>
      </c>
      <c r="X73" s="87">
        <v>44406</v>
      </c>
      <c r="Y73" s="85" t="s">
        <v>567</v>
      </c>
      <c r="Z73" s="83" t="str">
        <f>HYPERLINK("https://twitter.com/tabuwinslow/status/1420763104921767937")</f>
        <v>https://twitter.com/tabuwinslow/status/1420763104921767937</v>
      </c>
      <c r="AA73" s="79"/>
      <c r="AB73" s="79"/>
      <c r="AC73" s="85" t="s">
        <v>746</v>
      </c>
      <c r="AD73" s="79"/>
      <c r="AE73" s="79" t="b">
        <v>0</v>
      </c>
      <c r="AF73" s="79">
        <v>0</v>
      </c>
      <c r="AG73" s="85" t="s">
        <v>867</v>
      </c>
      <c r="AH73" s="79" t="b">
        <v>0</v>
      </c>
      <c r="AI73" s="79" t="s">
        <v>874</v>
      </c>
      <c r="AJ73" s="79"/>
      <c r="AK73" s="85" t="s">
        <v>867</v>
      </c>
      <c r="AL73" s="79" t="b">
        <v>0</v>
      </c>
      <c r="AM73" s="79">
        <v>3</v>
      </c>
      <c r="AN73" s="85" t="s">
        <v>803</v>
      </c>
      <c r="AO73" s="85" t="s">
        <v>887</v>
      </c>
      <c r="AP73" s="79" t="b">
        <v>0</v>
      </c>
      <c r="AQ73" s="85" t="s">
        <v>803</v>
      </c>
      <c r="AR73" s="79" t="s">
        <v>177</v>
      </c>
      <c r="AS73" s="79">
        <v>0</v>
      </c>
      <c r="AT73" s="79">
        <v>0</v>
      </c>
      <c r="AU73" s="79"/>
      <c r="AV73" s="79"/>
      <c r="AW73" s="79"/>
      <c r="AX73" s="79"/>
      <c r="AY73" s="79"/>
      <c r="AZ73" s="79"/>
      <c r="BA73" s="79"/>
      <c r="BB73" s="79"/>
      <c r="BC73">
        <v>10</v>
      </c>
      <c r="BD73" s="78" t="str">
        <f>REPLACE(INDEX(GroupVertices[Group], MATCH(Edges[[#This Row],[Vertex 1]],GroupVertices[Vertex],0)),1,1,"")</f>
        <v>3</v>
      </c>
      <c r="BE73" s="78" t="str">
        <f>REPLACE(INDEX(GroupVertices[Group], MATCH(Edges[[#This Row],[Vertex 2]],GroupVertices[Vertex],0)),1,1,"")</f>
        <v>3</v>
      </c>
    </row>
    <row r="74" spans="1:57" x14ac:dyDescent="0.25">
      <c r="A74" s="64" t="s">
        <v>266</v>
      </c>
      <c r="B74" s="64" t="s">
        <v>289</v>
      </c>
      <c r="C74" s="65" t="s">
        <v>2093</v>
      </c>
      <c r="D74" s="66">
        <v>9.3000000000000007</v>
      </c>
      <c r="E74" s="67"/>
      <c r="F74" s="68">
        <v>22</v>
      </c>
      <c r="G74" s="65"/>
      <c r="H74" s="69"/>
      <c r="I74" s="70"/>
      <c r="J74" s="70"/>
      <c r="K74" s="35" t="s">
        <v>65</v>
      </c>
      <c r="L74" s="77">
        <v>74</v>
      </c>
      <c r="M7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74" s="72"/>
      <c r="O74" s="79" t="s">
        <v>337</v>
      </c>
      <c r="P74" s="81">
        <v>44406.631203703706</v>
      </c>
      <c r="Q74" s="79" t="s">
        <v>366</v>
      </c>
      <c r="R74" s="79"/>
      <c r="S74" s="79"/>
      <c r="T74" s="85" t="s">
        <v>461</v>
      </c>
      <c r="U74" s="83" t="str">
        <f>HYPERLINK("https://pbs.twimg.com/media/E7eO9zIVUAEjK-g.jpg")</f>
        <v>https://pbs.twimg.com/media/E7eO9zIVUAEjK-g.jpg</v>
      </c>
      <c r="V74" s="83" t="str">
        <f>HYPERLINK("https://pbs.twimg.com/media/E7eO9zIVUAEjK-g.jpg")</f>
        <v>https://pbs.twimg.com/media/E7eO9zIVUAEjK-g.jpg</v>
      </c>
      <c r="W74" s="81">
        <v>44406.631203703706</v>
      </c>
      <c r="X74" s="87">
        <v>44406</v>
      </c>
      <c r="Y74" s="85" t="s">
        <v>568</v>
      </c>
      <c r="Z74" s="83" t="str">
        <f>HYPERLINK("https://twitter.com/letsplayballan1/status/1420763276665933824")</f>
        <v>https://twitter.com/letsplayballan1/status/1420763276665933824</v>
      </c>
      <c r="AA74" s="79"/>
      <c r="AB74" s="79"/>
      <c r="AC74" s="85" t="s">
        <v>747</v>
      </c>
      <c r="AD74" s="79"/>
      <c r="AE74" s="79" t="b">
        <v>0</v>
      </c>
      <c r="AF74" s="79">
        <v>0</v>
      </c>
      <c r="AG74" s="85" t="s">
        <v>867</v>
      </c>
      <c r="AH74" s="79" t="b">
        <v>0</v>
      </c>
      <c r="AI74" s="79" t="s">
        <v>874</v>
      </c>
      <c r="AJ74" s="79"/>
      <c r="AK74" s="85" t="s">
        <v>867</v>
      </c>
      <c r="AL74" s="79" t="b">
        <v>0</v>
      </c>
      <c r="AM74" s="79">
        <v>4</v>
      </c>
      <c r="AN74" s="85" t="s">
        <v>799</v>
      </c>
      <c r="AO74" s="85" t="s">
        <v>887</v>
      </c>
      <c r="AP74" s="79" t="b">
        <v>0</v>
      </c>
      <c r="AQ74" s="85" t="s">
        <v>799</v>
      </c>
      <c r="AR74" s="79" t="s">
        <v>177</v>
      </c>
      <c r="AS74" s="79">
        <v>0</v>
      </c>
      <c r="AT74" s="79">
        <v>0</v>
      </c>
      <c r="AU74" s="79"/>
      <c r="AV74" s="79"/>
      <c r="AW74" s="79"/>
      <c r="AX74" s="79"/>
      <c r="AY74" s="79"/>
      <c r="AZ74" s="79"/>
      <c r="BA74" s="79"/>
      <c r="BB74" s="79"/>
      <c r="BC74">
        <v>10</v>
      </c>
      <c r="BD74" s="78" t="str">
        <f>REPLACE(INDEX(GroupVertices[Group], MATCH(Edges[[#This Row],[Vertex 1]],GroupVertices[Vertex],0)),1,1,"")</f>
        <v>3</v>
      </c>
      <c r="BE74" s="78" t="str">
        <f>REPLACE(INDEX(GroupVertices[Group], MATCH(Edges[[#This Row],[Vertex 2]],GroupVertices[Vertex],0)),1,1,"")</f>
        <v>3</v>
      </c>
    </row>
    <row r="75" spans="1:57" x14ac:dyDescent="0.25">
      <c r="A75" s="64" t="s">
        <v>266</v>
      </c>
      <c r="B75" s="64" t="s">
        <v>289</v>
      </c>
      <c r="C75" s="65" t="s">
        <v>2093</v>
      </c>
      <c r="D75" s="66">
        <v>9.3000000000000007</v>
      </c>
      <c r="E75" s="67"/>
      <c r="F75" s="68">
        <v>22</v>
      </c>
      <c r="G75" s="65"/>
      <c r="H75" s="69"/>
      <c r="I75" s="70"/>
      <c r="J75" s="70"/>
      <c r="K75" s="35" t="s">
        <v>65</v>
      </c>
      <c r="L75" s="77">
        <v>75</v>
      </c>
      <c r="M7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75" s="72"/>
      <c r="O75" s="79" t="s">
        <v>338</v>
      </c>
      <c r="P75" s="81">
        <v>44406.631203703706</v>
      </c>
      <c r="Q75" s="79" t="s">
        <v>366</v>
      </c>
      <c r="R75" s="79"/>
      <c r="S75" s="79"/>
      <c r="T75" s="85" t="s">
        <v>461</v>
      </c>
      <c r="U75" s="83" t="str">
        <f>HYPERLINK("https://pbs.twimg.com/media/E7eO9zIVUAEjK-g.jpg")</f>
        <v>https://pbs.twimg.com/media/E7eO9zIVUAEjK-g.jpg</v>
      </c>
      <c r="V75" s="83" t="str">
        <f>HYPERLINK("https://pbs.twimg.com/media/E7eO9zIVUAEjK-g.jpg")</f>
        <v>https://pbs.twimg.com/media/E7eO9zIVUAEjK-g.jpg</v>
      </c>
      <c r="W75" s="81">
        <v>44406.631203703706</v>
      </c>
      <c r="X75" s="87">
        <v>44406</v>
      </c>
      <c r="Y75" s="85" t="s">
        <v>568</v>
      </c>
      <c r="Z75" s="83" t="str">
        <f>HYPERLINK("https://twitter.com/letsplayballan1/status/1420763276665933824")</f>
        <v>https://twitter.com/letsplayballan1/status/1420763276665933824</v>
      </c>
      <c r="AA75" s="79"/>
      <c r="AB75" s="79"/>
      <c r="AC75" s="85" t="s">
        <v>747</v>
      </c>
      <c r="AD75" s="79"/>
      <c r="AE75" s="79" t="b">
        <v>0</v>
      </c>
      <c r="AF75" s="79">
        <v>0</v>
      </c>
      <c r="AG75" s="85" t="s">
        <v>867</v>
      </c>
      <c r="AH75" s="79" t="b">
        <v>0</v>
      </c>
      <c r="AI75" s="79" t="s">
        <v>874</v>
      </c>
      <c r="AJ75" s="79"/>
      <c r="AK75" s="85" t="s">
        <v>867</v>
      </c>
      <c r="AL75" s="79" t="b">
        <v>0</v>
      </c>
      <c r="AM75" s="79">
        <v>4</v>
      </c>
      <c r="AN75" s="85" t="s">
        <v>799</v>
      </c>
      <c r="AO75" s="85" t="s">
        <v>887</v>
      </c>
      <c r="AP75" s="79" t="b">
        <v>0</v>
      </c>
      <c r="AQ75" s="85" t="s">
        <v>799</v>
      </c>
      <c r="AR75" s="79" t="s">
        <v>177</v>
      </c>
      <c r="AS75" s="79">
        <v>0</v>
      </c>
      <c r="AT75" s="79">
        <v>0</v>
      </c>
      <c r="AU75" s="79"/>
      <c r="AV75" s="79"/>
      <c r="AW75" s="79"/>
      <c r="AX75" s="79"/>
      <c r="AY75" s="79"/>
      <c r="AZ75" s="79"/>
      <c r="BA75" s="79"/>
      <c r="BB75" s="79"/>
      <c r="BC75">
        <v>10</v>
      </c>
      <c r="BD75" s="78" t="str">
        <f>REPLACE(INDEX(GroupVertices[Group], MATCH(Edges[[#This Row],[Vertex 1]],GroupVertices[Vertex],0)),1,1,"")</f>
        <v>3</v>
      </c>
      <c r="BE75" s="78" t="str">
        <f>REPLACE(INDEX(GroupVertices[Group], MATCH(Edges[[#This Row],[Vertex 2]],GroupVertices[Vertex],0)),1,1,"")</f>
        <v>3</v>
      </c>
    </row>
    <row r="76" spans="1:57" x14ac:dyDescent="0.25">
      <c r="A76" s="64" t="s">
        <v>266</v>
      </c>
      <c r="B76" s="64" t="s">
        <v>289</v>
      </c>
      <c r="C76" s="65" t="s">
        <v>2093</v>
      </c>
      <c r="D76" s="66">
        <v>9.3000000000000007</v>
      </c>
      <c r="E76" s="67"/>
      <c r="F76" s="68">
        <v>22</v>
      </c>
      <c r="G76" s="65"/>
      <c r="H76" s="69"/>
      <c r="I76" s="70"/>
      <c r="J76" s="70"/>
      <c r="K76" s="35" t="s">
        <v>65</v>
      </c>
      <c r="L76" s="77">
        <v>76</v>
      </c>
      <c r="M7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76" s="72"/>
      <c r="O76" s="79" t="s">
        <v>337</v>
      </c>
      <c r="P76" s="81">
        <v>44406.631354166668</v>
      </c>
      <c r="Q76" s="79" t="s">
        <v>367</v>
      </c>
      <c r="R76" s="83" t="str">
        <f>HYPERLINK("https://www.youtube.com/shorts/qku6RAs0B3k?feature=share")</f>
        <v>https://www.youtube.com/shorts/qku6RAs0B3k?feature=share</v>
      </c>
      <c r="S76" s="79" t="s">
        <v>450</v>
      </c>
      <c r="T76" s="85" t="s">
        <v>478</v>
      </c>
      <c r="U76" s="83" t="str">
        <f>HYPERLINK("https://pbs.twimg.com/media/E7T3xyJWQAYfYP3.jpg")</f>
        <v>https://pbs.twimg.com/media/E7T3xyJWQAYfYP3.jpg</v>
      </c>
      <c r="V76" s="83" t="str">
        <f>HYPERLINK("https://pbs.twimg.com/media/E7T3xyJWQAYfYP3.jpg")</f>
        <v>https://pbs.twimg.com/media/E7T3xyJWQAYfYP3.jpg</v>
      </c>
      <c r="W76" s="81">
        <v>44406.631354166668</v>
      </c>
      <c r="X76" s="87">
        <v>44406</v>
      </c>
      <c r="Y76" s="85" t="s">
        <v>569</v>
      </c>
      <c r="Z76" s="83" t="str">
        <f>HYPERLINK("https://twitter.com/letsplayballan1/status/1420763333368688643")</f>
        <v>https://twitter.com/letsplayballan1/status/1420763333368688643</v>
      </c>
      <c r="AA76" s="79"/>
      <c r="AB76" s="79"/>
      <c r="AC76" s="85" t="s">
        <v>748</v>
      </c>
      <c r="AD76" s="79"/>
      <c r="AE76" s="79" t="b">
        <v>0</v>
      </c>
      <c r="AF76" s="79">
        <v>0</v>
      </c>
      <c r="AG76" s="85" t="s">
        <v>867</v>
      </c>
      <c r="AH76" s="79" t="b">
        <v>0</v>
      </c>
      <c r="AI76" s="79" t="s">
        <v>874</v>
      </c>
      <c r="AJ76" s="79"/>
      <c r="AK76" s="85" t="s">
        <v>867</v>
      </c>
      <c r="AL76" s="79" t="b">
        <v>0</v>
      </c>
      <c r="AM76" s="79">
        <v>3</v>
      </c>
      <c r="AN76" s="85" t="s">
        <v>789</v>
      </c>
      <c r="AO76" s="85" t="s">
        <v>887</v>
      </c>
      <c r="AP76" s="79" t="b">
        <v>0</v>
      </c>
      <c r="AQ76" s="85" t="s">
        <v>789</v>
      </c>
      <c r="AR76" s="79" t="s">
        <v>177</v>
      </c>
      <c r="AS76" s="79">
        <v>0</v>
      </c>
      <c r="AT76" s="79">
        <v>0</v>
      </c>
      <c r="AU76" s="79"/>
      <c r="AV76" s="79"/>
      <c r="AW76" s="79"/>
      <c r="AX76" s="79"/>
      <c r="AY76" s="79"/>
      <c r="AZ76" s="79"/>
      <c r="BA76" s="79"/>
      <c r="BB76" s="79"/>
      <c r="BC76">
        <v>10</v>
      </c>
      <c r="BD76" s="78" t="str">
        <f>REPLACE(INDEX(GroupVertices[Group], MATCH(Edges[[#This Row],[Vertex 1]],GroupVertices[Vertex],0)),1,1,"")</f>
        <v>3</v>
      </c>
      <c r="BE76" s="78" t="str">
        <f>REPLACE(INDEX(GroupVertices[Group], MATCH(Edges[[#This Row],[Vertex 2]],GroupVertices[Vertex],0)),1,1,"")</f>
        <v>3</v>
      </c>
    </row>
    <row r="77" spans="1:57" x14ac:dyDescent="0.25">
      <c r="A77" s="64" t="s">
        <v>266</v>
      </c>
      <c r="B77" s="64" t="s">
        <v>289</v>
      </c>
      <c r="C77" s="65" t="s">
        <v>2093</v>
      </c>
      <c r="D77" s="66">
        <v>9.3000000000000007</v>
      </c>
      <c r="E77" s="67"/>
      <c r="F77" s="68">
        <v>22</v>
      </c>
      <c r="G77" s="65"/>
      <c r="H77" s="69"/>
      <c r="I77" s="70"/>
      <c r="J77" s="70"/>
      <c r="K77" s="35" t="s">
        <v>65</v>
      </c>
      <c r="L77" s="77">
        <v>77</v>
      </c>
      <c r="M7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77" s="72"/>
      <c r="O77" s="79" t="s">
        <v>338</v>
      </c>
      <c r="P77" s="81">
        <v>44406.631354166668</v>
      </c>
      <c r="Q77" s="79" t="s">
        <v>367</v>
      </c>
      <c r="R77" s="83" t="str">
        <f>HYPERLINK("https://www.youtube.com/shorts/qku6RAs0B3k?feature=share")</f>
        <v>https://www.youtube.com/shorts/qku6RAs0B3k?feature=share</v>
      </c>
      <c r="S77" s="79" t="s">
        <v>450</v>
      </c>
      <c r="T77" s="85" t="s">
        <v>478</v>
      </c>
      <c r="U77" s="83" t="str">
        <f>HYPERLINK("https://pbs.twimg.com/media/E7T3xyJWQAYfYP3.jpg")</f>
        <v>https://pbs.twimg.com/media/E7T3xyJWQAYfYP3.jpg</v>
      </c>
      <c r="V77" s="83" t="str">
        <f>HYPERLINK("https://pbs.twimg.com/media/E7T3xyJWQAYfYP3.jpg")</f>
        <v>https://pbs.twimg.com/media/E7T3xyJWQAYfYP3.jpg</v>
      </c>
      <c r="W77" s="81">
        <v>44406.631354166668</v>
      </c>
      <c r="X77" s="87">
        <v>44406</v>
      </c>
      <c r="Y77" s="85" t="s">
        <v>569</v>
      </c>
      <c r="Z77" s="83" t="str">
        <f>HYPERLINK("https://twitter.com/letsplayballan1/status/1420763333368688643")</f>
        <v>https://twitter.com/letsplayballan1/status/1420763333368688643</v>
      </c>
      <c r="AA77" s="79"/>
      <c r="AB77" s="79"/>
      <c r="AC77" s="85" t="s">
        <v>748</v>
      </c>
      <c r="AD77" s="79"/>
      <c r="AE77" s="79" t="b">
        <v>0</v>
      </c>
      <c r="AF77" s="79">
        <v>0</v>
      </c>
      <c r="AG77" s="85" t="s">
        <v>867</v>
      </c>
      <c r="AH77" s="79" t="b">
        <v>0</v>
      </c>
      <c r="AI77" s="79" t="s">
        <v>874</v>
      </c>
      <c r="AJ77" s="79"/>
      <c r="AK77" s="85" t="s">
        <v>867</v>
      </c>
      <c r="AL77" s="79" t="b">
        <v>0</v>
      </c>
      <c r="AM77" s="79">
        <v>3</v>
      </c>
      <c r="AN77" s="85" t="s">
        <v>789</v>
      </c>
      <c r="AO77" s="85" t="s">
        <v>887</v>
      </c>
      <c r="AP77" s="79" t="b">
        <v>0</v>
      </c>
      <c r="AQ77" s="85" t="s">
        <v>789</v>
      </c>
      <c r="AR77" s="79" t="s">
        <v>177</v>
      </c>
      <c r="AS77" s="79">
        <v>0</v>
      </c>
      <c r="AT77" s="79">
        <v>0</v>
      </c>
      <c r="AU77" s="79"/>
      <c r="AV77" s="79"/>
      <c r="AW77" s="79"/>
      <c r="AX77" s="79"/>
      <c r="AY77" s="79"/>
      <c r="AZ77" s="79"/>
      <c r="BA77" s="79"/>
      <c r="BB77" s="79"/>
      <c r="BC77">
        <v>10</v>
      </c>
      <c r="BD77" s="78" t="str">
        <f>REPLACE(INDEX(GroupVertices[Group], MATCH(Edges[[#This Row],[Vertex 1]],GroupVertices[Vertex],0)),1,1,"")</f>
        <v>3</v>
      </c>
      <c r="BE77" s="78" t="str">
        <f>REPLACE(INDEX(GroupVertices[Group], MATCH(Edges[[#This Row],[Vertex 2]],GroupVertices[Vertex],0)),1,1,"")</f>
        <v>3</v>
      </c>
    </row>
    <row r="78" spans="1:57" x14ac:dyDescent="0.25">
      <c r="A78" s="64" t="s">
        <v>266</v>
      </c>
      <c r="B78" s="64" t="s">
        <v>289</v>
      </c>
      <c r="C78" s="65" t="s">
        <v>2093</v>
      </c>
      <c r="D78" s="66">
        <v>9.3000000000000007</v>
      </c>
      <c r="E78" s="67"/>
      <c r="F78" s="68">
        <v>22</v>
      </c>
      <c r="G78" s="65"/>
      <c r="H78" s="69"/>
      <c r="I78" s="70"/>
      <c r="J78" s="70"/>
      <c r="K78" s="35" t="s">
        <v>65</v>
      </c>
      <c r="L78" s="77">
        <v>78</v>
      </c>
      <c r="M7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78" s="72"/>
      <c r="O78" s="79" t="s">
        <v>337</v>
      </c>
      <c r="P78" s="81">
        <v>44406.631956018522</v>
      </c>
      <c r="Q78" s="79" t="s">
        <v>368</v>
      </c>
      <c r="R78" s="79"/>
      <c r="S78" s="79"/>
      <c r="T78" s="85" t="s">
        <v>461</v>
      </c>
      <c r="U78" s="83" t="str">
        <f>HYPERLINK("https://pbs.twimg.com/media/E6IQoc-XIAIEHeV.jpg")</f>
        <v>https://pbs.twimg.com/media/E6IQoc-XIAIEHeV.jpg</v>
      </c>
      <c r="V78" s="83" t="str">
        <f>HYPERLINK("https://pbs.twimg.com/media/E6IQoc-XIAIEHeV.jpg")</f>
        <v>https://pbs.twimg.com/media/E6IQoc-XIAIEHeV.jpg</v>
      </c>
      <c r="W78" s="81">
        <v>44406.631956018522</v>
      </c>
      <c r="X78" s="87">
        <v>44406</v>
      </c>
      <c r="Y78" s="85" t="s">
        <v>570</v>
      </c>
      <c r="Z78" s="83" t="str">
        <f>HYPERLINK("https://twitter.com/letsplayballan1/status/1420763549677277184")</f>
        <v>https://twitter.com/letsplayballan1/status/1420763549677277184</v>
      </c>
      <c r="AA78" s="79"/>
      <c r="AB78" s="79"/>
      <c r="AC78" s="85" t="s">
        <v>749</v>
      </c>
      <c r="AD78" s="79"/>
      <c r="AE78" s="79" t="b">
        <v>0</v>
      </c>
      <c r="AF78" s="79">
        <v>0</v>
      </c>
      <c r="AG78" s="85" t="s">
        <v>867</v>
      </c>
      <c r="AH78" s="79" t="b">
        <v>0</v>
      </c>
      <c r="AI78" s="79" t="s">
        <v>874</v>
      </c>
      <c r="AJ78" s="79"/>
      <c r="AK78" s="85" t="s">
        <v>867</v>
      </c>
      <c r="AL78" s="79" t="b">
        <v>0</v>
      </c>
      <c r="AM78" s="79">
        <v>4</v>
      </c>
      <c r="AN78" s="85" t="s">
        <v>801</v>
      </c>
      <c r="AO78" s="85" t="s">
        <v>887</v>
      </c>
      <c r="AP78" s="79" t="b">
        <v>0</v>
      </c>
      <c r="AQ78" s="85" t="s">
        <v>801</v>
      </c>
      <c r="AR78" s="79" t="s">
        <v>177</v>
      </c>
      <c r="AS78" s="79">
        <v>0</v>
      </c>
      <c r="AT78" s="79">
        <v>0</v>
      </c>
      <c r="AU78" s="79"/>
      <c r="AV78" s="79"/>
      <c r="AW78" s="79"/>
      <c r="AX78" s="79"/>
      <c r="AY78" s="79"/>
      <c r="AZ78" s="79"/>
      <c r="BA78" s="79"/>
      <c r="BB78" s="79"/>
      <c r="BC78">
        <v>10</v>
      </c>
      <c r="BD78" s="78" t="str">
        <f>REPLACE(INDEX(GroupVertices[Group], MATCH(Edges[[#This Row],[Vertex 1]],GroupVertices[Vertex],0)),1,1,"")</f>
        <v>3</v>
      </c>
      <c r="BE78" s="78" t="str">
        <f>REPLACE(INDEX(GroupVertices[Group], MATCH(Edges[[#This Row],[Vertex 2]],GroupVertices[Vertex],0)),1,1,"")</f>
        <v>3</v>
      </c>
    </row>
    <row r="79" spans="1:57" x14ac:dyDescent="0.25">
      <c r="A79" s="64" t="s">
        <v>266</v>
      </c>
      <c r="B79" s="64" t="s">
        <v>289</v>
      </c>
      <c r="C79" s="65" t="s">
        <v>2093</v>
      </c>
      <c r="D79" s="66">
        <v>9.3000000000000007</v>
      </c>
      <c r="E79" s="67"/>
      <c r="F79" s="68">
        <v>22</v>
      </c>
      <c r="G79" s="65"/>
      <c r="H79" s="69"/>
      <c r="I79" s="70"/>
      <c r="J79" s="70"/>
      <c r="K79" s="35" t="s">
        <v>65</v>
      </c>
      <c r="L79" s="77">
        <v>79</v>
      </c>
      <c r="M7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79" s="72"/>
      <c r="O79" s="79" t="s">
        <v>338</v>
      </c>
      <c r="P79" s="81">
        <v>44406.631956018522</v>
      </c>
      <c r="Q79" s="79" t="s">
        <v>368</v>
      </c>
      <c r="R79" s="79"/>
      <c r="S79" s="79"/>
      <c r="T79" s="85" t="s">
        <v>461</v>
      </c>
      <c r="U79" s="83" t="str">
        <f>HYPERLINK("https://pbs.twimg.com/media/E6IQoc-XIAIEHeV.jpg")</f>
        <v>https://pbs.twimg.com/media/E6IQoc-XIAIEHeV.jpg</v>
      </c>
      <c r="V79" s="83" t="str">
        <f>HYPERLINK("https://pbs.twimg.com/media/E6IQoc-XIAIEHeV.jpg")</f>
        <v>https://pbs.twimg.com/media/E6IQoc-XIAIEHeV.jpg</v>
      </c>
      <c r="W79" s="81">
        <v>44406.631956018522</v>
      </c>
      <c r="X79" s="87">
        <v>44406</v>
      </c>
      <c r="Y79" s="85" t="s">
        <v>570</v>
      </c>
      <c r="Z79" s="83" t="str">
        <f>HYPERLINK("https://twitter.com/letsplayballan1/status/1420763549677277184")</f>
        <v>https://twitter.com/letsplayballan1/status/1420763549677277184</v>
      </c>
      <c r="AA79" s="79"/>
      <c r="AB79" s="79"/>
      <c r="AC79" s="85" t="s">
        <v>749</v>
      </c>
      <c r="AD79" s="79"/>
      <c r="AE79" s="79" t="b">
        <v>0</v>
      </c>
      <c r="AF79" s="79">
        <v>0</v>
      </c>
      <c r="AG79" s="85" t="s">
        <v>867</v>
      </c>
      <c r="AH79" s="79" t="b">
        <v>0</v>
      </c>
      <c r="AI79" s="79" t="s">
        <v>874</v>
      </c>
      <c r="AJ79" s="79"/>
      <c r="AK79" s="85" t="s">
        <v>867</v>
      </c>
      <c r="AL79" s="79" t="b">
        <v>0</v>
      </c>
      <c r="AM79" s="79">
        <v>4</v>
      </c>
      <c r="AN79" s="85" t="s">
        <v>801</v>
      </c>
      <c r="AO79" s="85" t="s">
        <v>887</v>
      </c>
      <c r="AP79" s="79" t="b">
        <v>0</v>
      </c>
      <c r="AQ79" s="85" t="s">
        <v>801</v>
      </c>
      <c r="AR79" s="79" t="s">
        <v>177</v>
      </c>
      <c r="AS79" s="79">
        <v>0</v>
      </c>
      <c r="AT79" s="79">
        <v>0</v>
      </c>
      <c r="AU79" s="79"/>
      <c r="AV79" s="79"/>
      <c r="AW79" s="79"/>
      <c r="AX79" s="79"/>
      <c r="AY79" s="79"/>
      <c r="AZ79" s="79"/>
      <c r="BA79" s="79"/>
      <c r="BB79" s="79"/>
      <c r="BC79">
        <v>10</v>
      </c>
      <c r="BD79" s="78" t="str">
        <f>REPLACE(INDEX(GroupVertices[Group], MATCH(Edges[[#This Row],[Vertex 1]],GroupVertices[Vertex],0)),1,1,"")</f>
        <v>3</v>
      </c>
      <c r="BE79" s="78" t="str">
        <f>REPLACE(INDEX(GroupVertices[Group], MATCH(Edges[[#This Row],[Vertex 2]],GroupVertices[Vertex],0)),1,1,"")</f>
        <v>3</v>
      </c>
    </row>
    <row r="80" spans="1:57" x14ac:dyDescent="0.25">
      <c r="A80" s="64" t="s">
        <v>266</v>
      </c>
      <c r="B80" s="108" t="s">
        <v>289</v>
      </c>
      <c r="C80" s="65" t="s">
        <v>2093</v>
      </c>
      <c r="D80" s="66">
        <v>9.3000000000000007</v>
      </c>
      <c r="E80" s="67"/>
      <c r="F80" s="68">
        <v>22</v>
      </c>
      <c r="G80" s="65"/>
      <c r="H80" s="69"/>
      <c r="I80" s="70"/>
      <c r="J80" s="70"/>
      <c r="K80" s="35" t="s">
        <v>65</v>
      </c>
      <c r="L80" s="77">
        <v>80</v>
      </c>
      <c r="M8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80" s="72"/>
      <c r="O80" s="79" t="s">
        <v>337</v>
      </c>
      <c r="P80" s="81">
        <v>44406.632025462961</v>
      </c>
      <c r="Q80" s="79" t="s">
        <v>369</v>
      </c>
      <c r="R80" s="79"/>
      <c r="S80" s="79"/>
      <c r="T80" s="85" t="s">
        <v>461</v>
      </c>
      <c r="U80" s="83" t="str">
        <f>HYPERLINK("https://pbs.twimg.com/media/E6IPmASXMAAHX-l.jpg")</f>
        <v>https://pbs.twimg.com/media/E6IPmASXMAAHX-l.jpg</v>
      </c>
      <c r="V80" s="83" t="str">
        <f>HYPERLINK("https://pbs.twimg.com/media/E6IPmASXMAAHX-l.jpg")</f>
        <v>https://pbs.twimg.com/media/E6IPmASXMAAHX-l.jpg</v>
      </c>
      <c r="W80" s="81">
        <v>44406.632025462961</v>
      </c>
      <c r="X80" s="87">
        <v>44406</v>
      </c>
      <c r="Y80" s="85" t="s">
        <v>571</v>
      </c>
      <c r="Z80" s="83" t="str">
        <f>HYPERLINK("https://twitter.com/letsplayballan1/status/1420763574218207233")</f>
        <v>https://twitter.com/letsplayballan1/status/1420763574218207233</v>
      </c>
      <c r="AA80" s="79"/>
      <c r="AB80" s="79"/>
      <c r="AC80" s="85" t="s">
        <v>750</v>
      </c>
      <c r="AD80" s="79"/>
      <c r="AE80" s="79" t="b">
        <v>0</v>
      </c>
      <c r="AF80" s="79">
        <v>0</v>
      </c>
      <c r="AG80" s="85" t="s">
        <v>867</v>
      </c>
      <c r="AH80" s="79" t="b">
        <v>0</v>
      </c>
      <c r="AI80" s="79" t="s">
        <v>874</v>
      </c>
      <c r="AJ80" s="79"/>
      <c r="AK80" s="85" t="s">
        <v>867</v>
      </c>
      <c r="AL80" s="79" t="b">
        <v>0</v>
      </c>
      <c r="AM80" s="79">
        <v>4</v>
      </c>
      <c r="AN80" s="85" t="s">
        <v>802</v>
      </c>
      <c r="AO80" s="85" t="s">
        <v>887</v>
      </c>
      <c r="AP80" s="79" t="b">
        <v>0</v>
      </c>
      <c r="AQ80" s="85" t="s">
        <v>802</v>
      </c>
      <c r="AR80" s="79" t="s">
        <v>177</v>
      </c>
      <c r="AS80" s="79">
        <v>0</v>
      </c>
      <c r="AT80" s="79">
        <v>0</v>
      </c>
      <c r="AU80" s="79"/>
      <c r="AV80" s="79"/>
      <c r="AW80" s="79"/>
      <c r="AX80" s="79"/>
      <c r="AY80" s="79"/>
      <c r="AZ80" s="79"/>
      <c r="BA80" s="79"/>
      <c r="BB80" s="79"/>
      <c r="BC80">
        <v>10</v>
      </c>
      <c r="BD80" s="78" t="str">
        <f>REPLACE(INDEX(GroupVertices[Group], MATCH(Edges[[#This Row],[Vertex 1]],GroupVertices[Vertex],0)),1,1,"")</f>
        <v>3</v>
      </c>
      <c r="BE80" s="78" t="str">
        <f>REPLACE(INDEX(GroupVertices[Group], MATCH(Edges[[#This Row],[Vertex 2]],GroupVertices[Vertex],0)),1,1,"")</f>
        <v>3</v>
      </c>
    </row>
    <row r="81" spans="1:57" x14ac:dyDescent="0.25">
      <c r="A81" s="64" t="s">
        <v>266</v>
      </c>
      <c r="B81" s="64" t="s">
        <v>289</v>
      </c>
      <c r="C81" s="65" t="s">
        <v>2093</v>
      </c>
      <c r="D81" s="66">
        <v>9.3000000000000007</v>
      </c>
      <c r="E81" s="67"/>
      <c r="F81" s="68">
        <v>22</v>
      </c>
      <c r="G81" s="65"/>
      <c r="H81" s="69"/>
      <c r="I81" s="70"/>
      <c r="J81" s="70"/>
      <c r="K81" s="35" t="s">
        <v>65</v>
      </c>
      <c r="L81" s="77">
        <v>81</v>
      </c>
      <c r="M8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81" s="72"/>
      <c r="O81" s="79" t="s">
        <v>338</v>
      </c>
      <c r="P81" s="81">
        <v>44406.632025462961</v>
      </c>
      <c r="Q81" s="79" t="s">
        <v>369</v>
      </c>
      <c r="R81" s="79"/>
      <c r="S81" s="79"/>
      <c r="T81" s="85" t="s">
        <v>461</v>
      </c>
      <c r="U81" s="83" t="str">
        <f>HYPERLINK("https://pbs.twimg.com/media/E6IPmASXMAAHX-l.jpg")</f>
        <v>https://pbs.twimg.com/media/E6IPmASXMAAHX-l.jpg</v>
      </c>
      <c r="V81" s="83" t="str">
        <f>HYPERLINK("https://pbs.twimg.com/media/E6IPmASXMAAHX-l.jpg")</f>
        <v>https://pbs.twimg.com/media/E6IPmASXMAAHX-l.jpg</v>
      </c>
      <c r="W81" s="81">
        <v>44406.632025462961</v>
      </c>
      <c r="X81" s="87">
        <v>44406</v>
      </c>
      <c r="Y81" s="85" t="s">
        <v>571</v>
      </c>
      <c r="Z81" s="83" t="str">
        <f>HYPERLINK("https://twitter.com/letsplayballan1/status/1420763574218207233")</f>
        <v>https://twitter.com/letsplayballan1/status/1420763574218207233</v>
      </c>
      <c r="AA81" s="79"/>
      <c r="AB81" s="79"/>
      <c r="AC81" s="85" t="s">
        <v>750</v>
      </c>
      <c r="AD81" s="79"/>
      <c r="AE81" s="79" t="b">
        <v>0</v>
      </c>
      <c r="AF81" s="79">
        <v>0</v>
      </c>
      <c r="AG81" s="85" t="s">
        <v>867</v>
      </c>
      <c r="AH81" s="79" t="b">
        <v>0</v>
      </c>
      <c r="AI81" s="79" t="s">
        <v>874</v>
      </c>
      <c r="AJ81" s="79"/>
      <c r="AK81" s="85" t="s">
        <v>867</v>
      </c>
      <c r="AL81" s="79" t="b">
        <v>0</v>
      </c>
      <c r="AM81" s="79">
        <v>4</v>
      </c>
      <c r="AN81" s="85" t="s">
        <v>802</v>
      </c>
      <c r="AO81" s="85" t="s">
        <v>887</v>
      </c>
      <c r="AP81" s="79" t="b">
        <v>0</v>
      </c>
      <c r="AQ81" s="85" t="s">
        <v>802</v>
      </c>
      <c r="AR81" s="79" t="s">
        <v>177</v>
      </c>
      <c r="AS81" s="79">
        <v>0</v>
      </c>
      <c r="AT81" s="79">
        <v>0</v>
      </c>
      <c r="AU81" s="79"/>
      <c r="AV81" s="79"/>
      <c r="AW81" s="79"/>
      <c r="AX81" s="79"/>
      <c r="AY81" s="79"/>
      <c r="AZ81" s="79"/>
      <c r="BA81" s="79"/>
      <c r="BB81" s="79"/>
      <c r="BC81">
        <v>10</v>
      </c>
      <c r="BD81" s="78" t="str">
        <f>REPLACE(INDEX(GroupVertices[Group], MATCH(Edges[[#This Row],[Vertex 1]],GroupVertices[Vertex],0)),1,1,"")</f>
        <v>3</v>
      </c>
      <c r="BE81" s="78" t="str">
        <f>REPLACE(INDEX(GroupVertices[Group], MATCH(Edges[[#This Row],[Vertex 2]],GroupVertices[Vertex],0)),1,1,"")</f>
        <v>3</v>
      </c>
    </row>
    <row r="82" spans="1:57" x14ac:dyDescent="0.25">
      <c r="A82" s="64" t="s">
        <v>266</v>
      </c>
      <c r="B82" s="64" t="s">
        <v>289</v>
      </c>
      <c r="C82" s="65" t="s">
        <v>2093</v>
      </c>
      <c r="D82" s="66">
        <v>9.3000000000000007</v>
      </c>
      <c r="E82" s="67"/>
      <c r="F82" s="68">
        <v>22</v>
      </c>
      <c r="G82" s="65"/>
      <c r="H82" s="69"/>
      <c r="I82" s="70"/>
      <c r="J82" s="70"/>
      <c r="K82" s="35" t="s">
        <v>65</v>
      </c>
      <c r="L82" s="77">
        <v>82</v>
      </c>
      <c r="M8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82" s="72"/>
      <c r="O82" s="79" t="s">
        <v>337</v>
      </c>
      <c r="P82" s="81">
        <v>44406.632060185184</v>
      </c>
      <c r="Q82" s="79" t="s">
        <v>370</v>
      </c>
      <c r="R82" s="79"/>
      <c r="S82" s="79"/>
      <c r="T82" s="85" t="s">
        <v>461</v>
      </c>
      <c r="U82" s="83" t="str">
        <f>HYPERLINK("https://pbs.twimg.com/media/E6IOXacX0AIO80c.jpg")</f>
        <v>https://pbs.twimg.com/media/E6IOXacX0AIO80c.jpg</v>
      </c>
      <c r="V82" s="83" t="str">
        <f>HYPERLINK("https://pbs.twimg.com/media/E6IOXacX0AIO80c.jpg")</f>
        <v>https://pbs.twimg.com/media/E6IOXacX0AIO80c.jpg</v>
      </c>
      <c r="W82" s="81">
        <v>44406.632060185184</v>
      </c>
      <c r="X82" s="87">
        <v>44406</v>
      </c>
      <c r="Y82" s="85" t="s">
        <v>572</v>
      </c>
      <c r="Z82" s="83" t="str">
        <f>HYPERLINK("https://twitter.com/letsplayballan1/status/1420763585798627331")</f>
        <v>https://twitter.com/letsplayballan1/status/1420763585798627331</v>
      </c>
      <c r="AA82" s="79"/>
      <c r="AB82" s="79"/>
      <c r="AC82" s="85" t="s">
        <v>751</v>
      </c>
      <c r="AD82" s="79"/>
      <c r="AE82" s="79" t="b">
        <v>0</v>
      </c>
      <c r="AF82" s="79">
        <v>0</v>
      </c>
      <c r="AG82" s="85" t="s">
        <v>867</v>
      </c>
      <c r="AH82" s="79" t="b">
        <v>0</v>
      </c>
      <c r="AI82" s="79" t="s">
        <v>874</v>
      </c>
      <c r="AJ82" s="79"/>
      <c r="AK82" s="85" t="s">
        <v>867</v>
      </c>
      <c r="AL82" s="79" t="b">
        <v>0</v>
      </c>
      <c r="AM82" s="79">
        <v>3</v>
      </c>
      <c r="AN82" s="85" t="s">
        <v>803</v>
      </c>
      <c r="AO82" s="85" t="s">
        <v>887</v>
      </c>
      <c r="AP82" s="79" t="b">
        <v>0</v>
      </c>
      <c r="AQ82" s="85" t="s">
        <v>803</v>
      </c>
      <c r="AR82" s="79" t="s">
        <v>177</v>
      </c>
      <c r="AS82" s="79">
        <v>0</v>
      </c>
      <c r="AT82" s="79">
        <v>0</v>
      </c>
      <c r="AU82" s="79"/>
      <c r="AV82" s="79"/>
      <c r="AW82" s="79"/>
      <c r="AX82" s="79"/>
      <c r="AY82" s="79"/>
      <c r="AZ82" s="79"/>
      <c r="BA82" s="79"/>
      <c r="BB82" s="79"/>
      <c r="BC82">
        <v>10</v>
      </c>
      <c r="BD82" s="78" t="str">
        <f>REPLACE(INDEX(GroupVertices[Group], MATCH(Edges[[#This Row],[Vertex 1]],GroupVertices[Vertex],0)),1,1,"")</f>
        <v>3</v>
      </c>
      <c r="BE82" s="78" t="str">
        <f>REPLACE(INDEX(GroupVertices[Group], MATCH(Edges[[#This Row],[Vertex 2]],GroupVertices[Vertex],0)),1,1,"")</f>
        <v>3</v>
      </c>
    </row>
    <row r="83" spans="1:57" x14ac:dyDescent="0.25">
      <c r="A83" s="64" t="s">
        <v>266</v>
      </c>
      <c r="B83" s="64" t="s">
        <v>289</v>
      </c>
      <c r="C83" s="65" t="s">
        <v>2093</v>
      </c>
      <c r="D83" s="66">
        <v>9.3000000000000007</v>
      </c>
      <c r="E83" s="67"/>
      <c r="F83" s="68">
        <v>22</v>
      </c>
      <c r="G83" s="65"/>
      <c r="H83" s="69"/>
      <c r="I83" s="70"/>
      <c r="J83" s="70"/>
      <c r="K83" s="35" t="s">
        <v>65</v>
      </c>
      <c r="L83" s="77">
        <v>83</v>
      </c>
      <c r="M8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83" s="72"/>
      <c r="O83" s="79" t="s">
        <v>338</v>
      </c>
      <c r="P83" s="81">
        <v>44406.632060185184</v>
      </c>
      <c r="Q83" s="79" t="s">
        <v>370</v>
      </c>
      <c r="R83" s="79"/>
      <c r="S83" s="79"/>
      <c r="T83" s="85" t="s">
        <v>461</v>
      </c>
      <c r="U83" s="83" t="str">
        <f>HYPERLINK("https://pbs.twimg.com/media/E6IOXacX0AIO80c.jpg")</f>
        <v>https://pbs.twimg.com/media/E6IOXacX0AIO80c.jpg</v>
      </c>
      <c r="V83" s="83" t="str">
        <f>HYPERLINK("https://pbs.twimg.com/media/E6IOXacX0AIO80c.jpg")</f>
        <v>https://pbs.twimg.com/media/E6IOXacX0AIO80c.jpg</v>
      </c>
      <c r="W83" s="81">
        <v>44406.632060185184</v>
      </c>
      <c r="X83" s="87">
        <v>44406</v>
      </c>
      <c r="Y83" s="85" t="s">
        <v>572</v>
      </c>
      <c r="Z83" s="83" t="str">
        <f>HYPERLINK("https://twitter.com/letsplayballan1/status/1420763585798627331")</f>
        <v>https://twitter.com/letsplayballan1/status/1420763585798627331</v>
      </c>
      <c r="AA83" s="79"/>
      <c r="AB83" s="79"/>
      <c r="AC83" s="85" t="s">
        <v>751</v>
      </c>
      <c r="AD83" s="79"/>
      <c r="AE83" s="79" t="b">
        <v>0</v>
      </c>
      <c r="AF83" s="79">
        <v>0</v>
      </c>
      <c r="AG83" s="85" t="s">
        <v>867</v>
      </c>
      <c r="AH83" s="79" t="b">
        <v>0</v>
      </c>
      <c r="AI83" s="79" t="s">
        <v>874</v>
      </c>
      <c r="AJ83" s="79"/>
      <c r="AK83" s="85" t="s">
        <v>867</v>
      </c>
      <c r="AL83" s="79" t="b">
        <v>0</v>
      </c>
      <c r="AM83" s="79">
        <v>3</v>
      </c>
      <c r="AN83" s="85" t="s">
        <v>803</v>
      </c>
      <c r="AO83" s="85" t="s">
        <v>887</v>
      </c>
      <c r="AP83" s="79" t="b">
        <v>0</v>
      </c>
      <c r="AQ83" s="85" t="s">
        <v>803</v>
      </c>
      <c r="AR83" s="79" t="s">
        <v>177</v>
      </c>
      <c r="AS83" s="79">
        <v>0</v>
      </c>
      <c r="AT83" s="79">
        <v>0</v>
      </c>
      <c r="AU83" s="79"/>
      <c r="AV83" s="79"/>
      <c r="AW83" s="79"/>
      <c r="AX83" s="79"/>
      <c r="AY83" s="79"/>
      <c r="AZ83" s="79"/>
      <c r="BA83" s="79"/>
      <c r="BB83" s="79"/>
      <c r="BC83">
        <v>10</v>
      </c>
      <c r="BD83" s="78" t="str">
        <f>REPLACE(INDEX(GroupVertices[Group], MATCH(Edges[[#This Row],[Vertex 1]],GroupVertices[Vertex],0)),1,1,"")</f>
        <v>3</v>
      </c>
      <c r="BE83" s="78" t="str">
        <f>REPLACE(INDEX(GroupVertices[Group], MATCH(Edges[[#This Row],[Vertex 2]],GroupVertices[Vertex],0)),1,1,"")</f>
        <v>3</v>
      </c>
    </row>
    <row r="84" spans="1:57" x14ac:dyDescent="0.25">
      <c r="A84" s="64" t="s">
        <v>289</v>
      </c>
      <c r="B84" s="64" t="s">
        <v>321</v>
      </c>
      <c r="C84" s="65" t="s">
        <v>2094</v>
      </c>
      <c r="D84" s="66">
        <v>8.6</v>
      </c>
      <c r="E84" s="67"/>
      <c r="F84" s="68">
        <v>24</v>
      </c>
      <c r="G84" s="65"/>
      <c r="H84" s="69"/>
      <c r="I84" s="70"/>
      <c r="J84" s="70"/>
      <c r="K84" s="35" t="s">
        <v>65</v>
      </c>
      <c r="L84" s="77">
        <v>84</v>
      </c>
      <c r="M8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84" s="72"/>
      <c r="O84" s="79" t="s">
        <v>339</v>
      </c>
      <c r="P84" s="81">
        <v>44405.982974537037</v>
      </c>
      <c r="Q84" s="79" t="s">
        <v>385</v>
      </c>
      <c r="R84" s="79"/>
      <c r="S84" s="79"/>
      <c r="T84" s="85" t="s">
        <v>461</v>
      </c>
      <c r="U84" s="83" t="str">
        <f>HYPERLINK("https://pbs.twimg.com/media/E7a7A6jX0AQDEwY.jpg")</f>
        <v>https://pbs.twimg.com/media/E7a7A6jX0AQDEwY.jpg</v>
      </c>
      <c r="V84" s="83" t="str">
        <f>HYPERLINK("https://pbs.twimg.com/media/E7a7A6jX0AQDEwY.jpg")</f>
        <v>https://pbs.twimg.com/media/E7a7A6jX0AQDEwY.jpg</v>
      </c>
      <c r="W84" s="81">
        <v>44405.982974537037</v>
      </c>
      <c r="X84" s="87">
        <v>44405</v>
      </c>
      <c r="Y84" s="85" t="s">
        <v>611</v>
      </c>
      <c r="Z84" s="83" t="str">
        <f>HYPERLINK("https://twitter.com/ucatonsville/status/1420528365354856453")</f>
        <v>https://twitter.com/ucatonsville/status/1420528365354856453</v>
      </c>
      <c r="AA84" s="79"/>
      <c r="AB84" s="79"/>
      <c r="AC84" s="85" t="s">
        <v>791</v>
      </c>
      <c r="AD84" s="79"/>
      <c r="AE84" s="79" t="b">
        <v>0</v>
      </c>
      <c r="AF84" s="79">
        <v>0</v>
      </c>
      <c r="AG84" s="85" t="s">
        <v>872</v>
      </c>
      <c r="AH84" s="79" t="b">
        <v>0</v>
      </c>
      <c r="AI84" s="79" t="s">
        <v>874</v>
      </c>
      <c r="AJ84" s="79"/>
      <c r="AK84" s="85" t="s">
        <v>867</v>
      </c>
      <c r="AL84" s="79" t="b">
        <v>0</v>
      </c>
      <c r="AM84" s="79">
        <v>0</v>
      </c>
      <c r="AN84" s="85" t="s">
        <v>867</v>
      </c>
      <c r="AO84" s="85" t="s">
        <v>883</v>
      </c>
      <c r="AP84" s="79" t="b">
        <v>0</v>
      </c>
      <c r="AQ84" s="85" t="s">
        <v>791</v>
      </c>
      <c r="AR84" s="79" t="s">
        <v>177</v>
      </c>
      <c r="AS84" s="79">
        <v>0</v>
      </c>
      <c r="AT84" s="79">
        <v>0</v>
      </c>
      <c r="AU84" s="79" t="s">
        <v>893</v>
      </c>
      <c r="AV84" s="79" t="s">
        <v>902</v>
      </c>
      <c r="AW84" s="79" t="s">
        <v>903</v>
      </c>
      <c r="AX84" s="79" t="s">
        <v>906</v>
      </c>
      <c r="AY84" s="79" t="s">
        <v>916</v>
      </c>
      <c r="AZ84" s="79" t="s">
        <v>906</v>
      </c>
      <c r="BA84" s="79" t="s">
        <v>931</v>
      </c>
      <c r="BB84" s="83" t="str">
        <f>HYPERLINK("https://api.twitter.com/1.1/geo/id/11dca57e8e54e001.json")</f>
        <v>https://api.twitter.com/1.1/geo/id/11dca57e8e54e001.json</v>
      </c>
      <c r="BC84">
        <v>9</v>
      </c>
      <c r="BD84" s="78" t="str">
        <f>REPLACE(INDEX(GroupVertices[Group], MATCH(Edges[[#This Row],[Vertex 1]],GroupVertices[Vertex],0)),1,1,"")</f>
        <v>3</v>
      </c>
      <c r="BE84" s="78" t="str">
        <f>REPLACE(INDEX(GroupVertices[Group], MATCH(Edges[[#This Row],[Vertex 2]],GroupVertices[Vertex],0)),1,1,"")</f>
        <v>3</v>
      </c>
    </row>
    <row r="85" spans="1:57" x14ac:dyDescent="0.25">
      <c r="A85" s="64" t="s">
        <v>289</v>
      </c>
      <c r="B85" s="64" t="s">
        <v>321</v>
      </c>
      <c r="C85" s="65" t="s">
        <v>2094</v>
      </c>
      <c r="D85" s="66">
        <v>8.6</v>
      </c>
      <c r="E85" s="67"/>
      <c r="F85" s="68">
        <v>24</v>
      </c>
      <c r="G85" s="65"/>
      <c r="H85" s="69"/>
      <c r="I85" s="70"/>
      <c r="J85" s="70"/>
      <c r="K85" s="35" t="s">
        <v>65</v>
      </c>
      <c r="L85" s="77">
        <v>85</v>
      </c>
      <c r="M8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85" s="72"/>
      <c r="O85" s="79" t="s">
        <v>339</v>
      </c>
      <c r="P85" s="81">
        <v>44405.984050925923</v>
      </c>
      <c r="Q85" s="79" t="s">
        <v>386</v>
      </c>
      <c r="R85" s="79"/>
      <c r="S85" s="79"/>
      <c r="T85" s="85" t="s">
        <v>461</v>
      </c>
      <c r="U85" s="83" t="str">
        <f>HYPERLINK("https://pbs.twimg.com/media/E7a7XzIWQAAyDbT.jpg")</f>
        <v>https://pbs.twimg.com/media/E7a7XzIWQAAyDbT.jpg</v>
      </c>
      <c r="V85" s="83" t="str">
        <f>HYPERLINK("https://pbs.twimg.com/media/E7a7XzIWQAAyDbT.jpg")</f>
        <v>https://pbs.twimg.com/media/E7a7XzIWQAAyDbT.jpg</v>
      </c>
      <c r="W85" s="81">
        <v>44405.984050925923</v>
      </c>
      <c r="X85" s="87">
        <v>44405</v>
      </c>
      <c r="Y85" s="85" t="s">
        <v>612</v>
      </c>
      <c r="Z85" s="83" t="str">
        <f>HYPERLINK("https://twitter.com/ucatonsville/status/1420528757392150530")</f>
        <v>https://twitter.com/ucatonsville/status/1420528757392150530</v>
      </c>
      <c r="AA85" s="79"/>
      <c r="AB85" s="79"/>
      <c r="AC85" s="85" t="s">
        <v>792</v>
      </c>
      <c r="AD85" s="79"/>
      <c r="AE85" s="79" t="b">
        <v>0</v>
      </c>
      <c r="AF85" s="79">
        <v>0</v>
      </c>
      <c r="AG85" s="85" t="s">
        <v>872</v>
      </c>
      <c r="AH85" s="79" t="b">
        <v>0</v>
      </c>
      <c r="AI85" s="79" t="s">
        <v>874</v>
      </c>
      <c r="AJ85" s="79"/>
      <c r="AK85" s="85" t="s">
        <v>867</v>
      </c>
      <c r="AL85" s="79" t="b">
        <v>0</v>
      </c>
      <c r="AM85" s="79">
        <v>0</v>
      </c>
      <c r="AN85" s="85" t="s">
        <v>867</v>
      </c>
      <c r="AO85" s="85" t="s">
        <v>883</v>
      </c>
      <c r="AP85" s="79" t="b">
        <v>0</v>
      </c>
      <c r="AQ85" s="85" t="s">
        <v>792</v>
      </c>
      <c r="AR85" s="79" t="s">
        <v>177</v>
      </c>
      <c r="AS85" s="79">
        <v>0</v>
      </c>
      <c r="AT85" s="79">
        <v>0</v>
      </c>
      <c r="AU85" s="79" t="s">
        <v>893</v>
      </c>
      <c r="AV85" s="79" t="s">
        <v>902</v>
      </c>
      <c r="AW85" s="79" t="s">
        <v>903</v>
      </c>
      <c r="AX85" s="79" t="s">
        <v>906</v>
      </c>
      <c r="AY85" s="79" t="s">
        <v>916</v>
      </c>
      <c r="AZ85" s="79" t="s">
        <v>906</v>
      </c>
      <c r="BA85" s="79" t="s">
        <v>931</v>
      </c>
      <c r="BB85" s="83" t="str">
        <f>HYPERLINK("https://api.twitter.com/1.1/geo/id/11dca57e8e54e001.json")</f>
        <v>https://api.twitter.com/1.1/geo/id/11dca57e8e54e001.json</v>
      </c>
      <c r="BC85">
        <v>9</v>
      </c>
      <c r="BD85" s="78" t="str">
        <f>REPLACE(INDEX(GroupVertices[Group], MATCH(Edges[[#This Row],[Vertex 1]],GroupVertices[Vertex],0)),1,1,"")</f>
        <v>3</v>
      </c>
      <c r="BE85" s="78" t="str">
        <f>REPLACE(INDEX(GroupVertices[Group], MATCH(Edges[[#This Row],[Vertex 2]],GroupVertices[Vertex],0)),1,1,"")</f>
        <v>3</v>
      </c>
    </row>
    <row r="86" spans="1:57" x14ac:dyDescent="0.25">
      <c r="A86" s="64" t="s">
        <v>289</v>
      </c>
      <c r="B86" s="64" t="s">
        <v>321</v>
      </c>
      <c r="C86" s="65" t="s">
        <v>2094</v>
      </c>
      <c r="D86" s="66">
        <v>8.6</v>
      </c>
      <c r="E86" s="67"/>
      <c r="F86" s="68">
        <v>24</v>
      </c>
      <c r="G86" s="65"/>
      <c r="H86" s="69"/>
      <c r="I86" s="70"/>
      <c r="J86" s="70"/>
      <c r="K86" s="35" t="s">
        <v>65</v>
      </c>
      <c r="L86" s="77">
        <v>86</v>
      </c>
      <c r="M8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86" s="72"/>
      <c r="O86" s="79" t="s">
        <v>339</v>
      </c>
      <c r="P86" s="81">
        <v>44405.984942129631</v>
      </c>
      <c r="Q86" s="79" t="s">
        <v>379</v>
      </c>
      <c r="R86" s="79"/>
      <c r="S86" s="79"/>
      <c r="T86" s="85" t="s">
        <v>461</v>
      </c>
      <c r="U86" s="83" t="str">
        <f>HYPERLINK("https://pbs.twimg.com/media/E7a7qL-X0AEub4f.jpg")</f>
        <v>https://pbs.twimg.com/media/E7a7qL-X0AEub4f.jpg</v>
      </c>
      <c r="V86" s="83" t="str">
        <f>HYPERLINK("https://pbs.twimg.com/media/E7a7qL-X0AEub4f.jpg")</f>
        <v>https://pbs.twimg.com/media/E7a7qL-X0AEub4f.jpg</v>
      </c>
      <c r="W86" s="81">
        <v>44405.984942129631</v>
      </c>
      <c r="X86" s="87">
        <v>44405</v>
      </c>
      <c r="Y86" s="85" t="s">
        <v>613</v>
      </c>
      <c r="Z86" s="83" t="str">
        <f>HYPERLINK("https://twitter.com/ucatonsville/status/1420529079518892034")</f>
        <v>https://twitter.com/ucatonsville/status/1420529079518892034</v>
      </c>
      <c r="AA86" s="79"/>
      <c r="AB86" s="79"/>
      <c r="AC86" s="85" t="s">
        <v>793</v>
      </c>
      <c r="AD86" s="79"/>
      <c r="AE86" s="79" t="b">
        <v>0</v>
      </c>
      <c r="AF86" s="79">
        <v>1</v>
      </c>
      <c r="AG86" s="85" t="s">
        <v>872</v>
      </c>
      <c r="AH86" s="79" t="b">
        <v>0</v>
      </c>
      <c r="AI86" s="79" t="s">
        <v>874</v>
      </c>
      <c r="AJ86" s="79"/>
      <c r="AK86" s="85" t="s">
        <v>867</v>
      </c>
      <c r="AL86" s="79" t="b">
        <v>0</v>
      </c>
      <c r="AM86" s="79">
        <v>1</v>
      </c>
      <c r="AN86" s="85" t="s">
        <v>867</v>
      </c>
      <c r="AO86" s="85" t="s">
        <v>883</v>
      </c>
      <c r="AP86" s="79" t="b">
        <v>0</v>
      </c>
      <c r="AQ86" s="85" t="s">
        <v>793</v>
      </c>
      <c r="AR86" s="79" t="s">
        <v>177</v>
      </c>
      <c r="AS86" s="79">
        <v>0</v>
      </c>
      <c r="AT86" s="79">
        <v>0</v>
      </c>
      <c r="AU86" s="79" t="s">
        <v>893</v>
      </c>
      <c r="AV86" s="79" t="s">
        <v>902</v>
      </c>
      <c r="AW86" s="79" t="s">
        <v>903</v>
      </c>
      <c r="AX86" s="79" t="s">
        <v>906</v>
      </c>
      <c r="AY86" s="79" t="s">
        <v>916</v>
      </c>
      <c r="AZ86" s="79" t="s">
        <v>906</v>
      </c>
      <c r="BA86" s="79" t="s">
        <v>931</v>
      </c>
      <c r="BB86" s="83" t="str">
        <f>HYPERLINK("https://api.twitter.com/1.1/geo/id/11dca57e8e54e001.json")</f>
        <v>https://api.twitter.com/1.1/geo/id/11dca57e8e54e001.json</v>
      </c>
      <c r="BC86">
        <v>9</v>
      </c>
      <c r="BD86" s="78" t="str">
        <f>REPLACE(INDEX(GroupVertices[Group], MATCH(Edges[[#This Row],[Vertex 1]],GroupVertices[Vertex],0)),1,1,"")</f>
        <v>3</v>
      </c>
      <c r="BE86" s="78" t="str">
        <f>REPLACE(INDEX(GroupVertices[Group], MATCH(Edges[[#This Row],[Vertex 2]],GroupVertices[Vertex],0)),1,1,"")</f>
        <v>3</v>
      </c>
    </row>
    <row r="87" spans="1:57" x14ac:dyDescent="0.25">
      <c r="A87" s="64" t="s">
        <v>289</v>
      </c>
      <c r="B87" s="64" t="s">
        <v>321</v>
      </c>
      <c r="C87" s="65" t="s">
        <v>2094</v>
      </c>
      <c r="D87" s="66">
        <v>8.6</v>
      </c>
      <c r="E87" s="67"/>
      <c r="F87" s="68">
        <v>24</v>
      </c>
      <c r="G87" s="65"/>
      <c r="H87" s="69"/>
      <c r="I87" s="70"/>
      <c r="J87" s="70"/>
      <c r="K87" s="35" t="s">
        <v>65</v>
      </c>
      <c r="L87" s="77">
        <v>87</v>
      </c>
      <c r="M8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87" s="72"/>
      <c r="O87" s="79" t="s">
        <v>339</v>
      </c>
      <c r="P87" s="81">
        <v>44405.98541666667</v>
      </c>
      <c r="Q87" s="79" t="s">
        <v>387</v>
      </c>
      <c r="R87" s="79"/>
      <c r="S87" s="79"/>
      <c r="T87" s="85" t="s">
        <v>461</v>
      </c>
      <c r="U87" s="83" t="str">
        <f>HYPERLINK("https://pbs.twimg.com/media/E7a70a7XEAQb9EK.jpg")</f>
        <v>https://pbs.twimg.com/media/E7a70a7XEAQb9EK.jpg</v>
      </c>
      <c r="V87" s="83" t="str">
        <f>HYPERLINK("https://pbs.twimg.com/media/E7a70a7XEAQb9EK.jpg")</f>
        <v>https://pbs.twimg.com/media/E7a70a7XEAQb9EK.jpg</v>
      </c>
      <c r="W87" s="81">
        <v>44405.98541666667</v>
      </c>
      <c r="X87" s="87">
        <v>44405</v>
      </c>
      <c r="Y87" s="85" t="s">
        <v>614</v>
      </c>
      <c r="Z87" s="83" t="str">
        <f>HYPERLINK("https://twitter.com/ucatonsville/status/1420529251510542348")</f>
        <v>https://twitter.com/ucatonsville/status/1420529251510542348</v>
      </c>
      <c r="AA87" s="79"/>
      <c r="AB87" s="79"/>
      <c r="AC87" s="85" t="s">
        <v>794</v>
      </c>
      <c r="AD87" s="79"/>
      <c r="AE87" s="79" t="b">
        <v>0</v>
      </c>
      <c r="AF87" s="79">
        <v>0</v>
      </c>
      <c r="AG87" s="85" t="s">
        <v>872</v>
      </c>
      <c r="AH87" s="79" t="b">
        <v>0</v>
      </c>
      <c r="AI87" s="79" t="s">
        <v>874</v>
      </c>
      <c r="AJ87" s="79"/>
      <c r="AK87" s="85" t="s">
        <v>867</v>
      </c>
      <c r="AL87" s="79" t="b">
        <v>0</v>
      </c>
      <c r="AM87" s="79">
        <v>0</v>
      </c>
      <c r="AN87" s="85" t="s">
        <v>867</v>
      </c>
      <c r="AO87" s="85" t="s">
        <v>883</v>
      </c>
      <c r="AP87" s="79" t="b">
        <v>0</v>
      </c>
      <c r="AQ87" s="85" t="s">
        <v>794</v>
      </c>
      <c r="AR87" s="79" t="s">
        <v>177</v>
      </c>
      <c r="AS87" s="79">
        <v>0</v>
      </c>
      <c r="AT87" s="79">
        <v>0</v>
      </c>
      <c r="AU87" s="79" t="s">
        <v>893</v>
      </c>
      <c r="AV87" s="79" t="s">
        <v>902</v>
      </c>
      <c r="AW87" s="79" t="s">
        <v>903</v>
      </c>
      <c r="AX87" s="79" t="s">
        <v>906</v>
      </c>
      <c r="AY87" s="79" t="s">
        <v>916</v>
      </c>
      <c r="AZ87" s="79" t="s">
        <v>906</v>
      </c>
      <c r="BA87" s="79" t="s">
        <v>931</v>
      </c>
      <c r="BB87" s="83" t="str">
        <f>HYPERLINK("https://api.twitter.com/1.1/geo/id/11dca57e8e54e001.json")</f>
        <v>https://api.twitter.com/1.1/geo/id/11dca57e8e54e001.json</v>
      </c>
      <c r="BC87">
        <v>9</v>
      </c>
      <c r="BD87" s="78" t="str">
        <f>REPLACE(INDEX(GroupVertices[Group], MATCH(Edges[[#This Row],[Vertex 1]],GroupVertices[Vertex],0)),1,1,"")</f>
        <v>3</v>
      </c>
      <c r="BE87" s="78" t="str">
        <f>REPLACE(INDEX(GroupVertices[Group], MATCH(Edges[[#This Row],[Vertex 2]],GroupVertices[Vertex],0)),1,1,"")</f>
        <v>3</v>
      </c>
    </row>
    <row r="88" spans="1:57" x14ac:dyDescent="0.25">
      <c r="A88" s="64" t="s">
        <v>289</v>
      </c>
      <c r="B88" s="64" t="s">
        <v>321</v>
      </c>
      <c r="C88" s="65" t="s">
        <v>2094</v>
      </c>
      <c r="D88" s="66">
        <v>8.6</v>
      </c>
      <c r="E88" s="67"/>
      <c r="F88" s="68">
        <v>24</v>
      </c>
      <c r="G88" s="65"/>
      <c r="H88" s="69"/>
      <c r="I88" s="70"/>
      <c r="J88" s="70"/>
      <c r="K88" s="35" t="s">
        <v>65</v>
      </c>
      <c r="L88" s="77">
        <v>88</v>
      </c>
      <c r="M8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88" s="72"/>
      <c r="O88" s="79" t="s">
        <v>339</v>
      </c>
      <c r="P88" s="81">
        <v>44405.986250000002</v>
      </c>
      <c r="Q88" s="79" t="s">
        <v>388</v>
      </c>
      <c r="R88" s="79"/>
      <c r="S88" s="79"/>
      <c r="T88" s="85" t="s">
        <v>461</v>
      </c>
      <c r="U88" s="83" t="str">
        <f>HYPERLINK("https://pbs.twimg.com/media/E7a8GjlXoAg2YCs.jpg")</f>
        <v>https://pbs.twimg.com/media/E7a8GjlXoAg2YCs.jpg</v>
      </c>
      <c r="V88" s="83" t="str">
        <f>HYPERLINK("https://pbs.twimg.com/media/E7a8GjlXoAg2YCs.jpg")</f>
        <v>https://pbs.twimg.com/media/E7a8GjlXoAg2YCs.jpg</v>
      </c>
      <c r="W88" s="81">
        <v>44405.986250000002</v>
      </c>
      <c r="X88" s="87">
        <v>44405</v>
      </c>
      <c r="Y88" s="85" t="s">
        <v>615</v>
      </c>
      <c r="Z88" s="83" t="str">
        <f>HYPERLINK("https://twitter.com/ucatonsville/status/1420529556025380864")</f>
        <v>https://twitter.com/ucatonsville/status/1420529556025380864</v>
      </c>
      <c r="AA88" s="79"/>
      <c r="AB88" s="79"/>
      <c r="AC88" s="85" t="s">
        <v>795</v>
      </c>
      <c r="AD88" s="79"/>
      <c r="AE88" s="79" t="b">
        <v>0</v>
      </c>
      <c r="AF88" s="79">
        <v>0</v>
      </c>
      <c r="AG88" s="85" t="s">
        <v>872</v>
      </c>
      <c r="AH88" s="79" t="b">
        <v>0</v>
      </c>
      <c r="AI88" s="79" t="s">
        <v>874</v>
      </c>
      <c r="AJ88" s="79"/>
      <c r="AK88" s="85" t="s">
        <v>867</v>
      </c>
      <c r="AL88" s="79" t="b">
        <v>0</v>
      </c>
      <c r="AM88" s="79">
        <v>0</v>
      </c>
      <c r="AN88" s="85" t="s">
        <v>867</v>
      </c>
      <c r="AO88" s="85" t="s">
        <v>883</v>
      </c>
      <c r="AP88" s="79" t="b">
        <v>0</v>
      </c>
      <c r="AQ88" s="85" t="s">
        <v>795</v>
      </c>
      <c r="AR88" s="79" t="s">
        <v>177</v>
      </c>
      <c r="AS88" s="79">
        <v>0</v>
      </c>
      <c r="AT88" s="79">
        <v>0</v>
      </c>
      <c r="AU88" s="79"/>
      <c r="AV88" s="79"/>
      <c r="AW88" s="79"/>
      <c r="AX88" s="79"/>
      <c r="AY88" s="79"/>
      <c r="AZ88" s="79"/>
      <c r="BA88" s="79"/>
      <c r="BB88" s="79"/>
      <c r="BC88">
        <v>9</v>
      </c>
      <c r="BD88" s="78" t="str">
        <f>REPLACE(INDEX(GroupVertices[Group], MATCH(Edges[[#This Row],[Vertex 1]],GroupVertices[Vertex],0)),1,1,"")</f>
        <v>3</v>
      </c>
      <c r="BE88" s="78" t="str">
        <f>REPLACE(INDEX(GroupVertices[Group], MATCH(Edges[[#This Row],[Vertex 2]],GroupVertices[Vertex],0)),1,1,"")</f>
        <v>3</v>
      </c>
    </row>
    <row r="89" spans="1:57" x14ac:dyDescent="0.25">
      <c r="A89" s="64" t="s">
        <v>289</v>
      </c>
      <c r="B89" s="64" t="s">
        <v>321</v>
      </c>
      <c r="C89" s="65" t="s">
        <v>2094</v>
      </c>
      <c r="D89" s="66">
        <v>8.6</v>
      </c>
      <c r="E89" s="67"/>
      <c r="F89" s="68">
        <v>24</v>
      </c>
      <c r="G89" s="65"/>
      <c r="H89" s="69"/>
      <c r="I89" s="70"/>
      <c r="J89" s="70"/>
      <c r="K89" s="35" t="s">
        <v>65</v>
      </c>
      <c r="L89" s="77">
        <v>89</v>
      </c>
      <c r="M8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89" s="72"/>
      <c r="O89" s="79" t="s">
        <v>339</v>
      </c>
      <c r="P89" s="81">
        <v>44405.986550925925</v>
      </c>
      <c r="Q89" s="79" t="s">
        <v>389</v>
      </c>
      <c r="R89" s="79"/>
      <c r="S89" s="79"/>
      <c r="T89" s="85" t="s">
        <v>461</v>
      </c>
      <c r="U89" s="83" t="str">
        <f>HYPERLINK("https://pbs.twimg.com/media/E7a8M1bXEAQWb44.jpg")</f>
        <v>https://pbs.twimg.com/media/E7a8M1bXEAQWb44.jpg</v>
      </c>
      <c r="V89" s="83" t="str">
        <f>HYPERLINK("https://pbs.twimg.com/media/E7a8M1bXEAQWb44.jpg")</f>
        <v>https://pbs.twimg.com/media/E7a8M1bXEAQWb44.jpg</v>
      </c>
      <c r="W89" s="81">
        <v>44405.986550925925</v>
      </c>
      <c r="X89" s="87">
        <v>44405</v>
      </c>
      <c r="Y89" s="85" t="s">
        <v>616</v>
      </c>
      <c r="Z89" s="83" t="str">
        <f>HYPERLINK("https://twitter.com/ucatonsville/status/1420529664280469510")</f>
        <v>https://twitter.com/ucatonsville/status/1420529664280469510</v>
      </c>
      <c r="AA89" s="79"/>
      <c r="AB89" s="79"/>
      <c r="AC89" s="85" t="s">
        <v>796</v>
      </c>
      <c r="AD89" s="79"/>
      <c r="AE89" s="79" t="b">
        <v>0</v>
      </c>
      <c r="AF89" s="79">
        <v>0</v>
      </c>
      <c r="AG89" s="85" t="s">
        <v>872</v>
      </c>
      <c r="AH89" s="79" t="b">
        <v>0</v>
      </c>
      <c r="AI89" s="79" t="s">
        <v>874</v>
      </c>
      <c r="AJ89" s="79"/>
      <c r="AK89" s="85" t="s">
        <v>867</v>
      </c>
      <c r="AL89" s="79" t="b">
        <v>0</v>
      </c>
      <c r="AM89" s="79">
        <v>0</v>
      </c>
      <c r="AN89" s="85" t="s">
        <v>867</v>
      </c>
      <c r="AO89" s="85" t="s">
        <v>883</v>
      </c>
      <c r="AP89" s="79" t="b">
        <v>0</v>
      </c>
      <c r="AQ89" s="85" t="s">
        <v>796</v>
      </c>
      <c r="AR89" s="79" t="s">
        <v>177</v>
      </c>
      <c r="AS89" s="79">
        <v>0</v>
      </c>
      <c r="AT89" s="79">
        <v>0</v>
      </c>
      <c r="AU89" s="79"/>
      <c r="AV89" s="79"/>
      <c r="AW89" s="79"/>
      <c r="AX89" s="79"/>
      <c r="AY89" s="79"/>
      <c r="AZ89" s="79"/>
      <c r="BA89" s="79"/>
      <c r="BB89" s="79"/>
      <c r="BC89">
        <v>9</v>
      </c>
      <c r="BD89" s="78" t="str">
        <f>REPLACE(INDEX(GroupVertices[Group], MATCH(Edges[[#This Row],[Vertex 1]],GroupVertices[Vertex],0)),1,1,"")</f>
        <v>3</v>
      </c>
      <c r="BE89" s="78" t="str">
        <f>REPLACE(INDEX(GroupVertices[Group], MATCH(Edges[[#This Row],[Vertex 2]],GroupVertices[Vertex],0)),1,1,"")</f>
        <v>3</v>
      </c>
    </row>
    <row r="90" spans="1:57" x14ac:dyDescent="0.25">
      <c r="A90" s="64" t="s">
        <v>289</v>
      </c>
      <c r="B90" s="64" t="s">
        <v>321</v>
      </c>
      <c r="C90" s="65" t="s">
        <v>2094</v>
      </c>
      <c r="D90" s="66">
        <v>8.6</v>
      </c>
      <c r="E90" s="67"/>
      <c r="F90" s="68">
        <v>24</v>
      </c>
      <c r="G90" s="65"/>
      <c r="H90" s="69"/>
      <c r="I90" s="70"/>
      <c r="J90" s="70"/>
      <c r="K90" s="35" t="s">
        <v>65</v>
      </c>
      <c r="L90" s="77">
        <v>90</v>
      </c>
      <c r="M9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90" s="72"/>
      <c r="O90" s="79" t="s">
        <v>339</v>
      </c>
      <c r="P90" s="81">
        <v>44405.987962962965</v>
      </c>
      <c r="Q90" s="79" t="s">
        <v>390</v>
      </c>
      <c r="R90" s="79"/>
      <c r="S90" s="79"/>
      <c r="T90" s="85" t="s">
        <v>461</v>
      </c>
      <c r="U90" s="83" t="str">
        <f>HYPERLINK("https://pbs.twimg.com/media/E7a8qbhWYAAJ_Pp.jpg")</f>
        <v>https://pbs.twimg.com/media/E7a8qbhWYAAJ_Pp.jpg</v>
      </c>
      <c r="V90" s="83" t="str">
        <f>HYPERLINK("https://pbs.twimg.com/media/E7a8qbhWYAAJ_Pp.jpg")</f>
        <v>https://pbs.twimg.com/media/E7a8qbhWYAAJ_Pp.jpg</v>
      </c>
      <c r="W90" s="81">
        <v>44405.987962962965</v>
      </c>
      <c r="X90" s="87">
        <v>44405</v>
      </c>
      <c r="Y90" s="85" t="s">
        <v>617</v>
      </c>
      <c r="Z90" s="83" t="str">
        <f>HYPERLINK("https://twitter.com/ucatonsville/status/1420530173947088905")</f>
        <v>https://twitter.com/ucatonsville/status/1420530173947088905</v>
      </c>
      <c r="AA90" s="79"/>
      <c r="AB90" s="79"/>
      <c r="AC90" s="85" t="s">
        <v>797</v>
      </c>
      <c r="AD90" s="79"/>
      <c r="AE90" s="79" t="b">
        <v>0</v>
      </c>
      <c r="AF90" s="79">
        <v>0</v>
      </c>
      <c r="AG90" s="85" t="s">
        <v>872</v>
      </c>
      <c r="AH90" s="79" t="b">
        <v>0</v>
      </c>
      <c r="AI90" s="79" t="s">
        <v>874</v>
      </c>
      <c r="AJ90" s="79"/>
      <c r="AK90" s="85" t="s">
        <v>867</v>
      </c>
      <c r="AL90" s="79" t="b">
        <v>0</v>
      </c>
      <c r="AM90" s="79">
        <v>0</v>
      </c>
      <c r="AN90" s="85" t="s">
        <v>867</v>
      </c>
      <c r="AO90" s="85" t="s">
        <v>883</v>
      </c>
      <c r="AP90" s="79" t="b">
        <v>0</v>
      </c>
      <c r="AQ90" s="85" t="s">
        <v>797</v>
      </c>
      <c r="AR90" s="79" t="s">
        <v>177</v>
      </c>
      <c r="AS90" s="79">
        <v>0</v>
      </c>
      <c r="AT90" s="79">
        <v>0</v>
      </c>
      <c r="AU90" s="79"/>
      <c r="AV90" s="79"/>
      <c r="AW90" s="79"/>
      <c r="AX90" s="79"/>
      <c r="AY90" s="79"/>
      <c r="AZ90" s="79"/>
      <c r="BA90" s="79"/>
      <c r="BB90" s="79"/>
      <c r="BC90">
        <v>9</v>
      </c>
      <c r="BD90" s="78" t="str">
        <f>REPLACE(INDEX(GroupVertices[Group], MATCH(Edges[[#This Row],[Vertex 1]],GroupVertices[Vertex],0)),1,1,"")</f>
        <v>3</v>
      </c>
      <c r="BE90" s="78" t="str">
        <f>REPLACE(INDEX(GroupVertices[Group], MATCH(Edges[[#This Row],[Vertex 2]],GroupVertices[Vertex],0)),1,1,"")</f>
        <v>3</v>
      </c>
    </row>
    <row r="91" spans="1:57" x14ac:dyDescent="0.25">
      <c r="A91" s="64" t="s">
        <v>289</v>
      </c>
      <c r="B91" s="64" t="s">
        <v>321</v>
      </c>
      <c r="C91" s="65" t="s">
        <v>2094</v>
      </c>
      <c r="D91" s="66">
        <v>8.6</v>
      </c>
      <c r="E91" s="67"/>
      <c r="F91" s="68">
        <v>24</v>
      </c>
      <c r="G91" s="65"/>
      <c r="H91" s="69"/>
      <c r="I91" s="70"/>
      <c r="J91" s="70"/>
      <c r="K91" s="35" t="s">
        <v>65</v>
      </c>
      <c r="L91" s="77">
        <v>91</v>
      </c>
      <c r="M9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91" s="72"/>
      <c r="O91" s="79" t="s">
        <v>339</v>
      </c>
      <c r="P91" s="81">
        <v>44405.997476851851</v>
      </c>
      <c r="Q91" s="79" t="s">
        <v>378</v>
      </c>
      <c r="R91" s="79"/>
      <c r="S91" s="79"/>
      <c r="T91" s="85" t="s">
        <v>461</v>
      </c>
      <c r="U91" s="83" t="str">
        <f>HYPERLINK("https://pbs.twimg.com/media/E7a_y_LXIAEIoB-.jpg")</f>
        <v>https://pbs.twimg.com/media/E7a_y_LXIAEIoB-.jpg</v>
      </c>
      <c r="V91" s="83" t="str">
        <f>HYPERLINK("https://pbs.twimg.com/media/E7a_y_LXIAEIoB-.jpg")</f>
        <v>https://pbs.twimg.com/media/E7a_y_LXIAEIoB-.jpg</v>
      </c>
      <c r="W91" s="81">
        <v>44405.997476851851</v>
      </c>
      <c r="X91" s="87">
        <v>44405</v>
      </c>
      <c r="Y91" s="85" t="s">
        <v>618</v>
      </c>
      <c r="Z91" s="83" t="str">
        <f>HYPERLINK("https://twitter.com/ucatonsville/status/1420533623971848193")</f>
        <v>https://twitter.com/ucatonsville/status/1420533623971848193</v>
      </c>
      <c r="AA91" s="79"/>
      <c r="AB91" s="79"/>
      <c r="AC91" s="85" t="s">
        <v>798</v>
      </c>
      <c r="AD91" s="79"/>
      <c r="AE91" s="79" t="b">
        <v>0</v>
      </c>
      <c r="AF91" s="79">
        <v>1</v>
      </c>
      <c r="AG91" s="85" t="s">
        <v>872</v>
      </c>
      <c r="AH91" s="79" t="b">
        <v>0</v>
      </c>
      <c r="AI91" s="79" t="s">
        <v>874</v>
      </c>
      <c r="AJ91" s="79"/>
      <c r="AK91" s="85" t="s">
        <v>867</v>
      </c>
      <c r="AL91" s="79" t="b">
        <v>0</v>
      </c>
      <c r="AM91" s="79">
        <v>1</v>
      </c>
      <c r="AN91" s="85" t="s">
        <v>867</v>
      </c>
      <c r="AO91" s="85" t="s">
        <v>883</v>
      </c>
      <c r="AP91" s="79" t="b">
        <v>0</v>
      </c>
      <c r="AQ91" s="85" t="s">
        <v>798</v>
      </c>
      <c r="AR91" s="79" t="s">
        <v>177</v>
      </c>
      <c r="AS91" s="79">
        <v>0</v>
      </c>
      <c r="AT91" s="79">
        <v>0</v>
      </c>
      <c r="AU91" s="79" t="s">
        <v>894</v>
      </c>
      <c r="AV91" s="79" t="s">
        <v>902</v>
      </c>
      <c r="AW91" s="79" t="s">
        <v>903</v>
      </c>
      <c r="AX91" s="79" t="s">
        <v>907</v>
      </c>
      <c r="AY91" s="79" t="s">
        <v>917</v>
      </c>
      <c r="AZ91" s="79" t="s">
        <v>907</v>
      </c>
      <c r="BA91" s="79" t="s">
        <v>931</v>
      </c>
      <c r="BB91" s="83" t="str">
        <f>HYPERLINK("https://api.twitter.com/1.1/geo/id/07d9ec6f99488000.json")</f>
        <v>https://api.twitter.com/1.1/geo/id/07d9ec6f99488000.json</v>
      </c>
      <c r="BC91">
        <v>9</v>
      </c>
      <c r="BD91" s="78" t="str">
        <f>REPLACE(INDEX(GroupVertices[Group], MATCH(Edges[[#This Row],[Vertex 1]],GroupVertices[Vertex],0)),1,1,"")</f>
        <v>3</v>
      </c>
      <c r="BE91" s="78" t="str">
        <f>REPLACE(INDEX(GroupVertices[Group], MATCH(Edges[[#This Row],[Vertex 2]],GroupVertices[Vertex],0)),1,1,"")</f>
        <v>3</v>
      </c>
    </row>
    <row r="92" spans="1:57" x14ac:dyDescent="0.25">
      <c r="A92" s="64" t="s">
        <v>289</v>
      </c>
      <c r="B92" s="64" t="s">
        <v>321</v>
      </c>
      <c r="C92" s="65" t="s">
        <v>2094</v>
      </c>
      <c r="D92" s="66">
        <v>8.6</v>
      </c>
      <c r="E92" s="67"/>
      <c r="F92" s="68">
        <v>24</v>
      </c>
      <c r="G92" s="65"/>
      <c r="H92" s="69"/>
      <c r="I92" s="70"/>
      <c r="J92" s="70"/>
      <c r="K92" s="35" t="s">
        <v>65</v>
      </c>
      <c r="L92" s="77">
        <v>92</v>
      </c>
      <c r="M9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92" s="72"/>
      <c r="O92" s="79" t="s">
        <v>339</v>
      </c>
      <c r="P92" s="81">
        <v>44406.62605324074</v>
      </c>
      <c r="Q92" s="79" t="s">
        <v>366</v>
      </c>
      <c r="R92" s="79"/>
      <c r="S92" s="79"/>
      <c r="T92" s="85" t="s">
        <v>461</v>
      </c>
      <c r="U92" s="83" t="str">
        <f>HYPERLINK("https://pbs.twimg.com/media/E7eO9zIVUAEjK-g.jpg")</f>
        <v>https://pbs.twimg.com/media/E7eO9zIVUAEjK-g.jpg</v>
      </c>
      <c r="V92" s="83" t="str">
        <f>HYPERLINK("https://pbs.twimg.com/media/E7eO9zIVUAEjK-g.jpg")</f>
        <v>https://pbs.twimg.com/media/E7eO9zIVUAEjK-g.jpg</v>
      </c>
      <c r="W92" s="81">
        <v>44406.62605324074</v>
      </c>
      <c r="X92" s="87">
        <v>44406</v>
      </c>
      <c r="Y92" s="85" t="s">
        <v>619</v>
      </c>
      <c r="Z92" s="83" t="str">
        <f>HYPERLINK("https://twitter.com/ucatonsville/status/1420761412998209539")</f>
        <v>https://twitter.com/ucatonsville/status/1420761412998209539</v>
      </c>
      <c r="AA92" s="79"/>
      <c r="AB92" s="79"/>
      <c r="AC92" s="85" t="s">
        <v>799</v>
      </c>
      <c r="AD92" s="79"/>
      <c r="AE92" s="79" t="b">
        <v>0</v>
      </c>
      <c r="AF92" s="79">
        <v>6</v>
      </c>
      <c r="AG92" s="85" t="s">
        <v>867</v>
      </c>
      <c r="AH92" s="79" t="b">
        <v>0</v>
      </c>
      <c r="AI92" s="79" t="s">
        <v>874</v>
      </c>
      <c r="AJ92" s="79"/>
      <c r="AK92" s="85" t="s">
        <v>867</v>
      </c>
      <c r="AL92" s="79" t="b">
        <v>0</v>
      </c>
      <c r="AM92" s="79">
        <v>4</v>
      </c>
      <c r="AN92" s="85" t="s">
        <v>867</v>
      </c>
      <c r="AO92" s="85" t="s">
        <v>883</v>
      </c>
      <c r="AP92" s="79" t="b">
        <v>0</v>
      </c>
      <c r="AQ92" s="85" t="s">
        <v>799</v>
      </c>
      <c r="AR92" s="79" t="s">
        <v>177</v>
      </c>
      <c r="AS92" s="79">
        <v>0</v>
      </c>
      <c r="AT92" s="79">
        <v>0</v>
      </c>
      <c r="AU92" s="79" t="s">
        <v>894</v>
      </c>
      <c r="AV92" s="79" t="s">
        <v>902</v>
      </c>
      <c r="AW92" s="79" t="s">
        <v>903</v>
      </c>
      <c r="AX92" s="79" t="s">
        <v>907</v>
      </c>
      <c r="AY92" s="79" t="s">
        <v>917</v>
      </c>
      <c r="AZ92" s="79" t="s">
        <v>907</v>
      </c>
      <c r="BA92" s="79" t="s">
        <v>931</v>
      </c>
      <c r="BB92" s="83" t="str">
        <f>HYPERLINK("https://api.twitter.com/1.1/geo/id/07d9ec6f99488000.json")</f>
        <v>https://api.twitter.com/1.1/geo/id/07d9ec6f99488000.json</v>
      </c>
      <c r="BC92">
        <v>9</v>
      </c>
      <c r="BD92" s="78" t="str">
        <f>REPLACE(INDEX(GroupVertices[Group], MATCH(Edges[[#This Row],[Vertex 1]],GroupVertices[Vertex],0)),1,1,"")</f>
        <v>3</v>
      </c>
      <c r="BE92" s="78" t="str">
        <f>REPLACE(INDEX(GroupVertices[Group], MATCH(Edges[[#This Row],[Vertex 2]],GroupVertices[Vertex],0)),1,1,"")</f>
        <v>3</v>
      </c>
    </row>
    <row r="93" spans="1:57" x14ac:dyDescent="0.25">
      <c r="A93" s="64" t="s">
        <v>289</v>
      </c>
      <c r="B93" s="64" t="s">
        <v>329</v>
      </c>
      <c r="C93" s="65" t="s">
        <v>2095</v>
      </c>
      <c r="D93" s="66">
        <v>7.2</v>
      </c>
      <c r="E93" s="67"/>
      <c r="F93" s="68">
        <v>28</v>
      </c>
      <c r="G93" s="65"/>
      <c r="H93" s="69"/>
      <c r="I93" s="70"/>
      <c r="J93" s="70"/>
      <c r="K93" s="35" t="s">
        <v>65</v>
      </c>
      <c r="L93" s="77">
        <v>93</v>
      </c>
      <c r="M9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93" s="72"/>
      <c r="O93" s="79" t="s">
        <v>339</v>
      </c>
      <c r="P93" s="81">
        <v>44405.982974537037</v>
      </c>
      <c r="Q93" s="79" t="s">
        <v>385</v>
      </c>
      <c r="R93" s="79"/>
      <c r="S93" s="79"/>
      <c r="T93" s="85" t="s">
        <v>461</v>
      </c>
      <c r="U93" s="83" t="str">
        <f>HYPERLINK("https://pbs.twimg.com/media/E7a7A6jX0AQDEwY.jpg")</f>
        <v>https://pbs.twimg.com/media/E7a7A6jX0AQDEwY.jpg</v>
      </c>
      <c r="V93" s="83" t="str">
        <f>HYPERLINK("https://pbs.twimg.com/media/E7a7A6jX0AQDEwY.jpg")</f>
        <v>https://pbs.twimg.com/media/E7a7A6jX0AQDEwY.jpg</v>
      </c>
      <c r="W93" s="81">
        <v>44405.982974537037</v>
      </c>
      <c r="X93" s="87">
        <v>44405</v>
      </c>
      <c r="Y93" s="85" t="s">
        <v>611</v>
      </c>
      <c r="Z93" s="83" t="str">
        <f>HYPERLINK("https://twitter.com/ucatonsville/status/1420528365354856453")</f>
        <v>https://twitter.com/ucatonsville/status/1420528365354856453</v>
      </c>
      <c r="AA93" s="79"/>
      <c r="AB93" s="79"/>
      <c r="AC93" s="85" t="s">
        <v>791</v>
      </c>
      <c r="AD93" s="79"/>
      <c r="AE93" s="79" t="b">
        <v>0</v>
      </c>
      <c r="AF93" s="79">
        <v>0</v>
      </c>
      <c r="AG93" s="85" t="s">
        <v>872</v>
      </c>
      <c r="AH93" s="79" t="b">
        <v>0</v>
      </c>
      <c r="AI93" s="79" t="s">
        <v>874</v>
      </c>
      <c r="AJ93" s="79"/>
      <c r="AK93" s="85" t="s">
        <v>867</v>
      </c>
      <c r="AL93" s="79" t="b">
        <v>0</v>
      </c>
      <c r="AM93" s="79">
        <v>0</v>
      </c>
      <c r="AN93" s="85" t="s">
        <v>867</v>
      </c>
      <c r="AO93" s="85" t="s">
        <v>883</v>
      </c>
      <c r="AP93" s="79" t="b">
        <v>0</v>
      </c>
      <c r="AQ93" s="85" t="s">
        <v>791</v>
      </c>
      <c r="AR93" s="79" t="s">
        <v>177</v>
      </c>
      <c r="AS93" s="79">
        <v>0</v>
      </c>
      <c r="AT93" s="79">
        <v>0</v>
      </c>
      <c r="AU93" s="79" t="s">
        <v>893</v>
      </c>
      <c r="AV93" s="79" t="s">
        <v>902</v>
      </c>
      <c r="AW93" s="79" t="s">
        <v>903</v>
      </c>
      <c r="AX93" s="79" t="s">
        <v>906</v>
      </c>
      <c r="AY93" s="79" t="s">
        <v>916</v>
      </c>
      <c r="AZ93" s="79" t="s">
        <v>906</v>
      </c>
      <c r="BA93" s="79" t="s">
        <v>931</v>
      </c>
      <c r="BB93" s="83" t="str">
        <f>HYPERLINK("https://api.twitter.com/1.1/geo/id/11dca57e8e54e001.json")</f>
        <v>https://api.twitter.com/1.1/geo/id/11dca57e8e54e001.json</v>
      </c>
      <c r="BC93">
        <v>7</v>
      </c>
      <c r="BD93" s="78" t="str">
        <f>REPLACE(INDEX(GroupVertices[Group], MATCH(Edges[[#This Row],[Vertex 1]],GroupVertices[Vertex],0)),1,1,"")</f>
        <v>3</v>
      </c>
      <c r="BE93" s="78" t="str">
        <f>REPLACE(INDEX(GroupVertices[Group], MATCH(Edges[[#This Row],[Vertex 2]],GroupVertices[Vertex],0)),1,1,"")</f>
        <v>3</v>
      </c>
    </row>
    <row r="94" spans="1:57" x14ac:dyDescent="0.25">
      <c r="A94" s="64" t="s">
        <v>289</v>
      </c>
      <c r="B94" s="64" t="s">
        <v>329</v>
      </c>
      <c r="C94" s="65" t="s">
        <v>2095</v>
      </c>
      <c r="D94" s="66">
        <v>7.2</v>
      </c>
      <c r="E94" s="67"/>
      <c r="F94" s="68">
        <v>28</v>
      </c>
      <c r="G94" s="65"/>
      <c r="H94" s="69"/>
      <c r="I94" s="70"/>
      <c r="J94" s="70"/>
      <c r="K94" s="35" t="s">
        <v>65</v>
      </c>
      <c r="L94" s="77">
        <v>94</v>
      </c>
      <c r="M9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94" s="72"/>
      <c r="O94" s="79" t="s">
        <v>339</v>
      </c>
      <c r="P94" s="81">
        <v>44405.984050925923</v>
      </c>
      <c r="Q94" s="79" t="s">
        <v>386</v>
      </c>
      <c r="R94" s="79"/>
      <c r="S94" s="79"/>
      <c r="T94" s="85" t="s">
        <v>461</v>
      </c>
      <c r="U94" s="83" t="str">
        <f>HYPERLINK("https://pbs.twimg.com/media/E7a7XzIWQAAyDbT.jpg")</f>
        <v>https://pbs.twimg.com/media/E7a7XzIWQAAyDbT.jpg</v>
      </c>
      <c r="V94" s="83" t="str">
        <f>HYPERLINK("https://pbs.twimg.com/media/E7a7XzIWQAAyDbT.jpg")</f>
        <v>https://pbs.twimg.com/media/E7a7XzIWQAAyDbT.jpg</v>
      </c>
      <c r="W94" s="81">
        <v>44405.984050925923</v>
      </c>
      <c r="X94" s="87">
        <v>44405</v>
      </c>
      <c r="Y94" s="85" t="s">
        <v>612</v>
      </c>
      <c r="Z94" s="83" t="str">
        <f>HYPERLINK("https://twitter.com/ucatonsville/status/1420528757392150530")</f>
        <v>https://twitter.com/ucatonsville/status/1420528757392150530</v>
      </c>
      <c r="AA94" s="79"/>
      <c r="AB94" s="79"/>
      <c r="AC94" s="85" t="s">
        <v>792</v>
      </c>
      <c r="AD94" s="79"/>
      <c r="AE94" s="79" t="b">
        <v>0</v>
      </c>
      <c r="AF94" s="79">
        <v>0</v>
      </c>
      <c r="AG94" s="85" t="s">
        <v>872</v>
      </c>
      <c r="AH94" s="79" t="b">
        <v>0</v>
      </c>
      <c r="AI94" s="79" t="s">
        <v>874</v>
      </c>
      <c r="AJ94" s="79"/>
      <c r="AK94" s="85" t="s">
        <v>867</v>
      </c>
      <c r="AL94" s="79" t="b">
        <v>0</v>
      </c>
      <c r="AM94" s="79">
        <v>0</v>
      </c>
      <c r="AN94" s="85" t="s">
        <v>867</v>
      </c>
      <c r="AO94" s="85" t="s">
        <v>883</v>
      </c>
      <c r="AP94" s="79" t="b">
        <v>0</v>
      </c>
      <c r="AQ94" s="85" t="s">
        <v>792</v>
      </c>
      <c r="AR94" s="79" t="s">
        <v>177</v>
      </c>
      <c r="AS94" s="79">
        <v>0</v>
      </c>
      <c r="AT94" s="79">
        <v>0</v>
      </c>
      <c r="AU94" s="79" t="s">
        <v>893</v>
      </c>
      <c r="AV94" s="79" t="s">
        <v>902</v>
      </c>
      <c r="AW94" s="79" t="s">
        <v>903</v>
      </c>
      <c r="AX94" s="79" t="s">
        <v>906</v>
      </c>
      <c r="AY94" s="79" t="s">
        <v>916</v>
      </c>
      <c r="AZ94" s="79" t="s">
        <v>906</v>
      </c>
      <c r="BA94" s="79" t="s">
        <v>931</v>
      </c>
      <c r="BB94" s="83" t="str">
        <f>HYPERLINK("https://api.twitter.com/1.1/geo/id/11dca57e8e54e001.json")</f>
        <v>https://api.twitter.com/1.1/geo/id/11dca57e8e54e001.json</v>
      </c>
      <c r="BC94">
        <v>7</v>
      </c>
      <c r="BD94" s="78" t="str">
        <f>REPLACE(INDEX(GroupVertices[Group], MATCH(Edges[[#This Row],[Vertex 1]],GroupVertices[Vertex],0)),1,1,"")</f>
        <v>3</v>
      </c>
      <c r="BE94" s="78" t="str">
        <f>REPLACE(INDEX(GroupVertices[Group], MATCH(Edges[[#This Row],[Vertex 2]],GroupVertices[Vertex],0)),1,1,"")</f>
        <v>3</v>
      </c>
    </row>
    <row r="95" spans="1:57" x14ac:dyDescent="0.25">
      <c r="A95" s="64" t="s">
        <v>289</v>
      </c>
      <c r="B95" s="64" t="s">
        <v>329</v>
      </c>
      <c r="C95" s="65" t="s">
        <v>2095</v>
      </c>
      <c r="D95" s="66">
        <v>7.2</v>
      </c>
      <c r="E95" s="67"/>
      <c r="F95" s="68">
        <v>28</v>
      </c>
      <c r="G95" s="65"/>
      <c r="H95" s="69"/>
      <c r="I95" s="70"/>
      <c r="J95" s="70"/>
      <c r="K95" s="35" t="s">
        <v>65</v>
      </c>
      <c r="L95" s="77">
        <v>95</v>
      </c>
      <c r="M9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95" s="72"/>
      <c r="O95" s="79" t="s">
        <v>339</v>
      </c>
      <c r="P95" s="81">
        <v>44405.984942129631</v>
      </c>
      <c r="Q95" s="79" t="s">
        <v>379</v>
      </c>
      <c r="R95" s="79"/>
      <c r="S95" s="79"/>
      <c r="T95" s="85" t="s">
        <v>461</v>
      </c>
      <c r="U95" s="83" t="str">
        <f>HYPERLINK("https://pbs.twimg.com/media/E7a7qL-X0AEub4f.jpg")</f>
        <v>https://pbs.twimg.com/media/E7a7qL-X0AEub4f.jpg</v>
      </c>
      <c r="V95" s="83" t="str">
        <f>HYPERLINK("https://pbs.twimg.com/media/E7a7qL-X0AEub4f.jpg")</f>
        <v>https://pbs.twimg.com/media/E7a7qL-X0AEub4f.jpg</v>
      </c>
      <c r="W95" s="81">
        <v>44405.984942129631</v>
      </c>
      <c r="X95" s="87">
        <v>44405</v>
      </c>
      <c r="Y95" s="85" t="s">
        <v>613</v>
      </c>
      <c r="Z95" s="83" t="str">
        <f>HYPERLINK("https://twitter.com/ucatonsville/status/1420529079518892034")</f>
        <v>https://twitter.com/ucatonsville/status/1420529079518892034</v>
      </c>
      <c r="AA95" s="79"/>
      <c r="AB95" s="79"/>
      <c r="AC95" s="85" t="s">
        <v>793</v>
      </c>
      <c r="AD95" s="79"/>
      <c r="AE95" s="79" t="b">
        <v>0</v>
      </c>
      <c r="AF95" s="79">
        <v>1</v>
      </c>
      <c r="AG95" s="85" t="s">
        <v>872</v>
      </c>
      <c r="AH95" s="79" t="b">
        <v>0</v>
      </c>
      <c r="AI95" s="79" t="s">
        <v>874</v>
      </c>
      <c r="AJ95" s="79"/>
      <c r="AK95" s="85" t="s">
        <v>867</v>
      </c>
      <c r="AL95" s="79" t="b">
        <v>0</v>
      </c>
      <c r="AM95" s="79">
        <v>1</v>
      </c>
      <c r="AN95" s="85" t="s">
        <v>867</v>
      </c>
      <c r="AO95" s="85" t="s">
        <v>883</v>
      </c>
      <c r="AP95" s="79" t="b">
        <v>0</v>
      </c>
      <c r="AQ95" s="85" t="s">
        <v>793</v>
      </c>
      <c r="AR95" s="79" t="s">
        <v>177</v>
      </c>
      <c r="AS95" s="79">
        <v>0</v>
      </c>
      <c r="AT95" s="79">
        <v>0</v>
      </c>
      <c r="AU95" s="79" t="s">
        <v>893</v>
      </c>
      <c r="AV95" s="79" t="s">
        <v>902</v>
      </c>
      <c r="AW95" s="79" t="s">
        <v>903</v>
      </c>
      <c r="AX95" s="79" t="s">
        <v>906</v>
      </c>
      <c r="AY95" s="79" t="s">
        <v>916</v>
      </c>
      <c r="AZ95" s="79" t="s">
        <v>906</v>
      </c>
      <c r="BA95" s="79" t="s">
        <v>931</v>
      </c>
      <c r="BB95" s="83" t="str">
        <f>HYPERLINK("https://api.twitter.com/1.1/geo/id/11dca57e8e54e001.json")</f>
        <v>https://api.twitter.com/1.1/geo/id/11dca57e8e54e001.json</v>
      </c>
      <c r="BC95">
        <v>7</v>
      </c>
      <c r="BD95" s="78" t="str">
        <f>REPLACE(INDEX(GroupVertices[Group], MATCH(Edges[[#This Row],[Vertex 1]],GroupVertices[Vertex],0)),1,1,"")</f>
        <v>3</v>
      </c>
      <c r="BE95" s="78" t="str">
        <f>REPLACE(INDEX(GroupVertices[Group], MATCH(Edges[[#This Row],[Vertex 2]],GroupVertices[Vertex],0)),1,1,"")</f>
        <v>3</v>
      </c>
    </row>
    <row r="96" spans="1:57" x14ac:dyDescent="0.25">
      <c r="A96" s="64" t="s">
        <v>289</v>
      </c>
      <c r="B96" s="64" t="s">
        <v>329</v>
      </c>
      <c r="C96" s="65" t="s">
        <v>2095</v>
      </c>
      <c r="D96" s="66">
        <v>7.2</v>
      </c>
      <c r="E96" s="67"/>
      <c r="F96" s="68">
        <v>28</v>
      </c>
      <c r="G96" s="65"/>
      <c r="H96" s="69"/>
      <c r="I96" s="70"/>
      <c r="J96" s="70"/>
      <c r="K96" s="35" t="s">
        <v>65</v>
      </c>
      <c r="L96" s="77">
        <v>96</v>
      </c>
      <c r="M9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96" s="72"/>
      <c r="O96" s="79" t="s">
        <v>339</v>
      </c>
      <c r="P96" s="81">
        <v>44405.98541666667</v>
      </c>
      <c r="Q96" s="79" t="s">
        <v>387</v>
      </c>
      <c r="R96" s="79"/>
      <c r="S96" s="79"/>
      <c r="T96" s="85" t="s">
        <v>461</v>
      </c>
      <c r="U96" s="83" t="str">
        <f>HYPERLINK("https://pbs.twimg.com/media/E7a70a7XEAQb9EK.jpg")</f>
        <v>https://pbs.twimg.com/media/E7a70a7XEAQb9EK.jpg</v>
      </c>
      <c r="V96" s="83" t="str">
        <f>HYPERLINK("https://pbs.twimg.com/media/E7a70a7XEAQb9EK.jpg")</f>
        <v>https://pbs.twimg.com/media/E7a70a7XEAQb9EK.jpg</v>
      </c>
      <c r="W96" s="81">
        <v>44405.98541666667</v>
      </c>
      <c r="X96" s="87">
        <v>44405</v>
      </c>
      <c r="Y96" s="85" t="s">
        <v>614</v>
      </c>
      <c r="Z96" s="83" t="str">
        <f>HYPERLINK("https://twitter.com/ucatonsville/status/1420529251510542348")</f>
        <v>https://twitter.com/ucatonsville/status/1420529251510542348</v>
      </c>
      <c r="AA96" s="79"/>
      <c r="AB96" s="79"/>
      <c r="AC96" s="85" t="s">
        <v>794</v>
      </c>
      <c r="AD96" s="79"/>
      <c r="AE96" s="79" t="b">
        <v>0</v>
      </c>
      <c r="AF96" s="79">
        <v>0</v>
      </c>
      <c r="AG96" s="85" t="s">
        <v>872</v>
      </c>
      <c r="AH96" s="79" t="b">
        <v>0</v>
      </c>
      <c r="AI96" s="79" t="s">
        <v>874</v>
      </c>
      <c r="AJ96" s="79"/>
      <c r="AK96" s="85" t="s">
        <v>867</v>
      </c>
      <c r="AL96" s="79" t="b">
        <v>0</v>
      </c>
      <c r="AM96" s="79">
        <v>0</v>
      </c>
      <c r="AN96" s="85" t="s">
        <v>867</v>
      </c>
      <c r="AO96" s="85" t="s">
        <v>883</v>
      </c>
      <c r="AP96" s="79" t="b">
        <v>0</v>
      </c>
      <c r="AQ96" s="85" t="s">
        <v>794</v>
      </c>
      <c r="AR96" s="79" t="s">
        <v>177</v>
      </c>
      <c r="AS96" s="79">
        <v>0</v>
      </c>
      <c r="AT96" s="79">
        <v>0</v>
      </c>
      <c r="AU96" s="79" t="s">
        <v>893</v>
      </c>
      <c r="AV96" s="79" t="s">
        <v>902</v>
      </c>
      <c r="AW96" s="79" t="s">
        <v>903</v>
      </c>
      <c r="AX96" s="79" t="s">
        <v>906</v>
      </c>
      <c r="AY96" s="79" t="s">
        <v>916</v>
      </c>
      <c r="AZ96" s="79" t="s">
        <v>906</v>
      </c>
      <c r="BA96" s="79" t="s">
        <v>931</v>
      </c>
      <c r="BB96" s="83" t="str">
        <f>HYPERLINK("https://api.twitter.com/1.1/geo/id/11dca57e8e54e001.json")</f>
        <v>https://api.twitter.com/1.1/geo/id/11dca57e8e54e001.json</v>
      </c>
      <c r="BC96">
        <v>7</v>
      </c>
      <c r="BD96" s="78" t="str">
        <f>REPLACE(INDEX(GroupVertices[Group], MATCH(Edges[[#This Row],[Vertex 1]],GroupVertices[Vertex],0)),1,1,"")</f>
        <v>3</v>
      </c>
      <c r="BE96" s="78" t="str">
        <f>REPLACE(INDEX(GroupVertices[Group], MATCH(Edges[[#This Row],[Vertex 2]],GroupVertices[Vertex],0)),1,1,"")</f>
        <v>3</v>
      </c>
    </row>
    <row r="97" spans="1:57" x14ac:dyDescent="0.25">
      <c r="A97" s="64" t="s">
        <v>289</v>
      </c>
      <c r="B97" s="64" t="s">
        <v>329</v>
      </c>
      <c r="C97" s="65" t="s">
        <v>2095</v>
      </c>
      <c r="D97" s="66">
        <v>7.2</v>
      </c>
      <c r="E97" s="67"/>
      <c r="F97" s="68">
        <v>28</v>
      </c>
      <c r="G97" s="65"/>
      <c r="H97" s="69"/>
      <c r="I97" s="70"/>
      <c r="J97" s="70"/>
      <c r="K97" s="35" t="s">
        <v>65</v>
      </c>
      <c r="L97" s="77">
        <v>97</v>
      </c>
      <c r="M9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97" s="72"/>
      <c r="O97" s="79" t="s">
        <v>339</v>
      </c>
      <c r="P97" s="81">
        <v>44405.986250000002</v>
      </c>
      <c r="Q97" s="79" t="s">
        <v>388</v>
      </c>
      <c r="R97" s="79"/>
      <c r="S97" s="79"/>
      <c r="T97" s="85" t="s">
        <v>461</v>
      </c>
      <c r="U97" s="83" t="str">
        <f>HYPERLINK("https://pbs.twimg.com/media/E7a8GjlXoAg2YCs.jpg")</f>
        <v>https://pbs.twimg.com/media/E7a8GjlXoAg2YCs.jpg</v>
      </c>
      <c r="V97" s="83" t="str">
        <f>HYPERLINK("https://pbs.twimg.com/media/E7a8GjlXoAg2YCs.jpg")</f>
        <v>https://pbs.twimg.com/media/E7a8GjlXoAg2YCs.jpg</v>
      </c>
      <c r="W97" s="81">
        <v>44405.986250000002</v>
      </c>
      <c r="X97" s="87">
        <v>44405</v>
      </c>
      <c r="Y97" s="85" t="s">
        <v>615</v>
      </c>
      <c r="Z97" s="83" t="str">
        <f>HYPERLINK("https://twitter.com/ucatonsville/status/1420529556025380864")</f>
        <v>https://twitter.com/ucatonsville/status/1420529556025380864</v>
      </c>
      <c r="AA97" s="79"/>
      <c r="AB97" s="79"/>
      <c r="AC97" s="85" t="s">
        <v>795</v>
      </c>
      <c r="AD97" s="79"/>
      <c r="AE97" s="79" t="b">
        <v>0</v>
      </c>
      <c r="AF97" s="79">
        <v>0</v>
      </c>
      <c r="AG97" s="85" t="s">
        <v>872</v>
      </c>
      <c r="AH97" s="79" t="b">
        <v>0</v>
      </c>
      <c r="AI97" s="79" t="s">
        <v>874</v>
      </c>
      <c r="AJ97" s="79"/>
      <c r="AK97" s="85" t="s">
        <v>867</v>
      </c>
      <c r="AL97" s="79" t="b">
        <v>0</v>
      </c>
      <c r="AM97" s="79">
        <v>0</v>
      </c>
      <c r="AN97" s="85" t="s">
        <v>867</v>
      </c>
      <c r="AO97" s="85" t="s">
        <v>883</v>
      </c>
      <c r="AP97" s="79" t="b">
        <v>0</v>
      </c>
      <c r="AQ97" s="85" t="s">
        <v>795</v>
      </c>
      <c r="AR97" s="79" t="s">
        <v>177</v>
      </c>
      <c r="AS97" s="79">
        <v>0</v>
      </c>
      <c r="AT97" s="79">
        <v>0</v>
      </c>
      <c r="AU97" s="79"/>
      <c r="AV97" s="79"/>
      <c r="AW97" s="79"/>
      <c r="AX97" s="79"/>
      <c r="AY97" s="79"/>
      <c r="AZ97" s="79"/>
      <c r="BA97" s="79"/>
      <c r="BB97" s="79"/>
      <c r="BC97">
        <v>7</v>
      </c>
      <c r="BD97" s="78" t="str">
        <f>REPLACE(INDEX(GroupVertices[Group], MATCH(Edges[[#This Row],[Vertex 1]],GroupVertices[Vertex],0)),1,1,"")</f>
        <v>3</v>
      </c>
      <c r="BE97" s="78" t="str">
        <f>REPLACE(INDEX(GroupVertices[Group], MATCH(Edges[[#This Row],[Vertex 2]],GroupVertices[Vertex],0)),1,1,"")</f>
        <v>3</v>
      </c>
    </row>
    <row r="98" spans="1:57" x14ac:dyDescent="0.25">
      <c r="A98" s="64" t="s">
        <v>289</v>
      </c>
      <c r="B98" s="64" t="s">
        <v>329</v>
      </c>
      <c r="C98" s="65" t="s">
        <v>2095</v>
      </c>
      <c r="D98" s="66">
        <v>7.2</v>
      </c>
      <c r="E98" s="67"/>
      <c r="F98" s="68">
        <v>28</v>
      </c>
      <c r="G98" s="65"/>
      <c r="H98" s="69"/>
      <c r="I98" s="70"/>
      <c r="J98" s="70"/>
      <c r="K98" s="35" t="s">
        <v>65</v>
      </c>
      <c r="L98" s="77">
        <v>98</v>
      </c>
      <c r="M9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98" s="72"/>
      <c r="O98" s="79" t="s">
        <v>339</v>
      </c>
      <c r="P98" s="81">
        <v>44405.986550925925</v>
      </c>
      <c r="Q98" s="79" t="s">
        <v>389</v>
      </c>
      <c r="R98" s="79"/>
      <c r="S98" s="79"/>
      <c r="T98" s="85" t="s">
        <v>461</v>
      </c>
      <c r="U98" s="83" t="str">
        <f>HYPERLINK("https://pbs.twimg.com/media/E7a8M1bXEAQWb44.jpg")</f>
        <v>https://pbs.twimg.com/media/E7a8M1bXEAQWb44.jpg</v>
      </c>
      <c r="V98" s="83" t="str">
        <f>HYPERLINK("https://pbs.twimg.com/media/E7a8M1bXEAQWb44.jpg")</f>
        <v>https://pbs.twimg.com/media/E7a8M1bXEAQWb44.jpg</v>
      </c>
      <c r="W98" s="81">
        <v>44405.986550925925</v>
      </c>
      <c r="X98" s="87">
        <v>44405</v>
      </c>
      <c r="Y98" s="85" t="s">
        <v>616</v>
      </c>
      <c r="Z98" s="83" t="str">
        <f>HYPERLINK("https://twitter.com/ucatonsville/status/1420529664280469510")</f>
        <v>https://twitter.com/ucatonsville/status/1420529664280469510</v>
      </c>
      <c r="AA98" s="79"/>
      <c r="AB98" s="79"/>
      <c r="AC98" s="85" t="s">
        <v>796</v>
      </c>
      <c r="AD98" s="79"/>
      <c r="AE98" s="79" t="b">
        <v>0</v>
      </c>
      <c r="AF98" s="79">
        <v>0</v>
      </c>
      <c r="AG98" s="85" t="s">
        <v>872</v>
      </c>
      <c r="AH98" s="79" t="b">
        <v>0</v>
      </c>
      <c r="AI98" s="79" t="s">
        <v>874</v>
      </c>
      <c r="AJ98" s="79"/>
      <c r="AK98" s="85" t="s">
        <v>867</v>
      </c>
      <c r="AL98" s="79" t="b">
        <v>0</v>
      </c>
      <c r="AM98" s="79">
        <v>0</v>
      </c>
      <c r="AN98" s="85" t="s">
        <v>867</v>
      </c>
      <c r="AO98" s="85" t="s">
        <v>883</v>
      </c>
      <c r="AP98" s="79" t="b">
        <v>0</v>
      </c>
      <c r="AQ98" s="85" t="s">
        <v>796</v>
      </c>
      <c r="AR98" s="79" t="s">
        <v>177</v>
      </c>
      <c r="AS98" s="79">
        <v>0</v>
      </c>
      <c r="AT98" s="79">
        <v>0</v>
      </c>
      <c r="AU98" s="79"/>
      <c r="AV98" s="79"/>
      <c r="AW98" s="79"/>
      <c r="AX98" s="79"/>
      <c r="AY98" s="79"/>
      <c r="AZ98" s="79"/>
      <c r="BA98" s="79"/>
      <c r="BB98" s="79"/>
      <c r="BC98">
        <v>7</v>
      </c>
      <c r="BD98" s="78" t="str">
        <f>REPLACE(INDEX(GroupVertices[Group], MATCH(Edges[[#This Row],[Vertex 1]],GroupVertices[Vertex],0)),1,1,"")</f>
        <v>3</v>
      </c>
      <c r="BE98" s="78" t="str">
        <f>REPLACE(INDEX(GroupVertices[Group], MATCH(Edges[[#This Row],[Vertex 2]],GroupVertices[Vertex],0)),1,1,"")</f>
        <v>3</v>
      </c>
    </row>
    <row r="99" spans="1:57" x14ac:dyDescent="0.25">
      <c r="A99" s="64" t="s">
        <v>289</v>
      </c>
      <c r="B99" s="64" t="s">
        <v>329</v>
      </c>
      <c r="C99" s="65" t="s">
        <v>2095</v>
      </c>
      <c r="D99" s="66">
        <v>7.2</v>
      </c>
      <c r="E99" s="67"/>
      <c r="F99" s="68">
        <v>28</v>
      </c>
      <c r="G99" s="65"/>
      <c r="H99" s="69"/>
      <c r="I99" s="70"/>
      <c r="J99" s="70"/>
      <c r="K99" s="35" t="s">
        <v>65</v>
      </c>
      <c r="L99" s="77">
        <v>99</v>
      </c>
      <c r="M9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99" s="72"/>
      <c r="O99" s="79" t="s">
        <v>339</v>
      </c>
      <c r="P99" s="81">
        <v>44405.987962962965</v>
      </c>
      <c r="Q99" s="79" t="s">
        <v>390</v>
      </c>
      <c r="R99" s="79"/>
      <c r="S99" s="79"/>
      <c r="T99" s="85" t="s">
        <v>461</v>
      </c>
      <c r="U99" s="83" t="str">
        <f>HYPERLINK("https://pbs.twimg.com/media/E7a8qbhWYAAJ_Pp.jpg")</f>
        <v>https://pbs.twimg.com/media/E7a8qbhWYAAJ_Pp.jpg</v>
      </c>
      <c r="V99" s="83" t="str">
        <f>HYPERLINK("https://pbs.twimg.com/media/E7a8qbhWYAAJ_Pp.jpg")</f>
        <v>https://pbs.twimg.com/media/E7a8qbhWYAAJ_Pp.jpg</v>
      </c>
      <c r="W99" s="81">
        <v>44405.987962962965</v>
      </c>
      <c r="X99" s="87">
        <v>44405</v>
      </c>
      <c r="Y99" s="85" t="s">
        <v>617</v>
      </c>
      <c r="Z99" s="83" t="str">
        <f>HYPERLINK("https://twitter.com/ucatonsville/status/1420530173947088905")</f>
        <v>https://twitter.com/ucatonsville/status/1420530173947088905</v>
      </c>
      <c r="AA99" s="79"/>
      <c r="AB99" s="79"/>
      <c r="AC99" s="85" t="s">
        <v>797</v>
      </c>
      <c r="AD99" s="79"/>
      <c r="AE99" s="79" t="b">
        <v>0</v>
      </c>
      <c r="AF99" s="79">
        <v>0</v>
      </c>
      <c r="AG99" s="85" t="s">
        <v>872</v>
      </c>
      <c r="AH99" s="79" t="b">
        <v>0</v>
      </c>
      <c r="AI99" s="79" t="s">
        <v>874</v>
      </c>
      <c r="AJ99" s="79"/>
      <c r="AK99" s="85" t="s">
        <v>867</v>
      </c>
      <c r="AL99" s="79" t="b">
        <v>0</v>
      </c>
      <c r="AM99" s="79">
        <v>0</v>
      </c>
      <c r="AN99" s="85" t="s">
        <v>867</v>
      </c>
      <c r="AO99" s="85" t="s">
        <v>883</v>
      </c>
      <c r="AP99" s="79" t="b">
        <v>0</v>
      </c>
      <c r="AQ99" s="85" t="s">
        <v>797</v>
      </c>
      <c r="AR99" s="79" t="s">
        <v>177</v>
      </c>
      <c r="AS99" s="79">
        <v>0</v>
      </c>
      <c r="AT99" s="79">
        <v>0</v>
      </c>
      <c r="AU99" s="79"/>
      <c r="AV99" s="79"/>
      <c r="AW99" s="79"/>
      <c r="AX99" s="79"/>
      <c r="AY99" s="79"/>
      <c r="AZ99" s="79"/>
      <c r="BA99" s="79"/>
      <c r="BB99" s="79"/>
      <c r="BC99">
        <v>7</v>
      </c>
      <c r="BD99" s="78" t="str">
        <f>REPLACE(INDEX(GroupVertices[Group], MATCH(Edges[[#This Row],[Vertex 1]],GroupVertices[Vertex],0)),1,1,"")</f>
        <v>3</v>
      </c>
      <c r="BE99" s="78" t="str">
        <f>REPLACE(INDEX(GroupVertices[Group], MATCH(Edges[[#This Row],[Vertex 2]],GroupVertices[Vertex],0)),1,1,"")</f>
        <v>3</v>
      </c>
    </row>
    <row r="100" spans="1:57" x14ac:dyDescent="0.25">
      <c r="A100" s="64" t="s">
        <v>285</v>
      </c>
      <c r="B100" s="64" t="s">
        <v>289</v>
      </c>
      <c r="C100" s="65" t="s">
        <v>2096</v>
      </c>
      <c r="D100" s="66">
        <v>6.5</v>
      </c>
      <c r="E100" s="67"/>
      <c r="F100" s="68">
        <v>30</v>
      </c>
      <c r="G100" s="65"/>
      <c r="H100" s="69"/>
      <c r="I100" s="70"/>
      <c r="J100" s="70"/>
      <c r="K100" s="35" t="s">
        <v>65</v>
      </c>
      <c r="L100" s="77">
        <v>100</v>
      </c>
      <c r="M10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00" s="72"/>
      <c r="O100" s="79" t="s">
        <v>337</v>
      </c>
      <c r="P100" s="81">
        <v>44406.162118055552</v>
      </c>
      <c r="Q100" s="79" t="s">
        <v>378</v>
      </c>
      <c r="R100" s="79"/>
      <c r="S100" s="79"/>
      <c r="T100" s="85" t="s">
        <v>461</v>
      </c>
      <c r="U100" s="83" t="str">
        <f>HYPERLINK("https://pbs.twimg.com/media/E7a_y_LXIAEIoB-.jpg")</f>
        <v>https://pbs.twimg.com/media/E7a_y_LXIAEIoB-.jpg</v>
      </c>
      <c r="V100" s="83" t="str">
        <f>HYPERLINK("https://pbs.twimg.com/media/E7a_y_LXIAEIoB-.jpg")</f>
        <v>https://pbs.twimg.com/media/E7a_y_LXIAEIoB-.jpg</v>
      </c>
      <c r="W100" s="81">
        <v>44406.162118055552</v>
      </c>
      <c r="X100" s="87">
        <v>44406</v>
      </c>
      <c r="Y100" s="85" t="s">
        <v>599</v>
      </c>
      <c r="Z100" s="83" t="str">
        <f>HYPERLINK("https://twitter.com/edabipi/status/1420593286717321217")</f>
        <v>https://twitter.com/edabipi/status/1420593286717321217</v>
      </c>
      <c r="AA100" s="79"/>
      <c r="AB100" s="79"/>
      <c r="AC100" s="85" t="s">
        <v>779</v>
      </c>
      <c r="AD100" s="79"/>
      <c r="AE100" s="79" t="b">
        <v>0</v>
      </c>
      <c r="AF100" s="79">
        <v>0</v>
      </c>
      <c r="AG100" s="85" t="s">
        <v>867</v>
      </c>
      <c r="AH100" s="79" t="b">
        <v>0</v>
      </c>
      <c r="AI100" s="79" t="s">
        <v>874</v>
      </c>
      <c r="AJ100" s="79"/>
      <c r="AK100" s="85" t="s">
        <v>867</v>
      </c>
      <c r="AL100" s="79" t="b">
        <v>0</v>
      </c>
      <c r="AM100" s="79">
        <v>1</v>
      </c>
      <c r="AN100" s="85" t="s">
        <v>798</v>
      </c>
      <c r="AO100" s="85" t="s">
        <v>883</v>
      </c>
      <c r="AP100" s="79" t="b">
        <v>0</v>
      </c>
      <c r="AQ100" s="85" t="s">
        <v>798</v>
      </c>
      <c r="AR100" s="79" t="s">
        <v>177</v>
      </c>
      <c r="AS100" s="79">
        <v>0</v>
      </c>
      <c r="AT100" s="79">
        <v>0</v>
      </c>
      <c r="AU100" s="79"/>
      <c r="AV100" s="79"/>
      <c r="AW100" s="79"/>
      <c r="AX100" s="79"/>
      <c r="AY100" s="79"/>
      <c r="AZ100" s="79"/>
      <c r="BA100" s="79"/>
      <c r="BB100" s="79"/>
      <c r="BC100">
        <v>6</v>
      </c>
      <c r="BD100" s="78" t="str">
        <f>REPLACE(INDEX(GroupVertices[Group], MATCH(Edges[[#This Row],[Vertex 1]],GroupVertices[Vertex],0)),1,1,"")</f>
        <v>3</v>
      </c>
      <c r="BE100" s="78" t="str">
        <f>REPLACE(INDEX(GroupVertices[Group], MATCH(Edges[[#This Row],[Vertex 2]],GroupVertices[Vertex],0)),1,1,"")</f>
        <v>3</v>
      </c>
    </row>
    <row r="101" spans="1:57" x14ac:dyDescent="0.25">
      <c r="A101" s="64" t="s">
        <v>285</v>
      </c>
      <c r="B101" s="64" t="s">
        <v>289</v>
      </c>
      <c r="C101" s="65" t="s">
        <v>2096</v>
      </c>
      <c r="D101" s="66">
        <v>6.5</v>
      </c>
      <c r="E101" s="67"/>
      <c r="F101" s="68">
        <v>30</v>
      </c>
      <c r="G101" s="65"/>
      <c r="H101" s="69"/>
      <c r="I101" s="70"/>
      <c r="J101" s="70"/>
      <c r="K101" s="35" t="s">
        <v>65</v>
      </c>
      <c r="L101" s="77">
        <v>101</v>
      </c>
      <c r="M10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01" s="72"/>
      <c r="O101" s="79" t="s">
        <v>338</v>
      </c>
      <c r="P101" s="81">
        <v>44406.162118055552</v>
      </c>
      <c r="Q101" s="79" t="s">
        <v>378</v>
      </c>
      <c r="R101" s="79"/>
      <c r="S101" s="79"/>
      <c r="T101" s="85" t="s">
        <v>461</v>
      </c>
      <c r="U101" s="83" t="str">
        <f>HYPERLINK("https://pbs.twimg.com/media/E7a_y_LXIAEIoB-.jpg")</f>
        <v>https://pbs.twimg.com/media/E7a_y_LXIAEIoB-.jpg</v>
      </c>
      <c r="V101" s="83" t="str">
        <f>HYPERLINK("https://pbs.twimg.com/media/E7a_y_LXIAEIoB-.jpg")</f>
        <v>https://pbs.twimg.com/media/E7a_y_LXIAEIoB-.jpg</v>
      </c>
      <c r="W101" s="81">
        <v>44406.162118055552</v>
      </c>
      <c r="X101" s="87">
        <v>44406</v>
      </c>
      <c r="Y101" s="85" t="s">
        <v>599</v>
      </c>
      <c r="Z101" s="83" t="str">
        <f>HYPERLINK("https://twitter.com/edabipi/status/1420593286717321217")</f>
        <v>https://twitter.com/edabipi/status/1420593286717321217</v>
      </c>
      <c r="AA101" s="79"/>
      <c r="AB101" s="79"/>
      <c r="AC101" s="85" t="s">
        <v>779</v>
      </c>
      <c r="AD101" s="79"/>
      <c r="AE101" s="79" t="b">
        <v>0</v>
      </c>
      <c r="AF101" s="79">
        <v>0</v>
      </c>
      <c r="AG101" s="85" t="s">
        <v>867</v>
      </c>
      <c r="AH101" s="79" t="b">
        <v>0</v>
      </c>
      <c r="AI101" s="79" t="s">
        <v>874</v>
      </c>
      <c r="AJ101" s="79"/>
      <c r="AK101" s="85" t="s">
        <v>867</v>
      </c>
      <c r="AL101" s="79" t="b">
        <v>0</v>
      </c>
      <c r="AM101" s="79">
        <v>1</v>
      </c>
      <c r="AN101" s="85" t="s">
        <v>798</v>
      </c>
      <c r="AO101" s="85" t="s">
        <v>883</v>
      </c>
      <c r="AP101" s="79" t="b">
        <v>0</v>
      </c>
      <c r="AQ101" s="85" t="s">
        <v>798</v>
      </c>
      <c r="AR101" s="79" t="s">
        <v>177</v>
      </c>
      <c r="AS101" s="79">
        <v>0</v>
      </c>
      <c r="AT101" s="79">
        <v>0</v>
      </c>
      <c r="AU101" s="79"/>
      <c r="AV101" s="79"/>
      <c r="AW101" s="79"/>
      <c r="AX101" s="79"/>
      <c r="AY101" s="79"/>
      <c r="AZ101" s="79"/>
      <c r="BA101" s="79"/>
      <c r="BB101" s="79"/>
      <c r="BC101">
        <v>6</v>
      </c>
      <c r="BD101" s="78" t="str">
        <f>REPLACE(INDEX(GroupVertices[Group], MATCH(Edges[[#This Row],[Vertex 1]],GroupVertices[Vertex],0)),1,1,"")</f>
        <v>3</v>
      </c>
      <c r="BE101" s="78" t="str">
        <f>REPLACE(INDEX(GroupVertices[Group], MATCH(Edges[[#This Row],[Vertex 2]],GroupVertices[Vertex],0)),1,1,"")</f>
        <v>3</v>
      </c>
    </row>
    <row r="102" spans="1:57" x14ac:dyDescent="0.25">
      <c r="A102" s="64" t="s">
        <v>285</v>
      </c>
      <c r="B102" s="64" t="s">
        <v>289</v>
      </c>
      <c r="C102" s="65" t="s">
        <v>2096</v>
      </c>
      <c r="D102" s="66">
        <v>6.5</v>
      </c>
      <c r="E102" s="67"/>
      <c r="F102" s="68">
        <v>30</v>
      </c>
      <c r="G102" s="65"/>
      <c r="H102" s="69"/>
      <c r="I102" s="70"/>
      <c r="J102" s="70"/>
      <c r="K102" s="35" t="s">
        <v>65</v>
      </c>
      <c r="L102" s="77">
        <v>102</v>
      </c>
      <c r="M10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02" s="72"/>
      <c r="O102" s="79" t="s">
        <v>337</v>
      </c>
      <c r="P102" s="81">
        <v>44406.162175925929</v>
      </c>
      <c r="Q102" s="79" t="s">
        <v>379</v>
      </c>
      <c r="R102" s="79"/>
      <c r="S102" s="79"/>
      <c r="T102" s="85" t="s">
        <v>461</v>
      </c>
      <c r="U102" s="83" t="str">
        <f>HYPERLINK("https://pbs.twimg.com/media/E7a7qL-X0AEub4f.jpg")</f>
        <v>https://pbs.twimg.com/media/E7a7qL-X0AEub4f.jpg</v>
      </c>
      <c r="V102" s="83" t="str">
        <f>HYPERLINK("https://pbs.twimg.com/media/E7a7qL-X0AEub4f.jpg")</f>
        <v>https://pbs.twimg.com/media/E7a7qL-X0AEub4f.jpg</v>
      </c>
      <c r="W102" s="81">
        <v>44406.162175925929</v>
      </c>
      <c r="X102" s="87">
        <v>44406</v>
      </c>
      <c r="Y102" s="85" t="s">
        <v>600</v>
      </c>
      <c r="Z102" s="83" t="str">
        <f>HYPERLINK("https://twitter.com/edabipi/status/1420593306489196551")</f>
        <v>https://twitter.com/edabipi/status/1420593306489196551</v>
      </c>
      <c r="AA102" s="79"/>
      <c r="AB102" s="79"/>
      <c r="AC102" s="85" t="s">
        <v>780</v>
      </c>
      <c r="AD102" s="79"/>
      <c r="AE102" s="79" t="b">
        <v>0</v>
      </c>
      <c r="AF102" s="79">
        <v>0</v>
      </c>
      <c r="AG102" s="85" t="s">
        <v>867</v>
      </c>
      <c r="AH102" s="79" t="b">
        <v>0</v>
      </c>
      <c r="AI102" s="79" t="s">
        <v>874</v>
      </c>
      <c r="AJ102" s="79"/>
      <c r="AK102" s="85" t="s">
        <v>867</v>
      </c>
      <c r="AL102" s="79" t="b">
        <v>0</v>
      </c>
      <c r="AM102" s="79">
        <v>1</v>
      </c>
      <c r="AN102" s="85" t="s">
        <v>793</v>
      </c>
      <c r="AO102" s="85" t="s">
        <v>883</v>
      </c>
      <c r="AP102" s="79" t="b">
        <v>0</v>
      </c>
      <c r="AQ102" s="85" t="s">
        <v>793</v>
      </c>
      <c r="AR102" s="79" t="s">
        <v>177</v>
      </c>
      <c r="AS102" s="79">
        <v>0</v>
      </c>
      <c r="AT102" s="79">
        <v>0</v>
      </c>
      <c r="AU102" s="79"/>
      <c r="AV102" s="79"/>
      <c r="AW102" s="79"/>
      <c r="AX102" s="79"/>
      <c r="AY102" s="79"/>
      <c r="AZ102" s="79"/>
      <c r="BA102" s="79"/>
      <c r="BB102" s="79"/>
      <c r="BC102">
        <v>6</v>
      </c>
      <c r="BD102" s="78" t="str">
        <f>REPLACE(INDEX(GroupVertices[Group], MATCH(Edges[[#This Row],[Vertex 1]],GroupVertices[Vertex],0)),1,1,"")</f>
        <v>3</v>
      </c>
      <c r="BE102" s="78" t="str">
        <f>REPLACE(INDEX(GroupVertices[Group], MATCH(Edges[[#This Row],[Vertex 2]],GroupVertices[Vertex],0)),1,1,"")</f>
        <v>3</v>
      </c>
    </row>
    <row r="103" spans="1:57" x14ac:dyDescent="0.25">
      <c r="A103" s="64" t="s">
        <v>285</v>
      </c>
      <c r="B103" s="64" t="s">
        <v>289</v>
      </c>
      <c r="C103" s="65" t="s">
        <v>2096</v>
      </c>
      <c r="D103" s="66">
        <v>6.5</v>
      </c>
      <c r="E103" s="67"/>
      <c r="F103" s="68">
        <v>30</v>
      </c>
      <c r="G103" s="65"/>
      <c r="H103" s="69"/>
      <c r="I103" s="70"/>
      <c r="J103" s="70"/>
      <c r="K103" s="35" t="s">
        <v>65</v>
      </c>
      <c r="L103" s="77">
        <v>103</v>
      </c>
      <c r="M10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03" s="72"/>
      <c r="O103" s="79" t="s">
        <v>338</v>
      </c>
      <c r="P103" s="81">
        <v>44406.162175925929</v>
      </c>
      <c r="Q103" s="79" t="s">
        <v>379</v>
      </c>
      <c r="R103" s="79"/>
      <c r="S103" s="79"/>
      <c r="T103" s="85" t="s">
        <v>461</v>
      </c>
      <c r="U103" s="83" t="str">
        <f>HYPERLINK("https://pbs.twimg.com/media/E7a7qL-X0AEub4f.jpg")</f>
        <v>https://pbs.twimg.com/media/E7a7qL-X0AEub4f.jpg</v>
      </c>
      <c r="V103" s="83" t="str">
        <f>HYPERLINK("https://pbs.twimg.com/media/E7a7qL-X0AEub4f.jpg")</f>
        <v>https://pbs.twimg.com/media/E7a7qL-X0AEub4f.jpg</v>
      </c>
      <c r="W103" s="81">
        <v>44406.162175925929</v>
      </c>
      <c r="X103" s="87">
        <v>44406</v>
      </c>
      <c r="Y103" s="85" t="s">
        <v>600</v>
      </c>
      <c r="Z103" s="83" t="str">
        <f>HYPERLINK("https://twitter.com/edabipi/status/1420593306489196551")</f>
        <v>https://twitter.com/edabipi/status/1420593306489196551</v>
      </c>
      <c r="AA103" s="79"/>
      <c r="AB103" s="79"/>
      <c r="AC103" s="85" t="s">
        <v>780</v>
      </c>
      <c r="AD103" s="79"/>
      <c r="AE103" s="79" t="b">
        <v>0</v>
      </c>
      <c r="AF103" s="79">
        <v>0</v>
      </c>
      <c r="AG103" s="85" t="s">
        <v>867</v>
      </c>
      <c r="AH103" s="79" t="b">
        <v>0</v>
      </c>
      <c r="AI103" s="79" t="s">
        <v>874</v>
      </c>
      <c r="AJ103" s="79"/>
      <c r="AK103" s="85" t="s">
        <v>867</v>
      </c>
      <c r="AL103" s="79" t="b">
        <v>0</v>
      </c>
      <c r="AM103" s="79">
        <v>1</v>
      </c>
      <c r="AN103" s="85" t="s">
        <v>793</v>
      </c>
      <c r="AO103" s="85" t="s">
        <v>883</v>
      </c>
      <c r="AP103" s="79" t="b">
        <v>0</v>
      </c>
      <c r="AQ103" s="85" t="s">
        <v>793</v>
      </c>
      <c r="AR103" s="79" t="s">
        <v>177</v>
      </c>
      <c r="AS103" s="79">
        <v>0</v>
      </c>
      <c r="AT103" s="79">
        <v>0</v>
      </c>
      <c r="AU103" s="79"/>
      <c r="AV103" s="79"/>
      <c r="AW103" s="79"/>
      <c r="AX103" s="79"/>
      <c r="AY103" s="79"/>
      <c r="AZ103" s="79"/>
      <c r="BA103" s="79"/>
      <c r="BB103" s="79"/>
      <c r="BC103">
        <v>6</v>
      </c>
      <c r="BD103" s="78" t="str">
        <f>REPLACE(INDEX(GroupVertices[Group], MATCH(Edges[[#This Row],[Vertex 1]],GroupVertices[Vertex],0)),1,1,"")</f>
        <v>3</v>
      </c>
      <c r="BE103" s="78" t="str">
        <f>REPLACE(INDEX(GroupVertices[Group], MATCH(Edges[[#This Row],[Vertex 2]],GroupVertices[Vertex],0)),1,1,"")</f>
        <v>3</v>
      </c>
    </row>
    <row r="104" spans="1:57" x14ac:dyDescent="0.25">
      <c r="A104" s="64" t="s">
        <v>285</v>
      </c>
      <c r="B104" s="64" t="s">
        <v>289</v>
      </c>
      <c r="C104" s="65" t="s">
        <v>2096</v>
      </c>
      <c r="D104" s="66">
        <v>6.5</v>
      </c>
      <c r="E104" s="67"/>
      <c r="F104" s="68">
        <v>30</v>
      </c>
      <c r="G104" s="65"/>
      <c r="H104" s="69"/>
      <c r="I104" s="70"/>
      <c r="J104" s="70"/>
      <c r="K104" s="35" t="s">
        <v>65</v>
      </c>
      <c r="L104" s="77">
        <v>104</v>
      </c>
      <c r="M10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04" s="72"/>
      <c r="O104" s="79" t="s">
        <v>337</v>
      </c>
      <c r="P104" s="81">
        <v>44407.72797453704</v>
      </c>
      <c r="Q104" s="79" t="s">
        <v>366</v>
      </c>
      <c r="R104" s="79"/>
      <c r="S104" s="79"/>
      <c r="T104" s="85" t="s">
        <v>461</v>
      </c>
      <c r="U104" s="83" t="str">
        <f>HYPERLINK("https://pbs.twimg.com/media/E7eO9zIVUAEjK-g.jpg")</f>
        <v>https://pbs.twimg.com/media/E7eO9zIVUAEjK-g.jpg</v>
      </c>
      <c r="V104" s="83" t="str">
        <f>HYPERLINK("https://pbs.twimg.com/media/E7eO9zIVUAEjK-g.jpg")</f>
        <v>https://pbs.twimg.com/media/E7eO9zIVUAEjK-g.jpg</v>
      </c>
      <c r="W104" s="81">
        <v>44407.72797453704</v>
      </c>
      <c r="X104" s="87">
        <v>44407</v>
      </c>
      <c r="Y104" s="85" t="s">
        <v>601</v>
      </c>
      <c r="Z104" s="83" t="str">
        <f>HYPERLINK("https://twitter.com/edabipi/status/1421160732494860294")</f>
        <v>https://twitter.com/edabipi/status/1421160732494860294</v>
      </c>
      <c r="AA104" s="79"/>
      <c r="AB104" s="79"/>
      <c r="AC104" s="85" t="s">
        <v>781</v>
      </c>
      <c r="AD104" s="79"/>
      <c r="AE104" s="79" t="b">
        <v>0</v>
      </c>
      <c r="AF104" s="79">
        <v>0</v>
      </c>
      <c r="AG104" s="85" t="s">
        <v>867</v>
      </c>
      <c r="AH104" s="79" t="b">
        <v>0</v>
      </c>
      <c r="AI104" s="79" t="s">
        <v>874</v>
      </c>
      <c r="AJ104" s="79"/>
      <c r="AK104" s="85" t="s">
        <v>867</v>
      </c>
      <c r="AL104" s="79" t="b">
        <v>0</v>
      </c>
      <c r="AM104" s="79">
        <v>4</v>
      </c>
      <c r="AN104" s="85" t="s">
        <v>799</v>
      </c>
      <c r="AO104" s="85" t="s">
        <v>883</v>
      </c>
      <c r="AP104" s="79" t="b">
        <v>0</v>
      </c>
      <c r="AQ104" s="85" t="s">
        <v>799</v>
      </c>
      <c r="AR104" s="79" t="s">
        <v>177</v>
      </c>
      <c r="AS104" s="79">
        <v>0</v>
      </c>
      <c r="AT104" s="79">
        <v>0</v>
      </c>
      <c r="AU104" s="79"/>
      <c r="AV104" s="79"/>
      <c r="AW104" s="79"/>
      <c r="AX104" s="79"/>
      <c r="AY104" s="79"/>
      <c r="AZ104" s="79"/>
      <c r="BA104" s="79"/>
      <c r="BB104" s="79"/>
      <c r="BC104">
        <v>6</v>
      </c>
      <c r="BD104" s="78" t="str">
        <f>REPLACE(INDEX(GroupVertices[Group], MATCH(Edges[[#This Row],[Vertex 1]],GroupVertices[Vertex],0)),1,1,"")</f>
        <v>3</v>
      </c>
      <c r="BE104" s="78" t="str">
        <f>REPLACE(INDEX(GroupVertices[Group], MATCH(Edges[[#This Row],[Vertex 2]],GroupVertices[Vertex],0)),1,1,"")</f>
        <v>3</v>
      </c>
    </row>
    <row r="105" spans="1:57" x14ac:dyDescent="0.25">
      <c r="A105" s="64" t="s">
        <v>285</v>
      </c>
      <c r="B105" s="64" t="s">
        <v>289</v>
      </c>
      <c r="C105" s="65" t="s">
        <v>2096</v>
      </c>
      <c r="D105" s="66">
        <v>6.5</v>
      </c>
      <c r="E105" s="67"/>
      <c r="F105" s="68">
        <v>30</v>
      </c>
      <c r="G105" s="65"/>
      <c r="H105" s="69"/>
      <c r="I105" s="70"/>
      <c r="J105" s="70"/>
      <c r="K105" s="35" t="s">
        <v>65</v>
      </c>
      <c r="L105" s="77">
        <v>105</v>
      </c>
      <c r="M10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05" s="72"/>
      <c r="O105" s="79" t="s">
        <v>338</v>
      </c>
      <c r="P105" s="81">
        <v>44407.72797453704</v>
      </c>
      <c r="Q105" s="79" t="s">
        <v>366</v>
      </c>
      <c r="R105" s="79"/>
      <c r="S105" s="79"/>
      <c r="T105" s="85" t="s">
        <v>461</v>
      </c>
      <c r="U105" s="83" t="str">
        <f>HYPERLINK("https://pbs.twimg.com/media/E7eO9zIVUAEjK-g.jpg")</f>
        <v>https://pbs.twimg.com/media/E7eO9zIVUAEjK-g.jpg</v>
      </c>
      <c r="V105" s="83" t="str">
        <f>HYPERLINK("https://pbs.twimg.com/media/E7eO9zIVUAEjK-g.jpg")</f>
        <v>https://pbs.twimg.com/media/E7eO9zIVUAEjK-g.jpg</v>
      </c>
      <c r="W105" s="81">
        <v>44407.72797453704</v>
      </c>
      <c r="X105" s="87">
        <v>44407</v>
      </c>
      <c r="Y105" s="85" t="s">
        <v>601</v>
      </c>
      <c r="Z105" s="83" t="str">
        <f>HYPERLINK("https://twitter.com/edabipi/status/1421160732494860294")</f>
        <v>https://twitter.com/edabipi/status/1421160732494860294</v>
      </c>
      <c r="AA105" s="79"/>
      <c r="AB105" s="79"/>
      <c r="AC105" s="85" t="s">
        <v>781</v>
      </c>
      <c r="AD105" s="79"/>
      <c r="AE105" s="79" t="b">
        <v>0</v>
      </c>
      <c r="AF105" s="79">
        <v>0</v>
      </c>
      <c r="AG105" s="85" t="s">
        <v>867</v>
      </c>
      <c r="AH105" s="79" t="b">
        <v>0</v>
      </c>
      <c r="AI105" s="79" t="s">
        <v>874</v>
      </c>
      <c r="AJ105" s="79"/>
      <c r="AK105" s="85" t="s">
        <v>867</v>
      </c>
      <c r="AL105" s="79" t="b">
        <v>0</v>
      </c>
      <c r="AM105" s="79">
        <v>4</v>
      </c>
      <c r="AN105" s="85" t="s">
        <v>799</v>
      </c>
      <c r="AO105" s="85" t="s">
        <v>883</v>
      </c>
      <c r="AP105" s="79" t="b">
        <v>0</v>
      </c>
      <c r="AQ105" s="85" t="s">
        <v>799</v>
      </c>
      <c r="AR105" s="79" t="s">
        <v>177</v>
      </c>
      <c r="AS105" s="79">
        <v>0</v>
      </c>
      <c r="AT105" s="79">
        <v>0</v>
      </c>
      <c r="AU105" s="79"/>
      <c r="AV105" s="79"/>
      <c r="AW105" s="79"/>
      <c r="AX105" s="79"/>
      <c r="AY105" s="79"/>
      <c r="AZ105" s="79"/>
      <c r="BA105" s="79"/>
      <c r="BB105" s="79"/>
      <c r="BC105">
        <v>6</v>
      </c>
      <c r="BD105" s="78" t="str">
        <f>REPLACE(INDEX(GroupVertices[Group], MATCH(Edges[[#This Row],[Vertex 1]],GroupVertices[Vertex],0)),1,1,"")</f>
        <v>3</v>
      </c>
      <c r="BE105" s="78" t="str">
        <f>REPLACE(INDEX(GroupVertices[Group], MATCH(Edges[[#This Row],[Vertex 2]],GroupVertices[Vertex],0)),1,1,"")</f>
        <v>3</v>
      </c>
    </row>
    <row r="106" spans="1:57" x14ac:dyDescent="0.25">
      <c r="A106" s="64" t="s">
        <v>299</v>
      </c>
      <c r="B106" s="64" t="s">
        <v>299</v>
      </c>
      <c r="C106" s="65" t="s">
        <v>2096</v>
      </c>
      <c r="D106" s="66">
        <v>6.5</v>
      </c>
      <c r="E106" s="67"/>
      <c r="F106" s="68">
        <v>30</v>
      </c>
      <c r="G106" s="65"/>
      <c r="H106" s="69"/>
      <c r="I106" s="70"/>
      <c r="J106" s="70"/>
      <c r="K106" s="35" t="s">
        <v>65</v>
      </c>
      <c r="L106" s="77">
        <v>106</v>
      </c>
      <c r="M10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06" s="72"/>
      <c r="O106" s="79" t="s">
        <v>177</v>
      </c>
      <c r="P106" s="81">
        <v>44401.762499999997</v>
      </c>
      <c r="Q106" s="79" t="s">
        <v>440</v>
      </c>
      <c r="R106" s="79"/>
      <c r="S106" s="79"/>
      <c r="T106" s="85" t="s">
        <v>506</v>
      </c>
      <c r="U106" s="83" t="str">
        <f>HYPERLINK("https://pbs.twimg.com/media/E4LuRbFVEAEufsH.jpg")</f>
        <v>https://pbs.twimg.com/media/E4LuRbFVEAEufsH.jpg</v>
      </c>
      <c r="V106" s="83" t="str">
        <f>HYPERLINK("https://pbs.twimg.com/media/E4LuRbFVEAEufsH.jpg")</f>
        <v>https://pbs.twimg.com/media/E4LuRbFVEAEufsH.jpg</v>
      </c>
      <c r="W106" s="81">
        <v>44401.762499999997</v>
      </c>
      <c r="X106" s="87">
        <v>44401</v>
      </c>
      <c r="Y106" s="85" t="s">
        <v>679</v>
      </c>
      <c r="Z106" s="83" t="str">
        <f>HYPERLINK("https://twitter.com/mycencalwestop/status/1418998917220474885")</f>
        <v>https://twitter.com/mycencalwestop/status/1418998917220474885</v>
      </c>
      <c r="AA106" s="79"/>
      <c r="AB106" s="79"/>
      <c r="AC106" s="85" t="s">
        <v>859</v>
      </c>
      <c r="AD106" s="79"/>
      <c r="AE106" s="79" t="b">
        <v>0</v>
      </c>
      <c r="AF106" s="79">
        <v>0</v>
      </c>
      <c r="AG106" s="85" t="s">
        <v>867</v>
      </c>
      <c r="AH106" s="79" t="b">
        <v>0</v>
      </c>
      <c r="AI106" s="79" t="s">
        <v>874</v>
      </c>
      <c r="AJ106" s="79"/>
      <c r="AK106" s="85" t="s">
        <v>867</v>
      </c>
      <c r="AL106" s="79" t="b">
        <v>0</v>
      </c>
      <c r="AM106" s="79">
        <v>0</v>
      </c>
      <c r="AN106" s="85" t="s">
        <v>867</v>
      </c>
      <c r="AO106" s="85" t="s">
        <v>891</v>
      </c>
      <c r="AP106" s="79" t="b">
        <v>0</v>
      </c>
      <c r="AQ106" s="85" t="s">
        <v>859</v>
      </c>
      <c r="AR106" s="79" t="s">
        <v>177</v>
      </c>
      <c r="AS106" s="79">
        <v>0</v>
      </c>
      <c r="AT106" s="79">
        <v>0</v>
      </c>
      <c r="AU106" s="79"/>
      <c r="AV106" s="79"/>
      <c r="AW106" s="79"/>
      <c r="AX106" s="79"/>
      <c r="AY106" s="79"/>
      <c r="AZ106" s="79"/>
      <c r="BA106" s="79"/>
      <c r="BB106" s="79"/>
      <c r="BC106">
        <v>6</v>
      </c>
      <c r="BD106" s="78" t="str">
        <f>REPLACE(INDEX(GroupVertices[Group], MATCH(Edges[[#This Row],[Vertex 1]],GroupVertices[Vertex],0)),1,1,"")</f>
        <v>1</v>
      </c>
      <c r="BE106" s="78" t="str">
        <f>REPLACE(INDEX(GroupVertices[Group], MATCH(Edges[[#This Row],[Vertex 2]],GroupVertices[Vertex],0)),1,1,"")</f>
        <v>1</v>
      </c>
    </row>
    <row r="107" spans="1:57" x14ac:dyDescent="0.25">
      <c r="A107" s="64" t="s">
        <v>299</v>
      </c>
      <c r="B107" s="64" t="s">
        <v>299</v>
      </c>
      <c r="C107" s="65" t="s">
        <v>2096</v>
      </c>
      <c r="D107" s="66">
        <v>6.5</v>
      </c>
      <c r="E107" s="67"/>
      <c r="F107" s="68">
        <v>30</v>
      </c>
      <c r="G107" s="65"/>
      <c r="H107" s="69"/>
      <c r="I107" s="70"/>
      <c r="J107" s="70"/>
      <c r="K107" s="35" t="s">
        <v>65</v>
      </c>
      <c r="L107" s="77">
        <v>107</v>
      </c>
      <c r="M10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07" s="72"/>
      <c r="O107" s="79" t="s">
        <v>177</v>
      </c>
      <c r="P107" s="81">
        <v>44403.665972222225</v>
      </c>
      <c r="Q107" s="79" t="s">
        <v>441</v>
      </c>
      <c r="R107" s="79"/>
      <c r="S107" s="79"/>
      <c r="T107" s="85" t="s">
        <v>507</v>
      </c>
      <c r="U107" s="83" t="str">
        <f>HYPERLINK("https://pbs.twimg.com/media/E3-Sw9gVoAAcici.jpg")</f>
        <v>https://pbs.twimg.com/media/E3-Sw9gVoAAcici.jpg</v>
      </c>
      <c r="V107" s="83" t="str">
        <f>HYPERLINK("https://pbs.twimg.com/media/E3-Sw9gVoAAcici.jpg")</f>
        <v>https://pbs.twimg.com/media/E3-Sw9gVoAAcici.jpg</v>
      </c>
      <c r="W107" s="81">
        <v>44403.665972222225</v>
      </c>
      <c r="X107" s="87">
        <v>44403</v>
      </c>
      <c r="Y107" s="85" t="s">
        <v>680</v>
      </c>
      <c r="Z107" s="83" t="str">
        <f>HYPERLINK("https://twitter.com/mycencalwestop/status/1419688712351387650")</f>
        <v>https://twitter.com/mycencalwestop/status/1419688712351387650</v>
      </c>
      <c r="AA107" s="79"/>
      <c r="AB107" s="79"/>
      <c r="AC107" s="85" t="s">
        <v>860</v>
      </c>
      <c r="AD107" s="79"/>
      <c r="AE107" s="79" t="b">
        <v>0</v>
      </c>
      <c r="AF107" s="79">
        <v>1</v>
      </c>
      <c r="AG107" s="85" t="s">
        <v>867</v>
      </c>
      <c r="AH107" s="79" t="b">
        <v>0</v>
      </c>
      <c r="AI107" s="79" t="s">
        <v>874</v>
      </c>
      <c r="AJ107" s="79"/>
      <c r="AK107" s="85" t="s">
        <v>867</v>
      </c>
      <c r="AL107" s="79" t="b">
        <v>0</v>
      </c>
      <c r="AM107" s="79">
        <v>0</v>
      </c>
      <c r="AN107" s="85" t="s">
        <v>867</v>
      </c>
      <c r="AO107" s="85" t="s">
        <v>891</v>
      </c>
      <c r="AP107" s="79" t="b">
        <v>0</v>
      </c>
      <c r="AQ107" s="85" t="s">
        <v>860</v>
      </c>
      <c r="AR107" s="79" t="s">
        <v>177</v>
      </c>
      <c r="AS107" s="79">
        <v>0</v>
      </c>
      <c r="AT107" s="79">
        <v>0</v>
      </c>
      <c r="AU107" s="79"/>
      <c r="AV107" s="79"/>
      <c r="AW107" s="79"/>
      <c r="AX107" s="79"/>
      <c r="AY107" s="79"/>
      <c r="AZ107" s="79"/>
      <c r="BA107" s="79"/>
      <c r="BB107" s="79"/>
      <c r="BC107">
        <v>6</v>
      </c>
      <c r="BD107" s="78" t="str">
        <f>REPLACE(INDEX(GroupVertices[Group], MATCH(Edges[[#This Row],[Vertex 1]],GroupVertices[Vertex],0)),1,1,"")</f>
        <v>1</v>
      </c>
      <c r="BE107" s="78" t="str">
        <f>REPLACE(INDEX(GroupVertices[Group], MATCH(Edges[[#This Row],[Vertex 2]],GroupVertices[Vertex],0)),1,1,"")</f>
        <v>1</v>
      </c>
    </row>
    <row r="108" spans="1:57" x14ac:dyDescent="0.25">
      <c r="A108" s="64" t="s">
        <v>299</v>
      </c>
      <c r="B108" s="64" t="s">
        <v>299</v>
      </c>
      <c r="C108" s="65" t="s">
        <v>2096</v>
      </c>
      <c r="D108" s="66">
        <v>6.5</v>
      </c>
      <c r="E108" s="67"/>
      <c r="F108" s="68">
        <v>30</v>
      </c>
      <c r="G108" s="65"/>
      <c r="H108" s="69"/>
      <c r="I108" s="70"/>
      <c r="J108" s="70"/>
      <c r="K108" s="35" t="s">
        <v>65</v>
      </c>
      <c r="L108" s="77">
        <v>108</v>
      </c>
      <c r="M10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08" s="72"/>
      <c r="O108" s="79" t="s">
        <v>177</v>
      </c>
      <c r="P108" s="81">
        <v>44405.804861111108</v>
      </c>
      <c r="Q108" s="79" t="s">
        <v>442</v>
      </c>
      <c r="R108" s="79"/>
      <c r="S108" s="79"/>
      <c r="T108" s="85" t="s">
        <v>506</v>
      </c>
      <c r="U108" s="79"/>
      <c r="V108" s="83" t="str">
        <f>HYPERLINK("https://pbs.twimg.com/profile_images/1323297412480262144/loo-7mMs_normal.jpg")</f>
        <v>https://pbs.twimg.com/profile_images/1323297412480262144/loo-7mMs_normal.jpg</v>
      </c>
      <c r="W108" s="81">
        <v>44405.804861111108</v>
      </c>
      <c r="X108" s="87">
        <v>44405</v>
      </c>
      <c r="Y108" s="85" t="s">
        <v>681</v>
      </c>
      <c r="Z108" s="83" t="str">
        <f>HYPERLINK("https://twitter.com/mycencalwestop/status/1420463820179492873")</f>
        <v>https://twitter.com/mycencalwestop/status/1420463820179492873</v>
      </c>
      <c r="AA108" s="79"/>
      <c r="AB108" s="79"/>
      <c r="AC108" s="85" t="s">
        <v>861</v>
      </c>
      <c r="AD108" s="79"/>
      <c r="AE108" s="79" t="b">
        <v>0</v>
      </c>
      <c r="AF108" s="79">
        <v>0</v>
      </c>
      <c r="AG108" s="85" t="s">
        <v>867</v>
      </c>
      <c r="AH108" s="79" t="b">
        <v>0</v>
      </c>
      <c r="AI108" s="79" t="s">
        <v>874</v>
      </c>
      <c r="AJ108" s="79"/>
      <c r="AK108" s="85" t="s">
        <v>867</v>
      </c>
      <c r="AL108" s="79" t="b">
        <v>0</v>
      </c>
      <c r="AM108" s="79">
        <v>0</v>
      </c>
      <c r="AN108" s="85" t="s">
        <v>867</v>
      </c>
      <c r="AO108" s="85" t="s">
        <v>891</v>
      </c>
      <c r="AP108" s="79" t="b">
        <v>0</v>
      </c>
      <c r="AQ108" s="85" t="s">
        <v>861</v>
      </c>
      <c r="AR108" s="79" t="s">
        <v>177</v>
      </c>
      <c r="AS108" s="79">
        <v>0</v>
      </c>
      <c r="AT108" s="79">
        <v>0</v>
      </c>
      <c r="AU108" s="79"/>
      <c r="AV108" s="79"/>
      <c r="AW108" s="79"/>
      <c r="AX108" s="79"/>
      <c r="AY108" s="79"/>
      <c r="AZ108" s="79"/>
      <c r="BA108" s="79"/>
      <c r="BB108" s="79"/>
      <c r="BC108">
        <v>6</v>
      </c>
      <c r="BD108" s="78" t="str">
        <f>REPLACE(INDEX(GroupVertices[Group], MATCH(Edges[[#This Row],[Vertex 1]],GroupVertices[Vertex],0)),1,1,"")</f>
        <v>1</v>
      </c>
      <c r="BE108" s="78" t="str">
        <f>REPLACE(INDEX(GroupVertices[Group], MATCH(Edges[[#This Row],[Vertex 2]],GroupVertices[Vertex],0)),1,1,"")</f>
        <v>1</v>
      </c>
    </row>
    <row r="109" spans="1:57" x14ac:dyDescent="0.25">
      <c r="A109" s="64" t="s">
        <v>299</v>
      </c>
      <c r="B109" s="64" t="s">
        <v>299</v>
      </c>
      <c r="C109" s="65" t="s">
        <v>2096</v>
      </c>
      <c r="D109" s="66">
        <v>6.5</v>
      </c>
      <c r="E109" s="67"/>
      <c r="F109" s="68">
        <v>30</v>
      </c>
      <c r="G109" s="65"/>
      <c r="H109" s="69"/>
      <c r="I109" s="70"/>
      <c r="J109" s="70"/>
      <c r="K109" s="35" t="s">
        <v>65</v>
      </c>
      <c r="L109" s="77">
        <v>109</v>
      </c>
      <c r="M10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09" s="72"/>
      <c r="O109" s="79" t="s">
        <v>177</v>
      </c>
      <c r="P109" s="81">
        <v>44405.88653935185</v>
      </c>
      <c r="Q109" s="79" t="s">
        <v>443</v>
      </c>
      <c r="R109" s="83" t="str">
        <f>HYPERLINK("https://www.chronicle.com/newsletter/the-edge/2021-07-28")</f>
        <v>https://www.chronicle.com/newsletter/the-edge/2021-07-28</v>
      </c>
      <c r="S109" s="79" t="s">
        <v>459</v>
      </c>
      <c r="T109" s="85" t="s">
        <v>508</v>
      </c>
      <c r="U109" s="79"/>
      <c r="V109" s="83" t="str">
        <f>HYPERLINK("https://pbs.twimg.com/profile_images/1323297412480262144/loo-7mMs_normal.jpg")</f>
        <v>https://pbs.twimg.com/profile_images/1323297412480262144/loo-7mMs_normal.jpg</v>
      </c>
      <c r="W109" s="81">
        <v>44405.88653935185</v>
      </c>
      <c r="X109" s="87">
        <v>44405</v>
      </c>
      <c r="Y109" s="85" t="s">
        <v>682</v>
      </c>
      <c r="Z109" s="83" t="str">
        <f>HYPERLINK("https://twitter.com/mycencalwestop/status/1420493421563703297")</f>
        <v>https://twitter.com/mycencalwestop/status/1420493421563703297</v>
      </c>
      <c r="AA109" s="79"/>
      <c r="AB109" s="79"/>
      <c r="AC109" s="85" t="s">
        <v>862</v>
      </c>
      <c r="AD109" s="79"/>
      <c r="AE109" s="79" t="b">
        <v>0</v>
      </c>
      <c r="AF109" s="79">
        <v>0</v>
      </c>
      <c r="AG109" s="85" t="s">
        <v>867</v>
      </c>
      <c r="AH109" s="79" t="b">
        <v>0</v>
      </c>
      <c r="AI109" s="79" t="s">
        <v>874</v>
      </c>
      <c r="AJ109" s="79"/>
      <c r="AK109" s="85" t="s">
        <v>867</v>
      </c>
      <c r="AL109" s="79" t="b">
        <v>0</v>
      </c>
      <c r="AM109" s="79">
        <v>0</v>
      </c>
      <c r="AN109" s="85" t="s">
        <v>867</v>
      </c>
      <c r="AO109" s="85" t="s">
        <v>891</v>
      </c>
      <c r="AP109" s="79" t="b">
        <v>0</v>
      </c>
      <c r="AQ109" s="85" t="s">
        <v>862</v>
      </c>
      <c r="AR109" s="79" t="s">
        <v>177</v>
      </c>
      <c r="AS109" s="79">
        <v>0</v>
      </c>
      <c r="AT109" s="79">
        <v>0</v>
      </c>
      <c r="AU109" s="79"/>
      <c r="AV109" s="79"/>
      <c r="AW109" s="79"/>
      <c r="AX109" s="79"/>
      <c r="AY109" s="79"/>
      <c r="AZ109" s="79"/>
      <c r="BA109" s="79"/>
      <c r="BB109" s="79"/>
      <c r="BC109">
        <v>6</v>
      </c>
      <c r="BD109" s="78" t="str">
        <f>REPLACE(INDEX(GroupVertices[Group], MATCH(Edges[[#This Row],[Vertex 1]],GroupVertices[Vertex],0)),1,1,"")</f>
        <v>1</v>
      </c>
      <c r="BE109" s="78" t="str">
        <f>REPLACE(INDEX(GroupVertices[Group], MATCH(Edges[[#This Row],[Vertex 2]],GroupVertices[Vertex],0)),1,1,"")</f>
        <v>1</v>
      </c>
    </row>
    <row r="110" spans="1:57" x14ac:dyDescent="0.25">
      <c r="A110" s="64" t="s">
        <v>299</v>
      </c>
      <c r="B110" s="64" t="s">
        <v>299</v>
      </c>
      <c r="C110" s="65" t="s">
        <v>2096</v>
      </c>
      <c r="D110" s="66">
        <v>6.5</v>
      </c>
      <c r="E110" s="67"/>
      <c r="F110" s="68">
        <v>30</v>
      </c>
      <c r="G110" s="65"/>
      <c r="H110" s="69"/>
      <c r="I110" s="70"/>
      <c r="J110" s="70"/>
      <c r="K110" s="35" t="s">
        <v>65</v>
      </c>
      <c r="L110" s="77">
        <v>110</v>
      </c>
      <c r="M11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10" s="72"/>
      <c r="O110" s="79" t="s">
        <v>177</v>
      </c>
      <c r="P110" s="81">
        <v>44408.93577546296</v>
      </c>
      <c r="Q110" s="79" t="s">
        <v>444</v>
      </c>
      <c r="R110" s="79"/>
      <c r="S110" s="79"/>
      <c r="T110" s="85" t="s">
        <v>461</v>
      </c>
      <c r="U110" s="83" t="str">
        <f>HYPERLINK("https://pbs.twimg.com/media/E7qIOzGUcAIUR57.jpg")</f>
        <v>https://pbs.twimg.com/media/E7qIOzGUcAIUR57.jpg</v>
      </c>
      <c r="V110" s="83" t="str">
        <f>HYPERLINK("https://pbs.twimg.com/media/E7qIOzGUcAIUR57.jpg")</f>
        <v>https://pbs.twimg.com/media/E7qIOzGUcAIUR57.jpg</v>
      </c>
      <c r="W110" s="81">
        <v>44408.93577546296</v>
      </c>
      <c r="X110" s="87">
        <v>44408</v>
      </c>
      <c r="Y110" s="85" t="s">
        <v>683</v>
      </c>
      <c r="Z110" s="83" t="str">
        <f>HYPERLINK("https://twitter.com/mycencalwestop/status/1421598426752446470")</f>
        <v>https://twitter.com/mycencalwestop/status/1421598426752446470</v>
      </c>
      <c r="AA110" s="79"/>
      <c r="AB110" s="79"/>
      <c r="AC110" s="85" t="s">
        <v>863</v>
      </c>
      <c r="AD110" s="79"/>
      <c r="AE110" s="79" t="b">
        <v>0</v>
      </c>
      <c r="AF110" s="79">
        <v>2</v>
      </c>
      <c r="AG110" s="85" t="s">
        <v>867</v>
      </c>
      <c r="AH110" s="79" t="b">
        <v>0</v>
      </c>
      <c r="AI110" s="79" t="s">
        <v>874</v>
      </c>
      <c r="AJ110" s="79"/>
      <c r="AK110" s="85" t="s">
        <v>867</v>
      </c>
      <c r="AL110" s="79" t="b">
        <v>0</v>
      </c>
      <c r="AM110" s="79">
        <v>0</v>
      </c>
      <c r="AN110" s="85" t="s">
        <v>867</v>
      </c>
      <c r="AO110" s="85" t="s">
        <v>883</v>
      </c>
      <c r="AP110" s="79" t="b">
        <v>0</v>
      </c>
      <c r="AQ110" s="85" t="s">
        <v>863</v>
      </c>
      <c r="AR110" s="79" t="s">
        <v>177</v>
      </c>
      <c r="AS110" s="79">
        <v>0</v>
      </c>
      <c r="AT110" s="79">
        <v>0</v>
      </c>
      <c r="AU110" s="79" t="s">
        <v>901</v>
      </c>
      <c r="AV110" s="79" t="s">
        <v>902</v>
      </c>
      <c r="AW110" s="79" t="s">
        <v>903</v>
      </c>
      <c r="AX110" s="79" t="s">
        <v>914</v>
      </c>
      <c r="AY110" s="79" t="s">
        <v>924</v>
      </c>
      <c r="AZ110" s="79" t="s">
        <v>914</v>
      </c>
      <c r="BA110" s="79" t="s">
        <v>931</v>
      </c>
      <c r="BB110" s="83" t="str">
        <f>HYPERLINK("https://api.twitter.com/1.1/geo/id/07d9d741e6084000.json")</f>
        <v>https://api.twitter.com/1.1/geo/id/07d9d741e6084000.json</v>
      </c>
      <c r="BC110">
        <v>6</v>
      </c>
      <c r="BD110" s="78" t="str">
        <f>REPLACE(INDEX(GroupVertices[Group], MATCH(Edges[[#This Row],[Vertex 1]],GroupVertices[Vertex],0)),1,1,"")</f>
        <v>1</v>
      </c>
      <c r="BE110" s="78" t="str">
        <f>REPLACE(INDEX(GroupVertices[Group], MATCH(Edges[[#This Row],[Vertex 2]],GroupVertices[Vertex],0)),1,1,"")</f>
        <v>1</v>
      </c>
    </row>
    <row r="111" spans="1:57" x14ac:dyDescent="0.25">
      <c r="A111" s="89" t="s">
        <v>299</v>
      </c>
      <c r="B111" s="89" t="s">
        <v>299</v>
      </c>
      <c r="C111" s="105" t="s">
        <v>2096</v>
      </c>
      <c r="D111" s="123">
        <v>6.5</v>
      </c>
      <c r="E111" s="124"/>
      <c r="F111" s="104">
        <v>30</v>
      </c>
      <c r="G111" s="105"/>
      <c r="H111" s="125"/>
      <c r="I111" s="106"/>
      <c r="J111" s="106"/>
      <c r="K111" s="35" t="s">
        <v>65</v>
      </c>
      <c r="L111" s="126">
        <v>111</v>
      </c>
      <c r="M111" s="126"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11" s="95"/>
      <c r="O111" s="99" t="s">
        <v>177</v>
      </c>
      <c r="P111" s="100">
        <v>44409.849305555559</v>
      </c>
      <c r="Q111" s="99" t="s">
        <v>445</v>
      </c>
      <c r="R111" s="99"/>
      <c r="S111" s="99"/>
      <c r="T111" s="101" t="s">
        <v>506</v>
      </c>
      <c r="U111" s="102" t="str">
        <f>HYPERLINK("https://pbs.twimg.com/media/E4LvUzaUcAEHgb7.jpg")</f>
        <v>https://pbs.twimg.com/media/E4LvUzaUcAEHgb7.jpg</v>
      </c>
      <c r="V111" s="102" t="str">
        <f>HYPERLINK("https://pbs.twimg.com/media/E4LvUzaUcAEHgb7.jpg")</f>
        <v>https://pbs.twimg.com/media/E4LvUzaUcAEHgb7.jpg</v>
      </c>
      <c r="W111" s="100">
        <v>44409.849305555559</v>
      </c>
      <c r="X111" s="103">
        <v>44409</v>
      </c>
      <c r="Y111" s="101" t="s">
        <v>684</v>
      </c>
      <c r="Z111" s="102" t="str">
        <f>HYPERLINK("https://twitter.com/mycencalwestop/status/1421929477261565955")</f>
        <v>https://twitter.com/mycencalwestop/status/1421929477261565955</v>
      </c>
      <c r="AA111" s="99"/>
      <c r="AB111" s="99"/>
      <c r="AC111" s="101" t="s">
        <v>864</v>
      </c>
      <c r="AD111" s="99"/>
      <c r="AE111" s="99" t="b">
        <v>0</v>
      </c>
      <c r="AF111" s="99">
        <v>0</v>
      </c>
      <c r="AG111" s="101" t="s">
        <v>867</v>
      </c>
      <c r="AH111" s="99" t="b">
        <v>0</v>
      </c>
      <c r="AI111" s="99" t="s">
        <v>874</v>
      </c>
      <c r="AJ111" s="99"/>
      <c r="AK111" s="101" t="s">
        <v>867</v>
      </c>
      <c r="AL111" s="99" t="b">
        <v>0</v>
      </c>
      <c r="AM111" s="99">
        <v>0</v>
      </c>
      <c r="AN111" s="101" t="s">
        <v>867</v>
      </c>
      <c r="AO111" s="101" t="s">
        <v>891</v>
      </c>
      <c r="AP111" s="99" t="b">
        <v>0</v>
      </c>
      <c r="AQ111" s="101" t="s">
        <v>864</v>
      </c>
      <c r="AR111" s="99" t="s">
        <v>177</v>
      </c>
      <c r="AS111" s="99">
        <v>0</v>
      </c>
      <c r="AT111" s="99">
        <v>0</v>
      </c>
      <c r="AU111" s="99"/>
      <c r="AV111" s="99"/>
      <c r="AW111" s="99"/>
      <c r="AX111" s="99"/>
      <c r="AY111" s="99"/>
      <c r="AZ111" s="99"/>
      <c r="BA111" s="99"/>
      <c r="BB111" s="99"/>
      <c r="BC111">
        <v>6</v>
      </c>
      <c r="BD111" s="78" t="str">
        <f>REPLACE(INDEX(GroupVertices[Group], MATCH(Edges[[#This Row],[Vertex 1]],GroupVertices[Vertex],0)),1,1,"")</f>
        <v>1</v>
      </c>
      <c r="BE111" s="78" t="str">
        <f>REPLACE(INDEX(GroupVertices[Group], MATCH(Edges[[#This Row],[Vertex 2]],GroupVertices[Vertex],0)),1,1,"")</f>
        <v>1</v>
      </c>
    </row>
    <row r="112" spans="1:57" x14ac:dyDescent="0.25">
      <c r="A112" s="64" t="s">
        <v>296</v>
      </c>
      <c r="B112" s="64" t="s">
        <v>296</v>
      </c>
      <c r="C112" s="65" t="s">
        <v>2096</v>
      </c>
      <c r="D112" s="66">
        <v>6.5</v>
      </c>
      <c r="E112" s="67"/>
      <c r="F112" s="68">
        <v>30</v>
      </c>
      <c r="G112" s="65"/>
      <c r="H112" s="69"/>
      <c r="I112" s="70"/>
      <c r="J112" s="70"/>
      <c r="K112" s="35" t="s">
        <v>65</v>
      </c>
      <c r="L112" s="77">
        <v>112</v>
      </c>
      <c r="M11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12" s="72"/>
      <c r="O112" s="79" t="s">
        <v>177</v>
      </c>
      <c r="P112" s="81">
        <v>44401.667164351849</v>
      </c>
      <c r="Q112" s="79" t="s">
        <v>425</v>
      </c>
      <c r="R112" s="79"/>
      <c r="S112" s="79"/>
      <c r="T112" s="85" t="s">
        <v>497</v>
      </c>
      <c r="U112" s="83" t="str">
        <f>HYPERLINK("https://pbs.twimg.com/media/E7Esk3aWYA4vnC7.jpg")</f>
        <v>https://pbs.twimg.com/media/E7Esk3aWYA4vnC7.jpg</v>
      </c>
      <c r="V112" s="83" t="str">
        <f>HYPERLINK("https://pbs.twimg.com/media/E7Esk3aWYA4vnC7.jpg")</f>
        <v>https://pbs.twimg.com/media/E7Esk3aWYA4vnC7.jpg</v>
      </c>
      <c r="W112" s="81">
        <v>44401.667164351849</v>
      </c>
      <c r="X112" s="87">
        <v>44401</v>
      </c>
      <c r="Y112" s="85" t="s">
        <v>660</v>
      </c>
      <c r="Z112" s="83" t="str">
        <f>HYPERLINK("https://twitter.com/eku_nova/status/1418964371456368640")</f>
        <v>https://twitter.com/eku_nova/status/1418964371456368640</v>
      </c>
      <c r="AA112" s="79"/>
      <c r="AB112" s="79"/>
      <c r="AC112" s="85" t="s">
        <v>840</v>
      </c>
      <c r="AD112" s="79"/>
      <c r="AE112" s="79" t="b">
        <v>0</v>
      </c>
      <c r="AF112" s="79">
        <v>2</v>
      </c>
      <c r="AG112" s="85" t="s">
        <v>867</v>
      </c>
      <c r="AH112" s="79" t="b">
        <v>0</v>
      </c>
      <c r="AI112" s="79" t="s">
        <v>874</v>
      </c>
      <c r="AJ112" s="79"/>
      <c r="AK112" s="85" t="s">
        <v>867</v>
      </c>
      <c r="AL112" s="79" t="b">
        <v>0</v>
      </c>
      <c r="AM112" s="79">
        <v>0</v>
      </c>
      <c r="AN112" s="85" t="s">
        <v>867</v>
      </c>
      <c r="AO112" s="85" t="s">
        <v>885</v>
      </c>
      <c r="AP112" s="79" t="b">
        <v>0</v>
      </c>
      <c r="AQ112" s="85" t="s">
        <v>840</v>
      </c>
      <c r="AR112" s="79" t="s">
        <v>177</v>
      </c>
      <c r="AS112" s="79">
        <v>0</v>
      </c>
      <c r="AT112" s="79">
        <v>0</v>
      </c>
      <c r="AU112" s="79"/>
      <c r="AV112" s="79"/>
      <c r="AW112" s="79"/>
      <c r="AX112" s="79"/>
      <c r="AY112" s="79"/>
      <c r="AZ112" s="79"/>
      <c r="BA112" s="79"/>
      <c r="BB112" s="79"/>
      <c r="BC112">
        <v>6</v>
      </c>
      <c r="BD112" s="78" t="str">
        <f>REPLACE(INDEX(GroupVertices[Group], MATCH(Edges[[#This Row],[Vertex 1]],GroupVertices[Vertex],0)),1,1,"")</f>
        <v>11</v>
      </c>
      <c r="BE112" s="78" t="str">
        <f>REPLACE(INDEX(GroupVertices[Group], MATCH(Edges[[#This Row],[Vertex 2]],GroupVertices[Vertex],0)),1,1,"")</f>
        <v>11</v>
      </c>
    </row>
    <row r="113" spans="1:57" x14ac:dyDescent="0.25">
      <c r="A113" s="64" t="s">
        <v>296</v>
      </c>
      <c r="B113" s="64" t="s">
        <v>296</v>
      </c>
      <c r="C113" s="65" t="s">
        <v>2096</v>
      </c>
      <c r="D113" s="66">
        <v>6.5</v>
      </c>
      <c r="E113" s="67"/>
      <c r="F113" s="68">
        <v>30</v>
      </c>
      <c r="G113" s="65"/>
      <c r="H113" s="69"/>
      <c r="I113" s="70"/>
      <c r="J113" s="70"/>
      <c r="K113" s="35" t="s">
        <v>65</v>
      </c>
      <c r="L113" s="77">
        <v>113</v>
      </c>
      <c r="M11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13" s="72"/>
      <c r="O113" s="79" t="s">
        <v>177</v>
      </c>
      <c r="P113" s="81">
        <v>44403.667881944442</v>
      </c>
      <c r="Q113" s="79" t="s">
        <v>426</v>
      </c>
      <c r="R113" s="79"/>
      <c r="S113" s="79"/>
      <c r="T113" s="85" t="s">
        <v>498</v>
      </c>
      <c r="U113" s="83" t="str">
        <f>HYPERLINK("https://pbs.twimg.com/media/E7O__amWUAMQeQ-.jpg")</f>
        <v>https://pbs.twimg.com/media/E7O__amWUAMQeQ-.jpg</v>
      </c>
      <c r="V113" s="83" t="str">
        <f>HYPERLINK("https://pbs.twimg.com/media/E7O__amWUAMQeQ-.jpg")</f>
        <v>https://pbs.twimg.com/media/E7O__amWUAMQeQ-.jpg</v>
      </c>
      <c r="W113" s="81">
        <v>44403.667881944442</v>
      </c>
      <c r="X113" s="87">
        <v>44403</v>
      </c>
      <c r="Y113" s="85" t="s">
        <v>661</v>
      </c>
      <c r="Z113" s="83" t="str">
        <f>HYPERLINK("https://twitter.com/eku_nova/status/1419689406911365129")</f>
        <v>https://twitter.com/eku_nova/status/1419689406911365129</v>
      </c>
      <c r="AA113" s="79"/>
      <c r="AB113" s="79"/>
      <c r="AC113" s="85" t="s">
        <v>841</v>
      </c>
      <c r="AD113" s="79"/>
      <c r="AE113" s="79" t="b">
        <v>0</v>
      </c>
      <c r="AF113" s="79">
        <v>0</v>
      </c>
      <c r="AG113" s="85" t="s">
        <v>867</v>
      </c>
      <c r="AH113" s="79" t="b">
        <v>0</v>
      </c>
      <c r="AI113" s="79" t="s">
        <v>874</v>
      </c>
      <c r="AJ113" s="79"/>
      <c r="AK113" s="85" t="s">
        <v>867</v>
      </c>
      <c r="AL113" s="79" t="b">
        <v>0</v>
      </c>
      <c r="AM113" s="79">
        <v>0</v>
      </c>
      <c r="AN113" s="85" t="s">
        <v>867</v>
      </c>
      <c r="AO113" s="85" t="s">
        <v>885</v>
      </c>
      <c r="AP113" s="79" t="b">
        <v>0</v>
      </c>
      <c r="AQ113" s="85" t="s">
        <v>841</v>
      </c>
      <c r="AR113" s="79" t="s">
        <v>177</v>
      </c>
      <c r="AS113" s="79">
        <v>0</v>
      </c>
      <c r="AT113" s="79">
        <v>0</v>
      </c>
      <c r="AU113" s="79"/>
      <c r="AV113" s="79"/>
      <c r="AW113" s="79"/>
      <c r="AX113" s="79"/>
      <c r="AY113" s="79"/>
      <c r="AZ113" s="79"/>
      <c r="BA113" s="79"/>
      <c r="BB113" s="79"/>
      <c r="BC113">
        <v>6</v>
      </c>
      <c r="BD113" s="78" t="str">
        <f>REPLACE(INDEX(GroupVertices[Group], MATCH(Edges[[#This Row],[Vertex 1]],GroupVertices[Vertex],0)),1,1,"")</f>
        <v>11</v>
      </c>
      <c r="BE113" s="78" t="str">
        <f>REPLACE(INDEX(GroupVertices[Group], MATCH(Edges[[#This Row],[Vertex 2]],GroupVertices[Vertex],0)),1,1,"")</f>
        <v>11</v>
      </c>
    </row>
    <row r="114" spans="1:57" x14ac:dyDescent="0.25">
      <c r="A114" s="64" t="s">
        <v>296</v>
      </c>
      <c r="B114" s="64" t="s">
        <v>296</v>
      </c>
      <c r="C114" s="65" t="s">
        <v>2096</v>
      </c>
      <c r="D114" s="66">
        <v>6.5</v>
      </c>
      <c r="E114" s="67"/>
      <c r="F114" s="68">
        <v>30</v>
      </c>
      <c r="G114" s="65"/>
      <c r="H114" s="69"/>
      <c r="I114" s="70"/>
      <c r="J114" s="70"/>
      <c r="K114" s="35" t="s">
        <v>65</v>
      </c>
      <c r="L114" s="77">
        <v>114</v>
      </c>
      <c r="M11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14" s="72"/>
      <c r="O114" s="79" t="s">
        <v>177</v>
      </c>
      <c r="P114" s="81">
        <v>44404.668043981481</v>
      </c>
      <c r="Q114" s="79" t="s">
        <v>427</v>
      </c>
      <c r="R114" s="79"/>
      <c r="S114" s="79"/>
      <c r="T114" s="85" t="s">
        <v>497</v>
      </c>
      <c r="U114" s="83" t="str">
        <f>HYPERLINK("https://pbs.twimg.com/media/E7UJofHWEAsy7PW.jpg")</f>
        <v>https://pbs.twimg.com/media/E7UJofHWEAsy7PW.jpg</v>
      </c>
      <c r="V114" s="83" t="str">
        <f>HYPERLINK("https://pbs.twimg.com/media/E7UJofHWEAsy7PW.jpg")</f>
        <v>https://pbs.twimg.com/media/E7UJofHWEAsy7PW.jpg</v>
      </c>
      <c r="W114" s="81">
        <v>44404.668043981481</v>
      </c>
      <c r="X114" s="87">
        <v>44404</v>
      </c>
      <c r="Y114" s="85" t="s">
        <v>662</v>
      </c>
      <c r="Z114" s="83" t="str">
        <f>HYPERLINK("https://twitter.com/eku_nova/status/1420051851089793026")</f>
        <v>https://twitter.com/eku_nova/status/1420051851089793026</v>
      </c>
      <c r="AA114" s="79"/>
      <c r="AB114" s="79"/>
      <c r="AC114" s="85" t="s">
        <v>842</v>
      </c>
      <c r="AD114" s="79"/>
      <c r="AE114" s="79" t="b">
        <v>0</v>
      </c>
      <c r="AF114" s="79">
        <v>1</v>
      </c>
      <c r="AG114" s="85" t="s">
        <v>867</v>
      </c>
      <c r="AH114" s="79" t="b">
        <v>0</v>
      </c>
      <c r="AI114" s="79" t="s">
        <v>874</v>
      </c>
      <c r="AJ114" s="79"/>
      <c r="AK114" s="85" t="s">
        <v>867</v>
      </c>
      <c r="AL114" s="79" t="b">
        <v>0</v>
      </c>
      <c r="AM114" s="79">
        <v>0</v>
      </c>
      <c r="AN114" s="85" t="s">
        <v>867</v>
      </c>
      <c r="AO114" s="85" t="s">
        <v>885</v>
      </c>
      <c r="AP114" s="79" t="b">
        <v>0</v>
      </c>
      <c r="AQ114" s="85" t="s">
        <v>842</v>
      </c>
      <c r="AR114" s="79" t="s">
        <v>177</v>
      </c>
      <c r="AS114" s="79">
        <v>0</v>
      </c>
      <c r="AT114" s="79">
        <v>0</v>
      </c>
      <c r="AU114" s="79"/>
      <c r="AV114" s="79"/>
      <c r="AW114" s="79"/>
      <c r="AX114" s="79"/>
      <c r="AY114" s="79"/>
      <c r="AZ114" s="79"/>
      <c r="BA114" s="79"/>
      <c r="BB114" s="79"/>
      <c r="BC114">
        <v>6</v>
      </c>
      <c r="BD114" s="78" t="str">
        <f>REPLACE(INDEX(GroupVertices[Group], MATCH(Edges[[#This Row],[Vertex 1]],GroupVertices[Vertex],0)),1,1,"")</f>
        <v>11</v>
      </c>
      <c r="BE114" s="78" t="str">
        <f>REPLACE(INDEX(GroupVertices[Group], MATCH(Edges[[#This Row],[Vertex 2]],GroupVertices[Vertex],0)),1,1,"")</f>
        <v>11</v>
      </c>
    </row>
    <row r="115" spans="1:57" x14ac:dyDescent="0.25">
      <c r="A115" s="64" t="s">
        <v>296</v>
      </c>
      <c r="B115" s="64" t="s">
        <v>296</v>
      </c>
      <c r="C115" s="65" t="s">
        <v>2096</v>
      </c>
      <c r="D115" s="66">
        <v>6.5</v>
      </c>
      <c r="E115" s="67"/>
      <c r="F115" s="68">
        <v>30</v>
      </c>
      <c r="G115" s="65"/>
      <c r="H115" s="69"/>
      <c r="I115" s="70"/>
      <c r="J115" s="70"/>
      <c r="K115" s="35" t="s">
        <v>65</v>
      </c>
      <c r="L115" s="77">
        <v>115</v>
      </c>
      <c r="M11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15" s="72"/>
      <c r="O115" s="79" t="s">
        <v>177</v>
      </c>
      <c r="P115" s="81">
        <v>44406.667800925927</v>
      </c>
      <c r="Q115" s="79" t="s">
        <v>428</v>
      </c>
      <c r="R115" s="79"/>
      <c r="S115" s="79"/>
      <c r="T115" s="85" t="s">
        <v>497</v>
      </c>
      <c r="U115" s="83" t="str">
        <f>HYPERLINK("https://pbs.twimg.com/media/E7ecu-oXIAU5Dle.jpg")</f>
        <v>https://pbs.twimg.com/media/E7ecu-oXIAU5Dle.jpg</v>
      </c>
      <c r="V115" s="83" t="str">
        <f>HYPERLINK("https://pbs.twimg.com/media/E7ecu-oXIAU5Dle.jpg")</f>
        <v>https://pbs.twimg.com/media/E7ecu-oXIAU5Dle.jpg</v>
      </c>
      <c r="W115" s="81">
        <v>44406.667800925927</v>
      </c>
      <c r="X115" s="87">
        <v>44406</v>
      </c>
      <c r="Y115" s="85" t="s">
        <v>663</v>
      </c>
      <c r="Z115" s="83" t="str">
        <f>HYPERLINK("https://twitter.com/eku_nova/status/1420776540653211656")</f>
        <v>https://twitter.com/eku_nova/status/1420776540653211656</v>
      </c>
      <c r="AA115" s="79"/>
      <c r="AB115" s="79"/>
      <c r="AC115" s="85" t="s">
        <v>843</v>
      </c>
      <c r="AD115" s="79"/>
      <c r="AE115" s="79" t="b">
        <v>0</v>
      </c>
      <c r="AF115" s="79">
        <v>0</v>
      </c>
      <c r="AG115" s="85" t="s">
        <v>867</v>
      </c>
      <c r="AH115" s="79" t="b">
        <v>0</v>
      </c>
      <c r="AI115" s="79" t="s">
        <v>874</v>
      </c>
      <c r="AJ115" s="79"/>
      <c r="AK115" s="85" t="s">
        <v>867</v>
      </c>
      <c r="AL115" s="79" t="b">
        <v>0</v>
      </c>
      <c r="AM115" s="79">
        <v>0</v>
      </c>
      <c r="AN115" s="85" t="s">
        <v>867</v>
      </c>
      <c r="AO115" s="85" t="s">
        <v>885</v>
      </c>
      <c r="AP115" s="79" t="b">
        <v>0</v>
      </c>
      <c r="AQ115" s="85" t="s">
        <v>843</v>
      </c>
      <c r="AR115" s="79" t="s">
        <v>177</v>
      </c>
      <c r="AS115" s="79">
        <v>0</v>
      </c>
      <c r="AT115" s="79">
        <v>0</v>
      </c>
      <c r="AU115" s="79"/>
      <c r="AV115" s="79"/>
      <c r="AW115" s="79"/>
      <c r="AX115" s="79"/>
      <c r="AY115" s="79"/>
      <c r="AZ115" s="79"/>
      <c r="BA115" s="79"/>
      <c r="BB115" s="79"/>
      <c r="BC115">
        <v>6</v>
      </c>
      <c r="BD115" s="78" t="str">
        <f>REPLACE(INDEX(GroupVertices[Group], MATCH(Edges[[#This Row],[Vertex 1]],GroupVertices[Vertex],0)),1,1,"")</f>
        <v>11</v>
      </c>
      <c r="BE115" s="78" t="str">
        <f>REPLACE(INDEX(GroupVertices[Group], MATCH(Edges[[#This Row],[Vertex 2]],GroupVertices[Vertex],0)),1,1,"")</f>
        <v>11</v>
      </c>
    </row>
    <row r="116" spans="1:57" x14ac:dyDescent="0.25">
      <c r="A116" s="64" t="s">
        <v>296</v>
      </c>
      <c r="B116" s="64" t="s">
        <v>296</v>
      </c>
      <c r="C116" s="65" t="s">
        <v>2096</v>
      </c>
      <c r="D116" s="66">
        <v>6.5</v>
      </c>
      <c r="E116" s="67"/>
      <c r="F116" s="68">
        <v>30</v>
      </c>
      <c r="G116" s="65"/>
      <c r="H116" s="69"/>
      <c r="I116" s="70"/>
      <c r="J116" s="70"/>
      <c r="K116" s="35" t="s">
        <v>65</v>
      </c>
      <c r="L116" s="77">
        <v>116</v>
      </c>
      <c r="M11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16" s="72"/>
      <c r="O116" s="79" t="s">
        <v>177</v>
      </c>
      <c r="P116" s="81">
        <v>44407.667546296296</v>
      </c>
      <c r="Q116" s="79" t="s">
        <v>429</v>
      </c>
      <c r="R116" s="79"/>
      <c r="S116" s="79"/>
      <c r="T116" s="85" t="s">
        <v>499</v>
      </c>
      <c r="U116" s="83" t="str">
        <f>HYPERLINK("https://pbs.twimg.com/media/E7jmPVIXMAA1JPV.jpg")</f>
        <v>https://pbs.twimg.com/media/E7jmPVIXMAA1JPV.jpg</v>
      </c>
      <c r="V116" s="83" t="str">
        <f>HYPERLINK("https://pbs.twimg.com/media/E7jmPVIXMAA1JPV.jpg")</f>
        <v>https://pbs.twimg.com/media/E7jmPVIXMAA1JPV.jpg</v>
      </c>
      <c r="W116" s="81">
        <v>44407.667546296296</v>
      </c>
      <c r="X116" s="87">
        <v>44407</v>
      </c>
      <c r="Y116" s="85" t="s">
        <v>664</v>
      </c>
      <c r="Z116" s="83" t="str">
        <f>HYPERLINK("https://twitter.com/eku_nova/status/1421138835803623434")</f>
        <v>https://twitter.com/eku_nova/status/1421138835803623434</v>
      </c>
      <c r="AA116" s="79"/>
      <c r="AB116" s="79"/>
      <c r="AC116" s="85" t="s">
        <v>844</v>
      </c>
      <c r="AD116" s="79"/>
      <c r="AE116" s="79" t="b">
        <v>0</v>
      </c>
      <c r="AF116" s="79">
        <v>0</v>
      </c>
      <c r="AG116" s="85" t="s">
        <v>867</v>
      </c>
      <c r="AH116" s="79" t="b">
        <v>0</v>
      </c>
      <c r="AI116" s="79" t="s">
        <v>874</v>
      </c>
      <c r="AJ116" s="79"/>
      <c r="AK116" s="85" t="s">
        <v>867</v>
      </c>
      <c r="AL116" s="79" t="b">
        <v>0</v>
      </c>
      <c r="AM116" s="79">
        <v>0</v>
      </c>
      <c r="AN116" s="85" t="s">
        <v>867</v>
      </c>
      <c r="AO116" s="85" t="s">
        <v>885</v>
      </c>
      <c r="AP116" s="79" t="b">
        <v>0</v>
      </c>
      <c r="AQ116" s="85" t="s">
        <v>844</v>
      </c>
      <c r="AR116" s="79" t="s">
        <v>177</v>
      </c>
      <c r="AS116" s="79">
        <v>0</v>
      </c>
      <c r="AT116" s="79">
        <v>0</v>
      </c>
      <c r="AU116" s="79"/>
      <c r="AV116" s="79"/>
      <c r="AW116" s="79"/>
      <c r="AX116" s="79"/>
      <c r="AY116" s="79"/>
      <c r="AZ116" s="79"/>
      <c r="BA116" s="79"/>
      <c r="BB116" s="79"/>
      <c r="BC116">
        <v>6</v>
      </c>
      <c r="BD116" s="78" t="str">
        <f>REPLACE(INDEX(GroupVertices[Group], MATCH(Edges[[#This Row],[Vertex 1]],GroupVertices[Vertex],0)),1,1,"")</f>
        <v>11</v>
      </c>
      <c r="BE116" s="78" t="str">
        <f>REPLACE(INDEX(GroupVertices[Group], MATCH(Edges[[#This Row],[Vertex 2]],GroupVertices[Vertex],0)),1,1,"")</f>
        <v>11</v>
      </c>
    </row>
    <row r="117" spans="1:57" x14ac:dyDescent="0.25">
      <c r="A117" s="64" t="s">
        <v>296</v>
      </c>
      <c r="B117" s="64" t="s">
        <v>296</v>
      </c>
      <c r="C117" s="65" t="s">
        <v>2096</v>
      </c>
      <c r="D117" s="66">
        <v>6.5</v>
      </c>
      <c r="E117" s="67"/>
      <c r="F117" s="68">
        <v>30</v>
      </c>
      <c r="G117" s="65"/>
      <c r="H117" s="69"/>
      <c r="I117" s="70"/>
      <c r="J117" s="70"/>
      <c r="K117" s="35" t="s">
        <v>65</v>
      </c>
      <c r="L117" s="77">
        <v>117</v>
      </c>
      <c r="M11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17" s="72"/>
      <c r="O117" s="79" t="s">
        <v>177</v>
      </c>
      <c r="P117" s="81">
        <v>44408.667094907411</v>
      </c>
      <c r="Q117" s="79" t="s">
        <v>430</v>
      </c>
      <c r="R117" s="79"/>
      <c r="S117" s="79"/>
      <c r="T117" s="85" t="s">
        <v>499</v>
      </c>
      <c r="U117" s="83" t="str">
        <f>HYPERLINK("https://pbs.twimg.com/media/E7ovroxWQAUPcgl.jpg")</f>
        <v>https://pbs.twimg.com/media/E7ovroxWQAUPcgl.jpg</v>
      </c>
      <c r="V117" s="83" t="str">
        <f>HYPERLINK("https://pbs.twimg.com/media/E7ovroxWQAUPcgl.jpg")</f>
        <v>https://pbs.twimg.com/media/E7ovroxWQAUPcgl.jpg</v>
      </c>
      <c r="W117" s="81">
        <v>44408.667094907411</v>
      </c>
      <c r="X117" s="87">
        <v>44408</v>
      </c>
      <c r="Y117" s="85" t="s">
        <v>665</v>
      </c>
      <c r="Z117" s="83" t="str">
        <f>HYPERLINK("https://twitter.com/eku_nova/status/1421501061429436422")</f>
        <v>https://twitter.com/eku_nova/status/1421501061429436422</v>
      </c>
      <c r="AA117" s="79"/>
      <c r="AB117" s="79"/>
      <c r="AC117" s="85" t="s">
        <v>845</v>
      </c>
      <c r="AD117" s="79"/>
      <c r="AE117" s="79" t="b">
        <v>0</v>
      </c>
      <c r="AF117" s="79">
        <v>0</v>
      </c>
      <c r="AG117" s="85" t="s">
        <v>867</v>
      </c>
      <c r="AH117" s="79" t="b">
        <v>0</v>
      </c>
      <c r="AI117" s="79" t="s">
        <v>874</v>
      </c>
      <c r="AJ117" s="79"/>
      <c r="AK117" s="85" t="s">
        <v>867</v>
      </c>
      <c r="AL117" s="79" t="b">
        <v>0</v>
      </c>
      <c r="AM117" s="79">
        <v>0</v>
      </c>
      <c r="AN117" s="85" t="s">
        <v>867</v>
      </c>
      <c r="AO117" s="85" t="s">
        <v>885</v>
      </c>
      <c r="AP117" s="79" t="b">
        <v>0</v>
      </c>
      <c r="AQ117" s="85" t="s">
        <v>845</v>
      </c>
      <c r="AR117" s="79" t="s">
        <v>177</v>
      </c>
      <c r="AS117" s="79">
        <v>0</v>
      </c>
      <c r="AT117" s="79">
        <v>0</v>
      </c>
      <c r="AU117" s="79"/>
      <c r="AV117" s="79"/>
      <c r="AW117" s="79"/>
      <c r="AX117" s="79"/>
      <c r="AY117" s="79"/>
      <c r="AZ117" s="79"/>
      <c r="BA117" s="79"/>
      <c r="BB117" s="79"/>
      <c r="BC117">
        <v>6</v>
      </c>
      <c r="BD117" s="78" t="str">
        <f>REPLACE(INDEX(GroupVertices[Group], MATCH(Edges[[#This Row],[Vertex 1]],GroupVertices[Vertex],0)),1,1,"")</f>
        <v>11</v>
      </c>
      <c r="BE117" s="78" t="str">
        <f>REPLACE(INDEX(GroupVertices[Group], MATCH(Edges[[#This Row],[Vertex 2]],GroupVertices[Vertex],0)),1,1,"")</f>
        <v>11</v>
      </c>
    </row>
    <row r="118" spans="1:57" x14ac:dyDescent="0.25">
      <c r="A118" s="64" t="s">
        <v>267</v>
      </c>
      <c r="B118" s="64" t="s">
        <v>322</v>
      </c>
      <c r="C118" s="65" t="s">
        <v>2096</v>
      </c>
      <c r="D118" s="66">
        <v>6.5</v>
      </c>
      <c r="E118" s="67"/>
      <c r="F118" s="68">
        <v>30</v>
      </c>
      <c r="G118" s="65"/>
      <c r="H118" s="69"/>
      <c r="I118" s="70"/>
      <c r="J118" s="70"/>
      <c r="K118" s="35" t="s">
        <v>65</v>
      </c>
      <c r="L118" s="77">
        <v>118</v>
      </c>
      <c r="M11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18" s="72"/>
      <c r="O118" s="79" t="s">
        <v>337</v>
      </c>
      <c r="P118" s="81">
        <v>44406.628321759257</v>
      </c>
      <c r="Q118" s="79" t="s">
        <v>371</v>
      </c>
      <c r="R118" s="83" t="str">
        <f>HYPERLINK("https://youtube.com/shorts/qku6RAs")</f>
        <v>https://youtube.com/shorts/qku6RAs</v>
      </c>
      <c r="S118" s="79" t="s">
        <v>450</v>
      </c>
      <c r="T118" s="85" t="s">
        <v>478</v>
      </c>
      <c r="U118" s="79"/>
      <c r="V118" s="83" t="str">
        <f>HYPERLINK("https://pbs.twimg.com/profile_images/1398299805156360194/2uVusLCs_normal.jpg")</f>
        <v>https://pbs.twimg.com/profile_images/1398299805156360194/2uVusLCs_normal.jpg</v>
      </c>
      <c r="W118" s="81">
        <v>44406.628321759257</v>
      </c>
      <c r="X118" s="87">
        <v>44406</v>
      </c>
      <c r="Y118" s="85" t="s">
        <v>573</v>
      </c>
      <c r="Z118" s="83" t="str">
        <f>HYPERLINK("https://twitter.com/ms_tabu/status/1420762232816914432")</f>
        <v>https://twitter.com/ms_tabu/status/1420762232816914432</v>
      </c>
      <c r="AA118" s="79"/>
      <c r="AB118" s="79"/>
      <c r="AC118" s="85" t="s">
        <v>752</v>
      </c>
      <c r="AD118" s="79"/>
      <c r="AE118" s="79" t="b">
        <v>0</v>
      </c>
      <c r="AF118" s="79">
        <v>0</v>
      </c>
      <c r="AG118" s="85" t="s">
        <v>867</v>
      </c>
      <c r="AH118" s="79" t="b">
        <v>0</v>
      </c>
      <c r="AI118" s="79" t="s">
        <v>874</v>
      </c>
      <c r="AJ118" s="79"/>
      <c r="AK118" s="85" t="s">
        <v>867</v>
      </c>
      <c r="AL118" s="79" t="b">
        <v>0</v>
      </c>
      <c r="AM118" s="79">
        <v>3</v>
      </c>
      <c r="AN118" s="85" t="s">
        <v>790</v>
      </c>
      <c r="AO118" s="85" t="s">
        <v>887</v>
      </c>
      <c r="AP118" s="79" t="b">
        <v>0</v>
      </c>
      <c r="AQ118" s="85" t="s">
        <v>790</v>
      </c>
      <c r="AR118" s="79" t="s">
        <v>177</v>
      </c>
      <c r="AS118" s="79">
        <v>0</v>
      </c>
      <c r="AT118" s="79">
        <v>0</v>
      </c>
      <c r="AU118" s="79"/>
      <c r="AV118" s="79"/>
      <c r="AW118" s="79"/>
      <c r="AX118" s="79"/>
      <c r="AY118" s="79"/>
      <c r="AZ118" s="79"/>
      <c r="BA118" s="79"/>
      <c r="BB118" s="79"/>
      <c r="BC118">
        <v>6</v>
      </c>
      <c r="BD118" s="78" t="str">
        <f>REPLACE(INDEX(GroupVertices[Group], MATCH(Edges[[#This Row],[Vertex 1]],GroupVertices[Vertex],0)),1,1,"")</f>
        <v>3</v>
      </c>
      <c r="BE118" s="78" t="str">
        <f>REPLACE(INDEX(GroupVertices[Group], MATCH(Edges[[#This Row],[Vertex 2]],GroupVertices[Vertex],0)),1,1,"")</f>
        <v>3</v>
      </c>
    </row>
    <row r="119" spans="1:57" x14ac:dyDescent="0.25">
      <c r="A119" s="64" t="s">
        <v>267</v>
      </c>
      <c r="B119" s="64" t="s">
        <v>322</v>
      </c>
      <c r="C119" s="65" t="s">
        <v>2096</v>
      </c>
      <c r="D119" s="66">
        <v>6.5</v>
      </c>
      <c r="E119" s="67"/>
      <c r="F119" s="68">
        <v>30</v>
      </c>
      <c r="G119" s="65"/>
      <c r="H119" s="69"/>
      <c r="I119" s="70"/>
      <c r="J119" s="70"/>
      <c r="K119" s="35" t="s">
        <v>65</v>
      </c>
      <c r="L119" s="77">
        <v>119</v>
      </c>
      <c r="M11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19" s="72"/>
      <c r="O119" s="79" t="s">
        <v>337</v>
      </c>
      <c r="P119" s="81">
        <v>44406.628391203703</v>
      </c>
      <c r="Q119" s="79" t="s">
        <v>367</v>
      </c>
      <c r="R119" s="83" t="str">
        <f>HYPERLINK("https://www.youtube.com/shorts/qku6RAs0B3k?feature=share")</f>
        <v>https://www.youtube.com/shorts/qku6RAs0B3k?feature=share</v>
      </c>
      <c r="S119" s="79" t="s">
        <v>450</v>
      </c>
      <c r="T119" s="85" t="s">
        <v>478</v>
      </c>
      <c r="U119" s="83" t="str">
        <f>HYPERLINK("https://pbs.twimg.com/media/E7T3xyJWQAYfYP3.jpg")</f>
        <v>https://pbs.twimg.com/media/E7T3xyJWQAYfYP3.jpg</v>
      </c>
      <c r="V119" s="83" t="str">
        <f>HYPERLINK("https://pbs.twimg.com/media/E7T3xyJWQAYfYP3.jpg")</f>
        <v>https://pbs.twimg.com/media/E7T3xyJWQAYfYP3.jpg</v>
      </c>
      <c r="W119" s="81">
        <v>44406.628391203703</v>
      </c>
      <c r="X119" s="87">
        <v>44406</v>
      </c>
      <c r="Y119" s="85" t="s">
        <v>574</v>
      </c>
      <c r="Z119" s="83" t="str">
        <f>HYPERLINK("https://twitter.com/ms_tabu/status/1420762259693973506")</f>
        <v>https://twitter.com/ms_tabu/status/1420762259693973506</v>
      </c>
      <c r="AA119" s="79"/>
      <c r="AB119" s="79"/>
      <c r="AC119" s="85" t="s">
        <v>753</v>
      </c>
      <c r="AD119" s="79"/>
      <c r="AE119" s="79" t="b">
        <v>0</v>
      </c>
      <c r="AF119" s="79">
        <v>0</v>
      </c>
      <c r="AG119" s="85" t="s">
        <v>867</v>
      </c>
      <c r="AH119" s="79" t="b">
        <v>0</v>
      </c>
      <c r="AI119" s="79" t="s">
        <v>874</v>
      </c>
      <c r="AJ119" s="79"/>
      <c r="AK119" s="85" t="s">
        <v>867</v>
      </c>
      <c r="AL119" s="79" t="b">
        <v>0</v>
      </c>
      <c r="AM119" s="79">
        <v>3</v>
      </c>
      <c r="AN119" s="85" t="s">
        <v>789</v>
      </c>
      <c r="AO119" s="85" t="s">
        <v>887</v>
      </c>
      <c r="AP119" s="79" t="b">
        <v>0</v>
      </c>
      <c r="AQ119" s="85" t="s">
        <v>789</v>
      </c>
      <c r="AR119" s="79" t="s">
        <v>177</v>
      </c>
      <c r="AS119" s="79">
        <v>0</v>
      </c>
      <c r="AT119" s="79">
        <v>0</v>
      </c>
      <c r="AU119" s="79"/>
      <c r="AV119" s="79"/>
      <c r="AW119" s="79"/>
      <c r="AX119" s="79"/>
      <c r="AY119" s="79"/>
      <c r="AZ119" s="79"/>
      <c r="BA119" s="79"/>
      <c r="BB119" s="79"/>
      <c r="BC119">
        <v>6</v>
      </c>
      <c r="BD119" s="78" t="str">
        <f>REPLACE(INDEX(GroupVertices[Group], MATCH(Edges[[#This Row],[Vertex 1]],GroupVertices[Vertex],0)),1,1,"")</f>
        <v>3</v>
      </c>
      <c r="BE119" s="78" t="str">
        <f>REPLACE(INDEX(GroupVertices[Group], MATCH(Edges[[#This Row],[Vertex 2]],GroupVertices[Vertex],0)),1,1,"")</f>
        <v>3</v>
      </c>
    </row>
    <row r="120" spans="1:57" x14ac:dyDescent="0.25">
      <c r="A120" s="64" t="s">
        <v>267</v>
      </c>
      <c r="B120" s="64" t="s">
        <v>322</v>
      </c>
      <c r="C120" s="65" t="s">
        <v>2096</v>
      </c>
      <c r="D120" s="66">
        <v>6.5</v>
      </c>
      <c r="E120" s="67"/>
      <c r="F120" s="68">
        <v>30</v>
      </c>
      <c r="G120" s="65"/>
      <c r="H120" s="69"/>
      <c r="I120" s="70"/>
      <c r="J120" s="70"/>
      <c r="K120" s="35" t="s">
        <v>65</v>
      </c>
      <c r="L120" s="77">
        <v>120</v>
      </c>
      <c r="M12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20" s="72"/>
      <c r="O120" s="79" t="s">
        <v>337</v>
      </c>
      <c r="P120" s="81">
        <v>44406.629178240742</v>
      </c>
      <c r="Q120" s="79" t="s">
        <v>368</v>
      </c>
      <c r="R120" s="79"/>
      <c r="S120" s="79"/>
      <c r="T120" s="85" t="s">
        <v>461</v>
      </c>
      <c r="U120" s="83" t="str">
        <f>HYPERLINK("https://pbs.twimg.com/media/E6IQoc-XIAIEHeV.jpg")</f>
        <v>https://pbs.twimg.com/media/E6IQoc-XIAIEHeV.jpg</v>
      </c>
      <c r="V120" s="83" t="str">
        <f>HYPERLINK("https://pbs.twimg.com/media/E6IQoc-XIAIEHeV.jpg")</f>
        <v>https://pbs.twimg.com/media/E6IQoc-XIAIEHeV.jpg</v>
      </c>
      <c r="W120" s="81">
        <v>44406.629178240742</v>
      </c>
      <c r="X120" s="87">
        <v>44406</v>
      </c>
      <c r="Y120" s="85" t="s">
        <v>575</v>
      </c>
      <c r="Z120" s="83" t="str">
        <f>HYPERLINK("https://twitter.com/ms_tabu/status/1420762541416869895")</f>
        <v>https://twitter.com/ms_tabu/status/1420762541416869895</v>
      </c>
      <c r="AA120" s="79"/>
      <c r="AB120" s="79"/>
      <c r="AC120" s="85" t="s">
        <v>754</v>
      </c>
      <c r="AD120" s="79"/>
      <c r="AE120" s="79" t="b">
        <v>0</v>
      </c>
      <c r="AF120" s="79">
        <v>0</v>
      </c>
      <c r="AG120" s="85" t="s">
        <v>867</v>
      </c>
      <c r="AH120" s="79" t="b">
        <v>0</v>
      </c>
      <c r="AI120" s="79" t="s">
        <v>874</v>
      </c>
      <c r="AJ120" s="79"/>
      <c r="AK120" s="85" t="s">
        <v>867</v>
      </c>
      <c r="AL120" s="79" t="b">
        <v>0</v>
      </c>
      <c r="AM120" s="79">
        <v>4</v>
      </c>
      <c r="AN120" s="85" t="s">
        <v>801</v>
      </c>
      <c r="AO120" s="85" t="s">
        <v>887</v>
      </c>
      <c r="AP120" s="79" t="b">
        <v>0</v>
      </c>
      <c r="AQ120" s="85" t="s">
        <v>801</v>
      </c>
      <c r="AR120" s="79" t="s">
        <v>177</v>
      </c>
      <c r="AS120" s="79">
        <v>0</v>
      </c>
      <c r="AT120" s="79">
        <v>0</v>
      </c>
      <c r="AU120" s="79"/>
      <c r="AV120" s="79"/>
      <c r="AW120" s="79"/>
      <c r="AX120" s="79"/>
      <c r="AY120" s="79"/>
      <c r="AZ120" s="79"/>
      <c r="BA120" s="79"/>
      <c r="BB120" s="79"/>
      <c r="BC120">
        <v>6</v>
      </c>
      <c r="BD120" s="78" t="str">
        <f>REPLACE(INDEX(GroupVertices[Group], MATCH(Edges[[#This Row],[Vertex 1]],GroupVertices[Vertex],0)),1,1,"")</f>
        <v>3</v>
      </c>
      <c r="BE120" s="78" t="str">
        <f>REPLACE(INDEX(GroupVertices[Group], MATCH(Edges[[#This Row],[Vertex 2]],GroupVertices[Vertex],0)),1,1,"")</f>
        <v>3</v>
      </c>
    </row>
    <row r="121" spans="1:57" x14ac:dyDescent="0.25">
      <c r="A121" s="64" t="s">
        <v>267</v>
      </c>
      <c r="B121" s="64" t="s">
        <v>322</v>
      </c>
      <c r="C121" s="65" t="s">
        <v>2096</v>
      </c>
      <c r="D121" s="66">
        <v>6.5</v>
      </c>
      <c r="E121" s="67"/>
      <c r="F121" s="68">
        <v>30</v>
      </c>
      <c r="G121" s="65"/>
      <c r="H121" s="69"/>
      <c r="I121" s="70"/>
      <c r="J121" s="70"/>
      <c r="K121" s="35" t="s">
        <v>65</v>
      </c>
      <c r="L121" s="77">
        <v>121</v>
      </c>
      <c r="M12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21" s="72"/>
      <c r="O121" s="79" t="s">
        <v>337</v>
      </c>
      <c r="P121" s="81">
        <v>44406.629236111112</v>
      </c>
      <c r="Q121" s="79" t="s">
        <v>369</v>
      </c>
      <c r="R121" s="79"/>
      <c r="S121" s="79"/>
      <c r="T121" s="85" t="s">
        <v>461</v>
      </c>
      <c r="U121" s="83" t="str">
        <f>HYPERLINK("https://pbs.twimg.com/media/E6IPmASXMAAHX-l.jpg")</f>
        <v>https://pbs.twimg.com/media/E6IPmASXMAAHX-l.jpg</v>
      </c>
      <c r="V121" s="83" t="str">
        <f>HYPERLINK("https://pbs.twimg.com/media/E6IPmASXMAAHX-l.jpg")</f>
        <v>https://pbs.twimg.com/media/E6IPmASXMAAHX-l.jpg</v>
      </c>
      <c r="W121" s="81">
        <v>44406.629236111112</v>
      </c>
      <c r="X121" s="87">
        <v>44406</v>
      </c>
      <c r="Y121" s="85" t="s">
        <v>576</v>
      </c>
      <c r="Z121" s="83" t="str">
        <f>HYPERLINK("https://twitter.com/ms_tabu/status/1420762565572022277")</f>
        <v>https://twitter.com/ms_tabu/status/1420762565572022277</v>
      </c>
      <c r="AA121" s="79"/>
      <c r="AB121" s="79"/>
      <c r="AC121" s="85" t="s">
        <v>755</v>
      </c>
      <c r="AD121" s="79"/>
      <c r="AE121" s="79" t="b">
        <v>0</v>
      </c>
      <c r="AF121" s="79">
        <v>0</v>
      </c>
      <c r="AG121" s="85" t="s">
        <v>867</v>
      </c>
      <c r="AH121" s="79" t="b">
        <v>0</v>
      </c>
      <c r="AI121" s="79" t="s">
        <v>874</v>
      </c>
      <c r="AJ121" s="79"/>
      <c r="AK121" s="85" t="s">
        <v>867</v>
      </c>
      <c r="AL121" s="79" t="b">
        <v>0</v>
      </c>
      <c r="AM121" s="79">
        <v>4</v>
      </c>
      <c r="AN121" s="85" t="s">
        <v>802</v>
      </c>
      <c r="AO121" s="85" t="s">
        <v>887</v>
      </c>
      <c r="AP121" s="79" t="b">
        <v>0</v>
      </c>
      <c r="AQ121" s="85" t="s">
        <v>802</v>
      </c>
      <c r="AR121" s="79" t="s">
        <v>177</v>
      </c>
      <c r="AS121" s="79">
        <v>0</v>
      </c>
      <c r="AT121" s="79">
        <v>0</v>
      </c>
      <c r="AU121" s="79"/>
      <c r="AV121" s="79"/>
      <c r="AW121" s="79"/>
      <c r="AX121" s="79"/>
      <c r="AY121" s="79"/>
      <c r="AZ121" s="79"/>
      <c r="BA121" s="79"/>
      <c r="BB121" s="79"/>
      <c r="BC121">
        <v>6</v>
      </c>
      <c r="BD121" s="78" t="str">
        <f>REPLACE(INDEX(GroupVertices[Group], MATCH(Edges[[#This Row],[Vertex 1]],GroupVertices[Vertex],0)),1,1,"")</f>
        <v>3</v>
      </c>
      <c r="BE121" s="78" t="str">
        <f>REPLACE(INDEX(GroupVertices[Group], MATCH(Edges[[#This Row],[Vertex 2]],GroupVertices[Vertex],0)),1,1,"")</f>
        <v>3</v>
      </c>
    </row>
    <row r="122" spans="1:57" x14ac:dyDescent="0.25">
      <c r="A122" s="64" t="s">
        <v>267</v>
      </c>
      <c r="B122" s="64" t="s">
        <v>322</v>
      </c>
      <c r="C122" s="65" t="s">
        <v>2096</v>
      </c>
      <c r="D122" s="66">
        <v>6.5</v>
      </c>
      <c r="E122" s="67"/>
      <c r="F122" s="68">
        <v>30</v>
      </c>
      <c r="G122" s="65"/>
      <c r="H122" s="69"/>
      <c r="I122" s="70"/>
      <c r="J122" s="70"/>
      <c r="K122" s="35" t="s">
        <v>65</v>
      </c>
      <c r="L122" s="77">
        <v>122</v>
      </c>
      <c r="M12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22" s="72"/>
      <c r="O122" s="79" t="s">
        <v>337</v>
      </c>
      <c r="P122" s="81">
        <v>44406.629282407404</v>
      </c>
      <c r="Q122" s="79" t="s">
        <v>370</v>
      </c>
      <c r="R122" s="79"/>
      <c r="S122" s="79"/>
      <c r="T122" s="85" t="s">
        <v>461</v>
      </c>
      <c r="U122" s="83" t="str">
        <f>HYPERLINK("https://pbs.twimg.com/media/E6IOXacX0AIO80c.jpg")</f>
        <v>https://pbs.twimg.com/media/E6IOXacX0AIO80c.jpg</v>
      </c>
      <c r="V122" s="83" t="str">
        <f>HYPERLINK("https://pbs.twimg.com/media/E6IOXacX0AIO80c.jpg")</f>
        <v>https://pbs.twimg.com/media/E6IOXacX0AIO80c.jpg</v>
      </c>
      <c r="W122" s="81">
        <v>44406.629282407404</v>
      </c>
      <c r="X122" s="87">
        <v>44406</v>
      </c>
      <c r="Y122" s="85" t="s">
        <v>577</v>
      </c>
      <c r="Z122" s="83" t="str">
        <f>HYPERLINK("https://twitter.com/ms_tabu/status/1420762579748724739")</f>
        <v>https://twitter.com/ms_tabu/status/1420762579748724739</v>
      </c>
      <c r="AA122" s="79"/>
      <c r="AB122" s="79"/>
      <c r="AC122" s="85" t="s">
        <v>756</v>
      </c>
      <c r="AD122" s="79"/>
      <c r="AE122" s="79" t="b">
        <v>0</v>
      </c>
      <c r="AF122" s="79">
        <v>0</v>
      </c>
      <c r="AG122" s="85" t="s">
        <v>867</v>
      </c>
      <c r="AH122" s="79" t="b">
        <v>0</v>
      </c>
      <c r="AI122" s="79" t="s">
        <v>874</v>
      </c>
      <c r="AJ122" s="79"/>
      <c r="AK122" s="85" t="s">
        <v>867</v>
      </c>
      <c r="AL122" s="79" t="b">
        <v>0</v>
      </c>
      <c r="AM122" s="79">
        <v>3</v>
      </c>
      <c r="AN122" s="85" t="s">
        <v>803</v>
      </c>
      <c r="AO122" s="85" t="s">
        <v>887</v>
      </c>
      <c r="AP122" s="79" t="b">
        <v>0</v>
      </c>
      <c r="AQ122" s="85" t="s">
        <v>803</v>
      </c>
      <c r="AR122" s="79" t="s">
        <v>177</v>
      </c>
      <c r="AS122" s="79">
        <v>0</v>
      </c>
      <c r="AT122" s="79">
        <v>0</v>
      </c>
      <c r="AU122" s="79"/>
      <c r="AV122" s="79"/>
      <c r="AW122" s="79"/>
      <c r="AX122" s="79"/>
      <c r="AY122" s="79"/>
      <c r="AZ122" s="79"/>
      <c r="BA122" s="79"/>
      <c r="BB122" s="79"/>
      <c r="BC122">
        <v>6</v>
      </c>
      <c r="BD122" s="78" t="str">
        <f>REPLACE(INDEX(GroupVertices[Group], MATCH(Edges[[#This Row],[Vertex 1]],GroupVertices[Vertex],0)),1,1,"")</f>
        <v>3</v>
      </c>
      <c r="BE122" s="78" t="str">
        <f>REPLACE(INDEX(GroupVertices[Group], MATCH(Edges[[#This Row],[Vertex 2]],GroupVertices[Vertex],0)),1,1,"")</f>
        <v>3</v>
      </c>
    </row>
    <row r="123" spans="1:57" x14ac:dyDescent="0.25">
      <c r="A123" s="64" t="s">
        <v>267</v>
      </c>
      <c r="B123" s="64" t="s">
        <v>322</v>
      </c>
      <c r="C123" s="65" t="s">
        <v>2096</v>
      </c>
      <c r="D123" s="66">
        <v>6.5</v>
      </c>
      <c r="E123" s="67"/>
      <c r="F123" s="68">
        <v>30</v>
      </c>
      <c r="G123" s="65"/>
      <c r="H123" s="69"/>
      <c r="I123" s="70"/>
      <c r="J123" s="70"/>
      <c r="K123" s="35" t="s">
        <v>65</v>
      </c>
      <c r="L123" s="77">
        <v>123</v>
      </c>
      <c r="M12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23" s="72"/>
      <c r="O123" s="79" t="s">
        <v>337</v>
      </c>
      <c r="P123" s="81">
        <v>44406.638159722221</v>
      </c>
      <c r="Q123" s="79" t="s">
        <v>366</v>
      </c>
      <c r="R123" s="79"/>
      <c r="S123" s="79"/>
      <c r="T123" s="85" t="s">
        <v>461</v>
      </c>
      <c r="U123" s="83" t="str">
        <f>HYPERLINK("https://pbs.twimg.com/media/E7eO9zIVUAEjK-g.jpg")</f>
        <v>https://pbs.twimg.com/media/E7eO9zIVUAEjK-g.jpg</v>
      </c>
      <c r="V123" s="83" t="str">
        <f>HYPERLINK("https://pbs.twimg.com/media/E7eO9zIVUAEjK-g.jpg")</f>
        <v>https://pbs.twimg.com/media/E7eO9zIVUAEjK-g.jpg</v>
      </c>
      <c r="W123" s="81">
        <v>44406.638159722221</v>
      </c>
      <c r="X123" s="87">
        <v>44406</v>
      </c>
      <c r="Y123" s="85" t="s">
        <v>578</v>
      </c>
      <c r="Z123" s="83" t="str">
        <f>HYPERLINK("https://twitter.com/ms_tabu/status/1420765797316714501")</f>
        <v>https://twitter.com/ms_tabu/status/1420765797316714501</v>
      </c>
      <c r="AA123" s="79"/>
      <c r="AB123" s="79"/>
      <c r="AC123" s="85" t="s">
        <v>757</v>
      </c>
      <c r="AD123" s="79"/>
      <c r="AE123" s="79" t="b">
        <v>0</v>
      </c>
      <c r="AF123" s="79">
        <v>0</v>
      </c>
      <c r="AG123" s="85" t="s">
        <v>867</v>
      </c>
      <c r="AH123" s="79" t="b">
        <v>0</v>
      </c>
      <c r="AI123" s="79" t="s">
        <v>874</v>
      </c>
      <c r="AJ123" s="79"/>
      <c r="AK123" s="85" t="s">
        <v>867</v>
      </c>
      <c r="AL123" s="79" t="b">
        <v>0</v>
      </c>
      <c r="AM123" s="79">
        <v>4</v>
      </c>
      <c r="AN123" s="85" t="s">
        <v>799</v>
      </c>
      <c r="AO123" s="85" t="s">
        <v>887</v>
      </c>
      <c r="AP123" s="79" t="b">
        <v>0</v>
      </c>
      <c r="AQ123" s="85" t="s">
        <v>799</v>
      </c>
      <c r="AR123" s="79" t="s">
        <v>177</v>
      </c>
      <c r="AS123" s="79">
        <v>0</v>
      </c>
      <c r="AT123" s="79">
        <v>0</v>
      </c>
      <c r="AU123" s="79"/>
      <c r="AV123" s="79"/>
      <c r="AW123" s="79"/>
      <c r="AX123" s="79"/>
      <c r="AY123" s="79"/>
      <c r="AZ123" s="79"/>
      <c r="BA123" s="79"/>
      <c r="BB123" s="79"/>
      <c r="BC123">
        <v>6</v>
      </c>
      <c r="BD123" s="78" t="str">
        <f>REPLACE(INDEX(GroupVertices[Group], MATCH(Edges[[#This Row],[Vertex 1]],GroupVertices[Vertex],0)),1,1,"")</f>
        <v>3</v>
      </c>
      <c r="BE123" s="78" t="str">
        <f>REPLACE(INDEX(GroupVertices[Group], MATCH(Edges[[#This Row],[Vertex 2]],GroupVertices[Vertex],0)),1,1,"")</f>
        <v>3</v>
      </c>
    </row>
    <row r="124" spans="1:57" x14ac:dyDescent="0.25">
      <c r="A124" s="64" t="s">
        <v>292</v>
      </c>
      <c r="B124" s="64" t="s">
        <v>292</v>
      </c>
      <c r="C124" s="65" t="s">
        <v>2097</v>
      </c>
      <c r="D124" s="66">
        <v>5.8</v>
      </c>
      <c r="E124" s="67"/>
      <c r="F124" s="68">
        <v>32</v>
      </c>
      <c r="G124" s="65"/>
      <c r="H124" s="69"/>
      <c r="I124" s="70"/>
      <c r="J124" s="70"/>
      <c r="K124" s="35" t="s">
        <v>65</v>
      </c>
      <c r="L124" s="77">
        <v>124</v>
      </c>
      <c r="M12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24" s="72"/>
      <c r="O124" s="79" t="s">
        <v>177</v>
      </c>
      <c r="P124" s="81">
        <v>44403.717939814815</v>
      </c>
      <c r="Q124" s="79" t="s">
        <v>395</v>
      </c>
      <c r="R124" s="79"/>
      <c r="S124" s="79"/>
      <c r="T124" s="85" t="s">
        <v>488</v>
      </c>
      <c r="U124" s="79"/>
      <c r="V124" s="83" t="str">
        <f>HYPERLINK("https://pbs.twimg.com/profile_images/1330520744946757634/GSNsPOCG_normal.jpg")</f>
        <v>https://pbs.twimg.com/profile_images/1330520744946757634/GSNsPOCG_normal.jpg</v>
      </c>
      <c r="W124" s="81">
        <v>44403.717939814815</v>
      </c>
      <c r="X124" s="87">
        <v>44403</v>
      </c>
      <c r="Y124" s="85" t="s">
        <v>628</v>
      </c>
      <c r="Z124" s="83" t="str">
        <f>HYPERLINK("https://twitter.com/tsumcnair/status/1419707545938190341")</f>
        <v>https://twitter.com/tsumcnair/status/1419707545938190341</v>
      </c>
      <c r="AA124" s="79"/>
      <c r="AB124" s="79"/>
      <c r="AC124" s="85" t="s">
        <v>808</v>
      </c>
      <c r="AD124" s="85" t="s">
        <v>866</v>
      </c>
      <c r="AE124" s="79" t="b">
        <v>0</v>
      </c>
      <c r="AF124" s="79">
        <v>0</v>
      </c>
      <c r="AG124" s="85" t="s">
        <v>873</v>
      </c>
      <c r="AH124" s="79" t="b">
        <v>0</v>
      </c>
      <c r="AI124" s="79" t="s">
        <v>874</v>
      </c>
      <c r="AJ124" s="79"/>
      <c r="AK124" s="85" t="s">
        <v>867</v>
      </c>
      <c r="AL124" s="79" t="b">
        <v>0</v>
      </c>
      <c r="AM124" s="79">
        <v>0</v>
      </c>
      <c r="AN124" s="85" t="s">
        <v>867</v>
      </c>
      <c r="AO124" s="85" t="s">
        <v>882</v>
      </c>
      <c r="AP124" s="79" t="b">
        <v>0</v>
      </c>
      <c r="AQ124" s="85" t="s">
        <v>866</v>
      </c>
      <c r="AR124" s="79" t="s">
        <v>177</v>
      </c>
      <c r="AS124" s="79">
        <v>0</v>
      </c>
      <c r="AT124" s="79">
        <v>0</v>
      </c>
      <c r="AU124" s="79"/>
      <c r="AV124" s="79"/>
      <c r="AW124" s="79"/>
      <c r="AX124" s="79"/>
      <c r="AY124" s="79"/>
      <c r="AZ124" s="79"/>
      <c r="BA124" s="79"/>
      <c r="BB124" s="79"/>
      <c r="BC124">
        <v>5</v>
      </c>
      <c r="BD124" s="78" t="str">
        <f>REPLACE(INDEX(GroupVertices[Group], MATCH(Edges[[#This Row],[Vertex 1]],GroupVertices[Vertex],0)),1,1,"")</f>
        <v>5</v>
      </c>
      <c r="BE124" s="78" t="str">
        <f>REPLACE(INDEX(GroupVertices[Group], MATCH(Edges[[#This Row],[Vertex 2]],GroupVertices[Vertex],0)),1,1,"")</f>
        <v>5</v>
      </c>
    </row>
    <row r="125" spans="1:57" x14ac:dyDescent="0.25">
      <c r="A125" s="64" t="s">
        <v>292</v>
      </c>
      <c r="B125" s="64" t="s">
        <v>292</v>
      </c>
      <c r="C125" s="65" t="s">
        <v>2097</v>
      </c>
      <c r="D125" s="66">
        <v>5.8</v>
      </c>
      <c r="E125" s="67"/>
      <c r="F125" s="68">
        <v>32</v>
      </c>
      <c r="G125" s="65"/>
      <c r="H125" s="69"/>
      <c r="I125" s="70"/>
      <c r="J125" s="70"/>
      <c r="K125" s="35" t="s">
        <v>65</v>
      </c>
      <c r="L125" s="77">
        <v>125</v>
      </c>
      <c r="M12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25" s="72"/>
      <c r="O125" s="79" t="s">
        <v>177</v>
      </c>
      <c r="P125" s="81">
        <v>44404.776030092595</v>
      </c>
      <c r="Q125" s="79" t="s">
        <v>396</v>
      </c>
      <c r="R125" s="79"/>
      <c r="S125" s="79"/>
      <c r="T125" s="85" t="s">
        <v>489</v>
      </c>
      <c r="U125" s="83" t="str">
        <f>HYPERLINK("https://pbs.twimg.com/media/E7UtFX0WQAshlmE.jpg")</f>
        <v>https://pbs.twimg.com/media/E7UtFX0WQAshlmE.jpg</v>
      </c>
      <c r="V125" s="83" t="str">
        <f>HYPERLINK("https://pbs.twimg.com/media/E7UtFX0WQAshlmE.jpg")</f>
        <v>https://pbs.twimg.com/media/E7UtFX0WQAshlmE.jpg</v>
      </c>
      <c r="W125" s="81">
        <v>44404.776030092595</v>
      </c>
      <c r="X125" s="87">
        <v>44404</v>
      </c>
      <c r="Y125" s="85" t="s">
        <v>629</v>
      </c>
      <c r="Z125" s="83" t="str">
        <f>HYPERLINK("https://twitter.com/tsumcnair/status/1420090986517180423")</f>
        <v>https://twitter.com/tsumcnair/status/1420090986517180423</v>
      </c>
      <c r="AA125" s="79"/>
      <c r="AB125" s="79"/>
      <c r="AC125" s="85" t="s">
        <v>809</v>
      </c>
      <c r="AD125" s="79"/>
      <c r="AE125" s="79" t="b">
        <v>0</v>
      </c>
      <c r="AF125" s="79">
        <v>1</v>
      </c>
      <c r="AG125" s="85" t="s">
        <v>867</v>
      </c>
      <c r="AH125" s="79" t="b">
        <v>0</v>
      </c>
      <c r="AI125" s="79" t="s">
        <v>874</v>
      </c>
      <c r="AJ125" s="79"/>
      <c r="AK125" s="85" t="s">
        <v>867</v>
      </c>
      <c r="AL125" s="79" t="b">
        <v>0</v>
      </c>
      <c r="AM125" s="79">
        <v>0</v>
      </c>
      <c r="AN125" s="85" t="s">
        <v>867</v>
      </c>
      <c r="AO125" s="85" t="s">
        <v>882</v>
      </c>
      <c r="AP125" s="79" t="b">
        <v>0</v>
      </c>
      <c r="AQ125" s="85" t="s">
        <v>809</v>
      </c>
      <c r="AR125" s="79" t="s">
        <v>177</v>
      </c>
      <c r="AS125" s="79">
        <v>0</v>
      </c>
      <c r="AT125" s="79">
        <v>0</v>
      </c>
      <c r="AU125" s="79"/>
      <c r="AV125" s="79"/>
      <c r="AW125" s="79"/>
      <c r="AX125" s="79"/>
      <c r="AY125" s="79"/>
      <c r="AZ125" s="79"/>
      <c r="BA125" s="79"/>
      <c r="BB125" s="79"/>
      <c r="BC125">
        <v>5</v>
      </c>
      <c r="BD125" s="78" t="str">
        <f>REPLACE(INDEX(GroupVertices[Group], MATCH(Edges[[#This Row],[Vertex 1]],GroupVertices[Vertex],0)),1,1,"")</f>
        <v>5</v>
      </c>
      <c r="BE125" s="78" t="str">
        <f>REPLACE(INDEX(GroupVertices[Group], MATCH(Edges[[#This Row],[Vertex 2]],GroupVertices[Vertex],0)),1,1,"")</f>
        <v>5</v>
      </c>
    </row>
    <row r="126" spans="1:57" x14ac:dyDescent="0.25">
      <c r="A126" s="64" t="s">
        <v>292</v>
      </c>
      <c r="B126" s="64" t="s">
        <v>292</v>
      </c>
      <c r="C126" s="65" t="s">
        <v>2097</v>
      </c>
      <c r="D126" s="66">
        <v>5.8</v>
      </c>
      <c r="E126" s="67"/>
      <c r="F126" s="68">
        <v>32</v>
      </c>
      <c r="G126" s="65"/>
      <c r="H126" s="69"/>
      <c r="I126" s="70"/>
      <c r="J126" s="70"/>
      <c r="K126" s="35" t="s">
        <v>65</v>
      </c>
      <c r="L126" s="77">
        <v>126</v>
      </c>
      <c r="M12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26" s="72"/>
      <c r="O126" s="79" t="s">
        <v>177</v>
      </c>
      <c r="P126" s="81">
        <v>44405.792361111111</v>
      </c>
      <c r="Q126" s="79" t="s">
        <v>397</v>
      </c>
      <c r="R126" s="79"/>
      <c r="S126" s="79"/>
      <c r="T126" s="85" t="s">
        <v>488</v>
      </c>
      <c r="U126" s="83" t="str">
        <f>HYPERLINK("https://pbs.twimg.com/media/E7Z8MeKVoAUkXVj.jpg")</f>
        <v>https://pbs.twimg.com/media/E7Z8MeKVoAUkXVj.jpg</v>
      </c>
      <c r="V126" s="83" t="str">
        <f>HYPERLINK("https://pbs.twimg.com/media/E7Z8MeKVoAUkXVj.jpg")</f>
        <v>https://pbs.twimg.com/media/E7Z8MeKVoAUkXVj.jpg</v>
      </c>
      <c r="W126" s="81">
        <v>44405.792361111111</v>
      </c>
      <c r="X126" s="87">
        <v>44405</v>
      </c>
      <c r="Y126" s="85" t="s">
        <v>630</v>
      </c>
      <c r="Z126" s="83" t="str">
        <f>HYPERLINK("https://twitter.com/tsumcnair/status/1420459292780494849")</f>
        <v>https://twitter.com/tsumcnair/status/1420459292780494849</v>
      </c>
      <c r="AA126" s="79"/>
      <c r="AB126" s="79"/>
      <c r="AC126" s="85" t="s">
        <v>810</v>
      </c>
      <c r="AD126" s="79"/>
      <c r="AE126" s="79" t="b">
        <v>0</v>
      </c>
      <c r="AF126" s="79">
        <v>3</v>
      </c>
      <c r="AG126" s="85" t="s">
        <v>867</v>
      </c>
      <c r="AH126" s="79" t="b">
        <v>0</v>
      </c>
      <c r="AI126" s="79" t="s">
        <v>874</v>
      </c>
      <c r="AJ126" s="79"/>
      <c r="AK126" s="85" t="s">
        <v>867</v>
      </c>
      <c r="AL126" s="79" t="b">
        <v>0</v>
      </c>
      <c r="AM126" s="79">
        <v>0</v>
      </c>
      <c r="AN126" s="85" t="s">
        <v>867</v>
      </c>
      <c r="AO126" s="85" t="s">
        <v>882</v>
      </c>
      <c r="AP126" s="79" t="b">
        <v>0</v>
      </c>
      <c r="AQ126" s="85" t="s">
        <v>810</v>
      </c>
      <c r="AR126" s="79" t="s">
        <v>177</v>
      </c>
      <c r="AS126" s="79">
        <v>0</v>
      </c>
      <c r="AT126" s="79">
        <v>0</v>
      </c>
      <c r="AU126" s="79"/>
      <c r="AV126" s="79"/>
      <c r="AW126" s="79"/>
      <c r="AX126" s="79"/>
      <c r="AY126" s="79"/>
      <c r="AZ126" s="79"/>
      <c r="BA126" s="79"/>
      <c r="BB126" s="79"/>
      <c r="BC126">
        <v>5</v>
      </c>
      <c r="BD126" s="78" t="str">
        <f>REPLACE(INDEX(GroupVertices[Group], MATCH(Edges[[#This Row],[Vertex 1]],GroupVertices[Vertex],0)),1,1,"")</f>
        <v>5</v>
      </c>
      <c r="BE126" s="78" t="str">
        <f>REPLACE(INDEX(GroupVertices[Group], MATCH(Edges[[#This Row],[Vertex 2]],GroupVertices[Vertex],0)),1,1,"")</f>
        <v>5</v>
      </c>
    </row>
    <row r="127" spans="1:57" x14ac:dyDescent="0.25">
      <c r="A127" s="64" t="s">
        <v>292</v>
      </c>
      <c r="B127" s="64" t="s">
        <v>292</v>
      </c>
      <c r="C127" s="65" t="s">
        <v>2097</v>
      </c>
      <c r="D127" s="66">
        <v>5.8</v>
      </c>
      <c r="E127" s="67"/>
      <c r="F127" s="68">
        <v>32</v>
      </c>
      <c r="G127" s="65"/>
      <c r="H127" s="69"/>
      <c r="I127" s="70"/>
      <c r="J127" s="70"/>
      <c r="K127" s="35" t="s">
        <v>65</v>
      </c>
      <c r="L127" s="77">
        <v>127</v>
      </c>
      <c r="M12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27" s="72"/>
      <c r="O127" s="79" t="s">
        <v>177</v>
      </c>
      <c r="P127" s="81">
        <v>44406.94771990741</v>
      </c>
      <c r="Q127" s="79" t="s">
        <v>398</v>
      </c>
      <c r="R127" s="79"/>
      <c r="S127" s="79"/>
      <c r="T127" s="85" t="s">
        <v>490</v>
      </c>
      <c r="U127" s="83" t="str">
        <f>HYPERLINK("https://pbs.twimg.com/media/E7f46aUUcAMEQhY.jpg")</f>
        <v>https://pbs.twimg.com/media/E7f46aUUcAMEQhY.jpg</v>
      </c>
      <c r="V127" s="83" t="str">
        <f>HYPERLINK("https://pbs.twimg.com/media/E7f46aUUcAMEQhY.jpg")</f>
        <v>https://pbs.twimg.com/media/E7f46aUUcAMEQhY.jpg</v>
      </c>
      <c r="W127" s="81">
        <v>44406.94771990741</v>
      </c>
      <c r="X127" s="87">
        <v>44406</v>
      </c>
      <c r="Y127" s="85" t="s">
        <v>631</v>
      </c>
      <c r="Z127" s="83" t="str">
        <f>HYPERLINK("https://twitter.com/tsumcnair/status/1420877978662096896")</f>
        <v>https://twitter.com/tsumcnair/status/1420877978662096896</v>
      </c>
      <c r="AA127" s="79"/>
      <c r="AB127" s="79"/>
      <c r="AC127" s="85" t="s">
        <v>811</v>
      </c>
      <c r="AD127" s="79"/>
      <c r="AE127" s="79" t="b">
        <v>0</v>
      </c>
      <c r="AF127" s="79">
        <v>3</v>
      </c>
      <c r="AG127" s="85" t="s">
        <v>867</v>
      </c>
      <c r="AH127" s="79" t="b">
        <v>0</v>
      </c>
      <c r="AI127" s="79" t="s">
        <v>874</v>
      </c>
      <c r="AJ127" s="79"/>
      <c r="AK127" s="85" t="s">
        <v>867</v>
      </c>
      <c r="AL127" s="79" t="b">
        <v>0</v>
      </c>
      <c r="AM127" s="79">
        <v>0</v>
      </c>
      <c r="AN127" s="85" t="s">
        <v>867</v>
      </c>
      <c r="AO127" s="85" t="s">
        <v>882</v>
      </c>
      <c r="AP127" s="79" t="b">
        <v>0</v>
      </c>
      <c r="AQ127" s="85" t="s">
        <v>811</v>
      </c>
      <c r="AR127" s="79" t="s">
        <v>177</v>
      </c>
      <c r="AS127" s="79">
        <v>0</v>
      </c>
      <c r="AT127" s="79">
        <v>0</v>
      </c>
      <c r="AU127" s="79"/>
      <c r="AV127" s="79"/>
      <c r="AW127" s="79"/>
      <c r="AX127" s="79"/>
      <c r="AY127" s="79"/>
      <c r="AZ127" s="79"/>
      <c r="BA127" s="79"/>
      <c r="BB127" s="79"/>
      <c r="BC127">
        <v>5</v>
      </c>
      <c r="BD127" s="78" t="str">
        <f>REPLACE(INDEX(GroupVertices[Group], MATCH(Edges[[#This Row],[Vertex 1]],GroupVertices[Vertex],0)),1,1,"")</f>
        <v>5</v>
      </c>
      <c r="BE127" s="78" t="str">
        <f>REPLACE(INDEX(GroupVertices[Group], MATCH(Edges[[#This Row],[Vertex 2]],GroupVertices[Vertex],0)),1,1,"")</f>
        <v>5</v>
      </c>
    </row>
    <row r="128" spans="1:57" x14ac:dyDescent="0.25">
      <c r="A128" s="64" t="s">
        <v>292</v>
      </c>
      <c r="B128" s="64" t="s">
        <v>292</v>
      </c>
      <c r="C128" s="65" t="s">
        <v>2097</v>
      </c>
      <c r="D128" s="66">
        <v>5.8</v>
      </c>
      <c r="E128" s="67"/>
      <c r="F128" s="68">
        <v>32</v>
      </c>
      <c r="G128" s="65"/>
      <c r="H128" s="69"/>
      <c r="I128" s="70"/>
      <c r="J128" s="70"/>
      <c r="K128" s="35" t="s">
        <v>65</v>
      </c>
      <c r="L128" s="77">
        <v>128</v>
      </c>
      <c r="M12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28" s="72"/>
      <c r="O128" s="79" t="s">
        <v>177</v>
      </c>
      <c r="P128" s="81">
        <v>44407.815138888887</v>
      </c>
      <c r="Q128" s="79" t="s">
        <v>399</v>
      </c>
      <c r="R128" s="79"/>
      <c r="S128" s="79"/>
      <c r="T128" s="85" t="s">
        <v>488</v>
      </c>
      <c r="U128" s="83" t="str">
        <f>HYPERLINK("https://pbs.twimg.com/media/E7kWvKLWQAQG51H.jpg")</f>
        <v>https://pbs.twimg.com/media/E7kWvKLWQAQG51H.jpg</v>
      </c>
      <c r="V128" s="83" t="str">
        <f>HYPERLINK("https://pbs.twimg.com/media/E7kWvKLWQAQG51H.jpg")</f>
        <v>https://pbs.twimg.com/media/E7kWvKLWQAQG51H.jpg</v>
      </c>
      <c r="W128" s="81">
        <v>44407.815138888887</v>
      </c>
      <c r="X128" s="87">
        <v>44407</v>
      </c>
      <c r="Y128" s="85" t="s">
        <v>632</v>
      </c>
      <c r="Z128" s="83" t="str">
        <f>HYPERLINK("https://twitter.com/tsumcnair/status/1421192321136271360")</f>
        <v>https://twitter.com/tsumcnair/status/1421192321136271360</v>
      </c>
      <c r="AA128" s="79"/>
      <c r="AB128" s="79"/>
      <c r="AC128" s="85" t="s">
        <v>812</v>
      </c>
      <c r="AD128" s="79"/>
      <c r="AE128" s="79" t="b">
        <v>0</v>
      </c>
      <c r="AF128" s="79">
        <v>2</v>
      </c>
      <c r="AG128" s="85" t="s">
        <v>867</v>
      </c>
      <c r="AH128" s="79" t="b">
        <v>0</v>
      </c>
      <c r="AI128" s="79" t="s">
        <v>874</v>
      </c>
      <c r="AJ128" s="79"/>
      <c r="AK128" s="85" t="s">
        <v>867</v>
      </c>
      <c r="AL128" s="79" t="b">
        <v>0</v>
      </c>
      <c r="AM128" s="79">
        <v>0</v>
      </c>
      <c r="AN128" s="85" t="s">
        <v>867</v>
      </c>
      <c r="AO128" s="85" t="s">
        <v>882</v>
      </c>
      <c r="AP128" s="79" t="b">
        <v>0</v>
      </c>
      <c r="AQ128" s="85" t="s">
        <v>812</v>
      </c>
      <c r="AR128" s="79" t="s">
        <v>177</v>
      </c>
      <c r="AS128" s="79">
        <v>0</v>
      </c>
      <c r="AT128" s="79">
        <v>0</v>
      </c>
      <c r="AU128" s="79"/>
      <c r="AV128" s="79"/>
      <c r="AW128" s="79"/>
      <c r="AX128" s="79"/>
      <c r="AY128" s="79"/>
      <c r="AZ128" s="79"/>
      <c r="BA128" s="79"/>
      <c r="BB128" s="79"/>
      <c r="BC128">
        <v>5</v>
      </c>
      <c r="BD128" s="78" t="str">
        <f>REPLACE(INDEX(GroupVertices[Group], MATCH(Edges[[#This Row],[Vertex 1]],GroupVertices[Vertex],0)),1,1,"")</f>
        <v>5</v>
      </c>
      <c r="BE128" s="78" t="str">
        <f>REPLACE(INDEX(GroupVertices[Group], MATCH(Edges[[#This Row],[Vertex 2]],GroupVertices[Vertex],0)),1,1,"")</f>
        <v>5</v>
      </c>
    </row>
    <row r="129" spans="1:57" x14ac:dyDescent="0.25">
      <c r="A129" s="64" t="s">
        <v>265</v>
      </c>
      <c r="B129" s="64" t="s">
        <v>322</v>
      </c>
      <c r="C129" s="65" t="s">
        <v>2097</v>
      </c>
      <c r="D129" s="66">
        <v>5.8</v>
      </c>
      <c r="E129" s="67"/>
      <c r="F129" s="68">
        <v>32</v>
      </c>
      <c r="G129" s="65"/>
      <c r="H129" s="69"/>
      <c r="I129" s="70"/>
      <c r="J129" s="70"/>
      <c r="K129" s="35" t="s">
        <v>65</v>
      </c>
      <c r="L129" s="77">
        <v>129</v>
      </c>
      <c r="M12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29" s="72"/>
      <c r="O129" s="79" t="s">
        <v>337</v>
      </c>
      <c r="P129" s="81">
        <v>44406.629803240743</v>
      </c>
      <c r="Q129" s="79" t="s">
        <v>366</v>
      </c>
      <c r="R129" s="79"/>
      <c r="S129" s="79"/>
      <c r="T129" s="85" t="s">
        <v>461</v>
      </c>
      <c r="U129" s="83" t="str">
        <f>HYPERLINK("https://pbs.twimg.com/media/E7eO9zIVUAEjK-g.jpg")</f>
        <v>https://pbs.twimg.com/media/E7eO9zIVUAEjK-g.jpg</v>
      </c>
      <c r="V129" s="83" t="str">
        <f>HYPERLINK("https://pbs.twimg.com/media/E7eO9zIVUAEjK-g.jpg")</f>
        <v>https://pbs.twimg.com/media/E7eO9zIVUAEjK-g.jpg</v>
      </c>
      <c r="W129" s="81">
        <v>44406.629803240743</v>
      </c>
      <c r="X129" s="87">
        <v>44406</v>
      </c>
      <c r="Y129" s="85" t="s">
        <v>563</v>
      </c>
      <c r="Z129" s="83" t="str">
        <f>HYPERLINK("https://twitter.com/tabuwinslow/status/1420762771801530374")</f>
        <v>https://twitter.com/tabuwinslow/status/1420762771801530374</v>
      </c>
      <c r="AA129" s="79"/>
      <c r="AB129" s="79"/>
      <c r="AC129" s="85" t="s">
        <v>742</v>
      </c>
      <c r="AD129" s="79"/>
      <c r="AE129" s="79" t="b">
        <v>0</v>
      </c>
      <c r="AF129" s="79">
        <v>0</v>
      </c>
      <c r="AG129" s="85" t="s">
        <v>867</v>
      </c>
      <c r="AH129" s="79" t="b">
        <v>0</v>
      </c>
      <c r="AI129" s="79" t="s">
        <v>874</v>
      </c>
      <c r="AJ129" s="79"/>
      <c r="AK129" s="85" t="s">
        <v>867</v>
      </c>
      <c r="AL129" s="79" t="b">
        <v>0</v>
      </c>
      <c r="AM129" s="79">
        <v>4</v>
      </c>
      <c r="AN129" s="85" t="s">
        <v>799</v>
      </c>
      <c r="AO129" s="85" t="s">
        <v>887</v>
      </c>
      <c r="AP129" s="79" t="b">
        <v>0</v>
      </c>
      <c r="AQ129" s="85" t="s">
        <v>799</v>
      </c>
      <c r="AR129" s="79" t="s">
        <v>177</v>
      </c>
      <c r="AS129" s="79">
        <v>0</v>
      </c>
      <c r="AT129" s="79">
        <v>0</v>
      </c>
      <c r="AU129" s="79"/>
      <c r="AV129" s="79"/>
      <c r="AW129" s="79"/>
      <c r="AX129" s="79"/>
      <c r="AY129" s="79"/>
      <c r="AZ129" s="79"/>
      <c r="BA129" s="79"/>
      <c r="BB129" s="79"/>
      <c r="BC129">
        <v>5</v>
      </c>
      <c r="BD129" s="78" t="str">
        <f>REPLACE(INDEX(GroupVertices[Group], MATCH(Edges[[#This Row],[Vertex 1]],GroupVertices[Vertex],0)),1,1,"")</f>
        <v>3</v>
      </c>
      <c r="BE129" s="78" t="str">
        <f>REPLACE(INDEX(GroupVertices[Group], MATCH(Edges[[#This Row],[Vertex 2]],GroupVertices[Vertex],0)),1,1,"")</f>
        <v>3</v>
      </c>
    </row>
    <row r="130" spans="1:57" x14ac:dyDescent="0.25">
      <c r="A130" s="64" t="s">
        <v>265</v>
      </c>
      <c r="B130" s="64" t="s">
        <v>322</v>
      </c>
      <c r="C130" s="65" t="s">
        <v>2097</v>
      </c>
      <c r="D130" s="66">
        <v>5.8</v>
      </c>
      <c r="E130" s="67"/>
      <c r="F130" s="68">
        <v>32</v>
      </c>
      <c r="G130" s="65"/>
      <c r="H130" s="69"/>
      <c r="I130" s="70"/>
      <c r="J130" s="70"/>
      <c r="K130" s="35" t="s">
        <v>65</v>
      </c>
      <c r="L130" s="77">
        <v>130</v>
      </c>
      <c r="M13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30" s="72"/>
      <c r="O130" s="79" t="s">
        <v>337</v>
      </c>
      <c r="P130" s="81">
        <v>44406.629988425928</v>
      </c>
      <c r="Q130" s="79" t="s">
        <v>367</v>
      </c>
      <c r="R130" s="83" t="str">
        <f>HYPERLINK("https://www.youtube.com/shorts/qku6RAs0B3k?feature=share")</f>
        <v>https://www.youtube.com/shorts/qku6RAs0B3k?feature=share</v>
      </c>
      <c r="S130" s="79" t="s">
        <v>450</v>
      </c>
      <c r="T130" s="85" t="s">
        <v>478</v>
      </c>
      <c r="U130" s="83" t="str">
        <f>HYPERLINK("https://pbs.twimg.com/media/E7T3xyJWQAYfYP3.jpg")</f>
        <v>https://pbs.twimg.com/media/E7T3xyJWQAYfYP3.jpg</v>
      </c>
      <c r="V130" s="83" t="str">
        <f>HYPERLINK("https://pbs.twimg.com/media/E7T3xyJWQAYfYP3.jpg")</f>
        <v>https://pbs.twimg.com/media/E7T3xyJWQAYfYP3.jpg</v>
      </c>
      <c r="W130" s="81">
        <v>44406.629988425928</v>
      </c>
      <c r="X130" s="87">
        <v>44406</v>
      </c>
      <c r="Y130" s="85" t="s">
        <v>564</v>
      </c>
      <c r="Z130" s="83" t="str">
        <f>HYPERLINK("https://twitter.com/tabuwinslow/status/1420762838113587200")</f>
        <v>https://twitter.com/tabuwinslow/status/1420762838113587200</v>
      </c>
      <c r="AA130" s="79"/>
      <c r="AB130" s="79"/>
      <c r="AC130" s="85" t="s">
        <v>743</v>
      </c>
      <c r="AD130" s="79"/>
      <c r="AE130" s="79" t="b">
        <v>0</v>
      </c>
      <c r="AF130" s="79">
        <v>0</v>
      </c>
      <c r="AG130" s="85" t="s">
        <v>867</v>
      </c>
      <c r="AH130" s="79" t="b">
        <v>0</v>
      </c>
      <c r="AI130" s="79" t="s">
        <v>874</v>
      </c>
      <c r="AJ130" s="79"/>
      <c r="AK130" s="85" t="s">
        <v>867</v>
      </c>
      <c r="AL130" s="79" t="b">
        <v>0</v>
      </c>
      <c r="AM130" s="79">
        <v>3</v>
      </c>
      <c r="AN130" s="85" t="s">
        <v>789</v>
      </c>
      <c r="AO130" s="85" t="s">
        <v>887</v>
      </c>
      <c r="AP130" s="79" t="b">
        <v>0</v>
      </c>
      <c r="AQ130" s="85" t="s">
        <v>789</v>
      </c>
      <c r="AR130" s="79" t="s">
        <v>177</v>
      </c>
      <c r="AS130" s="79">
        <v>0</v>
      </c>
      <c r="AT130" s="79">
        <v>0</v>
      </c>
      <c r="AU130" s="79"/>
      <c r="AV130" s="79"/>
      <c r="AW130" s="79"/>
      <c r="AX130" s="79"/>
      <c r="AY130" s="79"/>
      <c r="AZ130" s="79"/>
      <c r="BA130" s="79"/>
      <c r="BB130" s="79"/>
      <c r="BC130">
        <v>5</v>
      </c>
      <c r="BD130" s="78" t="str">
        <f>REPLACE(INDEX(GroupVertices[Group], MATCH(Edges[[#This Row],[Vertex 1]],GroupVertices[Vertex],0)),1,1,"")</f>
        <v>3</v>
      </c>
      <c r="BE130" s="78" t="str">
        <f>REPLACE(INDEX(GroupVertices[Group], MATCH(Edges[[#This Row],[Vertex 2]],GroupVertices[Vertex],0)),1,1,"")</f>
        <v>3</v>
      </c>
    </row>
    <row r="131" spans="1:57" x14ac:dyDescent="0.25">
      <c r="A131" s="64" t="s">
        <v>265</v>
      </c>
      <c r="B131" s="64" t="s">
        <v>322</v>
      </c>
      <c r="C131" s="65" t="s">
        <v>2097</v>
      </c>
      <c r="D131" s="66">
        <v>5.8</v>
      </c>
      <c r="E131" s="67"/>
      <c r="F131" s="68">
        <v>32</v>
      </c>
      <c r="G131" s="65"/>
      <c r="H131" s="69"/>
      <c r="I131" s="70"/>
      <c r="J131" s="70"/>
      <c r="K131" s="35" t="s">
        <v>65</v>
      </c>
      <c r="L131" s="77">
        <v>131</v>
      </c>
      <c r="M13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31" s="72"/>
      <c r="O131" s="79" t="s">
        <v>337</v>
      </c>
      <c r="P131" s="81">
        <v>44406.630613425928</v>
      </c>
      <c r="Q131" s="79" t="s">
        <v>368</v>
      </c>
      <c r="R131" s="79"/>
      <c r="S131" s="79"/>
      <c r="T131" s="85" t="s">
        <v>461</v>
      </c>
      <c r="U131" s="83" t="str">
        <f>HYPERLINK("https://pbs.twimg.com/media/E6IQoc-XIAIEHeV.jpg")</f>
        <v>https://pbs.twimg.com/media/E6IQoc-XIAIEHeV.jpg</v>
      </c>
      <c r="V131" s="83" t="str">
        <f>HYPERLINK("https://pbs.twimg.com/media/E6IQoc-XIAIEHeV.jpg")</f>
        <v>https://pbs.twimg.com/media/E6IQoc-XIAIEHeV.jpg</v>
      </c>
      <c r="W131" s="81">
        <v>44406.630613425928</v>
      </c>
      <c r="X131" s="87">
        <v>44406</v>
      </c>
      <c r="Y131" s="85" t="s">
        <v>565</v>
      </c>
      <c r="Z131" s="83" t="str">
        <f>HYPERLINK("https://twitter.com/tabuwinslow/status/1420763064908099589")</f>
        <v>https://twitter.com/tabuwinslow/status/1420763064908099589</v>
      </c>
      <c r="AA131" s="79"/>
      <c r="AB131" s="79"/>
      <c r="AC131" s="85" t="s">
        <v>744</v>
      </c>
      <c r="AD131" s="79"/>
      <c r="AE131" s="79" t="b">
        <v>0</v>
      </c>
      <c r="AF131" s="79">
        <v>0</v>
      </c>
      <c r="AG131" s="85" t="s">
        <v>867</v>
      </c>
      <c r="AH131" s="79" t="b">
        <v>0</v>
      </c>
      <c r="AI131" s="79" t="s">
        <v>874</v>
      </c>
      <c r="AJ131" s="79"/>
      <c r="AK131" s="85" t="s">
        <v>867</v>
      </c>
      <c r="AL131" s="79" t="b">
        <v>0</v>
      </c>
      <c r="AM131" s="79">
        <v>4</v>
      </c>
      <c r="AN131" s="85" t="s">
        <v>801</v>
      </c>
      <c r="AO131" s="85" t="s">
        <v>887</v>
      </c>
      <c r="AP131" s="79" t="b">
        <v>0</v>
      </c>
      <c r="AQ131" s="85" t="s">
        <v>801</v>
      </c>
      <c r="AR131" s="79" t="s">
        <v>177</v>
      </c>
      <c r="AS131" s="79">
        <v>0</v>
      </c>
      <c r="AT131" s="79">
        <v>0</v>
      </c>
      <c r="AU131" s="79"/>
      <c r="AV131" s="79"/>
      <c r="AW131" s="79"/>
      <c r="AX131" s="79"/>
      <c r="AY131" s="79"/>
      <c r="AZ131" s="79"/>
      <c r="BA131" s="79"/>
      <c r="BB131" s="79"/>
      <c r="BC131">
        <v>5</v>
      </c>
      <c r="BD131" s="78" t="str">
        <f>REPLACE(INDEX(GroupVertices[Group], MATCH(Edges[[#This Row],[Vertex 1]],GroupVertices[Vertex],0)),1,1,"")</f>
        <v>3</v>
      </c>
      <c r="BE131" s="78" t="str">
        <f>REPLACE(INDEX(GroupVertices[Group], MATCH(Edges[[#This Row],[Vertex 2]],GroupVertices[Vertex],0)),1,1,"")</f>
        <v>3</v>
      </c>
    </row>
    <row r="132" spans="1:57" x14ac:dyDescent="0.25">
      <c r="A132" s="64" t="s">
        <v>265</v>
      </c>
      <c r="B132" s="64" t="s">
        <v>322</v>
      </c>
      <c r="C132" s="65" t="s">
        <v>2097</v>
      </c>
      <c r="D132" s="66">
        <v>5.8</v>
      </c>
      <c r="E132" s="67"/>
      <c r="F132" s="68">
        <v>32</v>
      </c>
      <c r="G132" s="65"/>
      <c r="H132" s="69"/>
      <c r="I132" s="70"/>
      <c r="J132" s="70"/>
      <c r="K132" s="35" t="s">
        <v>65</v>
      </c>
      <c r="L132" s="77">
        <v>132</v>
      </c>
      <c r="M13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32" s="72"/>
      <c r="O132" s="79" t="s">
        <v>337</v>
      </c>
      <c r="P132" s="81">
        <v>44406.630694444444</v>
      </c>
      <c r="Q132" s="79" t="s">
        <v>369</v>
      </c>
      <c r="R132" s="79"/>
      <c r="S132" s="79"/>
      <c r="T132" s="85" t="s">
        <v>461</v>
      </c>
      <c r="U132" s="83" t="str">
        <f>HYPERLINK("https://pbs.twimg.com/media/E6IPmASXMAAHX-l.jpg")</f>
        <v>https://pbs.twimg.com/media/E6IPmASXMAAHX-l.jpg</v>
      </c>
      <c r="V132" s="83" t="str">
        <f>HYPERLINK("https://pbs.twimg.com/media/E6IPmASXMAAHX-l.jpg")</f>
        <v>https://pbs.twimg.com/media/E6IPmASXMAAHX-l.jpg</v>
      </c>
      <c r="W132" s="81">
        <v>44406.630694444444</v>
      </c>
      <c r="X132" s="87">
        <v>44406</v>
      </c>
      <c r="Y132" s="85" t="s">
        <v>566</v>
      </c>
      <c r="Z132" s="83" t="str">
        <f>HYPERLINK("https://twitter.com/tabuwinslow/status/1420763091483054099")</f>
        <v>https://twitter.com/tabuwinslow/status/1420763091483054099</v>
      </c>
      <c r="AA132" s="79"/>
      <c r="AB132" s="79"/>
      <c r="AC132" s="85" t="s">
        <v>745</v>
      </c>
      <c r="AD132" s="79"/>
      <c r="AE132" s="79" t="b">
        <v>0</v>
      </c>
      <c r="AF132" s="79">
        <v>0</v>
      </c>
      <c r="AG132" s="85" t="s">
        <v>867</v>
      </c>
      <c r="AH132" s="79" t="b">
        <v>0</v>
      </c>
      <c r="AI132" s="79" t="s">
        <v>874</v>
      </c>
      <c r="AJ132" s="79"/>
      <c r="AK132" s="85" t="s">
        <v>867</v>
      </c>
      <c r="AL132" s="79" t="b">
        <v>0</v>
      </c>
      <c r="AM132" s="79">
        <v>4</v>
      </c>
      <c r="AN132" s="85" t="s">
        <v>802</v>
      </c>
      <c r="AO132" s="85" t="s">
        <v>887</v>
      </c>
      <c r="AP132" s="79" t="b">
        <v>0</v>
      </c>
      <c r="AQ132" s="85" t="s">
        <v>802</v>
      </c>
      <c r="AR132" s="79" t="s">
        <v>177</v>
      </c>
      <c r="AS132" s="79">
        <v>0</v>
      </c>
      <c r="AT132" s="79">
        <v>0</v>
      </c>
      <c r="AU132" s="79"/>
      <c r="AV132" s="79"/>
      <c r="AW132" s="79"/>
      <c r="AX132" s="79"/>
      <c r="AY132" s="79"/>
      <c r="AZ132" s="79"/>
      <c r="BA132" s="79"/>
      <c r="BB132" s="79"/>
      <c r="BC132">
        <v>5</v>
      </c>
      <c r="BD132" s="78" t="str">
        <f>REPLACE(INDEX(GroupVertices[Group], MATCH(Edges[[#This Row],[Vertex 1]],GroupVertices[Vertex],0)),1,1,"")</f>
        <v>3</v>
      </c>
      <c r="BE132" s="78" t="str">
        <f>REPLACE(INDEX(GroupVertices[Group], MATCH(Edges[[#This Row],[Vertex 2]],GroupVertices[Vertex],0)),1,1,"")</f>
        <v>3</v>
      </c>
    </row>
    <row r="133" spans="1:57" x14ac:dyDescent="0.25">
      <c r="A133" s="64" t="s">
        <v>265</v>
      </c>
      <c r="B133" s="64" t="s">
        <v>322</v>
      </c>
      <c r="C133" s="65" t="s">
        <v>2097</v>
      </c>
      <c r="D133" s="66">
        <v>5.8</v>
      </c>
      <c r="E133" s="67"/>
      <c r="F133" s="68">
        <v>32</v>
      </c>
      <c r="G133" s="65"/>
      <c r="H133" s="69"/>
      <c r="I133" s="70"/>
      <c r="J133" s="70"/>
      <c r="K133" s="35" t="s">
        <v>65</v>
      </c>
      <c r="L133" s="77">
        <v>133</v>
      </c>
      <c r="M13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33" s="72"/>
      <c r="O133" s="79" t="s">
        <v>337</v>
      </c>
      <c r="P133" s="81">
        <v>44406.630729166667</v>
      </c>
      <c r="Q133" s="79" t="s">
        <v>370</v>
      </c>
      <c r="R133" s="79"/>
      <c r="S133" s="79"/>
      <c r="T133" s="85" t="s">
        <v>461</v>
      </c>
      <c r="U133" s="83" t="str">
        <f>HYPERLINK("https://pbs.twimg.com/media/E6IOXacX0AIO80c.jpg")</f>
        <v>https://pbs.twimg.com/media/E6IOXacX0AIO80c.jpg</v>
      </c>
      <c r="V133" s="83" t="str">
        <f>HYPERLINK("https://pbs.twimg.com/media/E6IOXacX0AIO80c.jpg")</f>
        <v>https://pbs.twimg.com/media/E6IOXacX0AIO80c.jpg</v>
      </c>
      <c r="W133" s="81">
        <v>44406.630729166667</v>
      </c>
      <c r="X133" s="87">
        <v>44406</v>
      </c>
      <c r="Y133" s="85" t="s">
        <v>567</v>
      </c>
      <c r="Z133" s="83" t="str">
        <f>HYPERLINK("https://twitter.com/tabuwinslow/status/1420763104921767937")</f>
        <v>https://twitter.com/tabuwinslow/status/1420763104921767937</v>
      </c>
      <c r="AA133" s="79"/>
      <c r="AB133" s="79"/>
      <c r="AC133" s="85" t="s">
        <v>746</v>
      </c>
      <c r="AD133" s="79"/>
      <c r="AE133" s="79" t="b">
        <v>0</v>
      </c>
      <c r="AF133" s="79">
        <v>0</v>
      </c>
      <c r="AG133" s="85" t="s">
        <v>867</v>
      </c>
      <c r="AH133" s="79" t="b">
        <v>0</v>
      </c>
      <c r="AI133" s="79" t="s">
        <v>874</v>
      </c>
      <c r="AJ133" s="79"/>
      <c r="AK133" s="85" t="s">
        <v>867</v>
      </c>
      <c r="AL133" s="79" t="b">
        <v>0</v>
      </c>
      <c r="AM133" s="79">
        <v>3</v>
      </c>
      <c r="AN133" s="85" t="s">
        <v>803</v>
      </c>
      <c r="AO133" s="85" t="s">
        <v>887</v>
      </c>
      <c r="AP133" s="79" t="b">
        <v>0</v>
      </c>
      <c r="AQ133" s="85" t="s">
        <v>803</v>
      </c>
      <c r="AR133" s="79" t="s">
        <v>177</v>
      </c>
      <c r="AS133" s="79">
        <v>0</v>
      </c>
      <c r="AT133" s="79">
        <v>0</v>
      </c>
      <c r="AU133" s="79"/>
      <c r="AV133" s="79"/>
      <c r="AW133" s="79"/>
      <c r="AX133" s="79"/>
      <c r="AY133" s="79"/>
      <c r="AZ133" s="79"/>
      <c r="BA133" s="79"/>
      <c r="BB133" s="79"/>
      <c r="BC133">
        <v>5</v>
      </c>
      <c r="BD133" s="78" t="str">
        <f>REPLACE(INDEX(GroupVertices[Group], MATCH(Edges[[#This Row],[Vertex 1]],GroupVertices[Vertex],0)),1,1,"")</f>
        <v>3</v>
      </c>
      <c r="BE133" s="78" t="str">
        <f>REPLACE(INDEX(GroupVertices[Group], MATCH(Edges[[#This Row],[Vertex 2]],GroupVertices[Vertex],0)),1,1,"")</f>
        <v>3</v>
      </c>
    </row>
    <row r="134" spans="1:57" x14ac:dyDescent="0.25">
      <c r="A134" s="64" t="s">
        <v>266</v>
      </c>
      <c r="B134" s="64" t="s">
        <v>322</v>
      </c>
      <c r="C134" s="65" t="s">
        <v>2097</v>
      </c>
      <c r="D134" s="66">
        <v>5.8</v>
      </c>
      <c r="E134" s="67"/>
      <c r="F134" s="68">
        <v>32</v>
      </c>
      <c r="G134" s="65"/>
      <c r="H134" s="69"/>
      <c r="I134" s="70"/>
      <c r="J134" s="70"/>
      <c r="K134" s="35" t="s">
        <v>65</v>
      </c>
      <c r="L134" s="77">
        <v>134</v>
      </c>
      <c r="M13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34" s="72"/>
      <c r="O134" s="79" t="s">
        <v>337</v>
      </c>
      <c r="P134" s="81">
        <v>44406.631203703706</v>
      </c>
      <c r="Q134" s="79" t="s">
        <v>366</v>
      </c>
      <c r="R134" s="79"/>
      <c r="S134" s="79"/>
      <c r="T134" s="85" t="s">
        <v>461</v>
      </c>
      <c r="U134" s="83" t="str">
        <f>HYPERLINK("https://pbs.twimg.com/media/E7eO9zIVUAEjK-g.jpg")</f>
        <v>https://pbs.twimg.com/media/E7eO9zIVUAEjK-g.jpg</v>
      </c>
      <c r="V134" s="83" t="str">
        <f>HYPERLINK("https://pbs.twimg.com/media/E7eO9zIVUAEjK-g.jpg")</f>
        <v>https://pbs.twimg.com/media/E7eO9zIVUAEjK-g.jpg</v>
      </c>
      <c r="W134" s="81">
        <v>44406.631203703706</v>
      </c>
      <c r="X134" s="87">
        <v>44406</v>
      </c>
      <c r="Y134" s="85" t="s">
        <v>568</v>
      </c>
      <c r="Z134" s="83" t="str">
        <f>HYPERLINK("https://twitter.com/letsplayballan1/status/1420763276665933824")</f>
        <v>https://twitter.com/letsplayballan1/status/1420763276665933824</v>
      </c>
      <c r="AA134" s="79"/>
      <c r="AB134" s="79"/>
      <c r="AC134" s="85" t="s">
        <v>747</v>
      </c>
      <c r="AD134" s="79"/>
      <c r="AE134" s="79" t="b">
        <v>0</v>
      </c>
      <c r="AF134" s="79">
        <v>0</v>
      </c>
      <c r="AG134" s="85" t="s">
        <v>867</v>
      </c>
      <c r="AH134" s="79" t="b">
        <v>0</v>
      </c>
      <c r="AI134" s="79" t="s">
        <v>874</v>
      </c>
      <c r="AJ134" s="79"/>
      <c r="AK134" s="85" t="s">
        <v>867</v>
      </c>
      <c r="AL134" s="79" t="b">
        <v>0</v>
      </c>
      <c r="AM134" s="79">
        <v>4</v>
      </c>
      <c r="AN134" s="85" t="s">
        <v>799</v>
      </c>
      <c r="AO134" s="85" t="s">
        <v>887</v>
      </c>
      <c r="AP134" s="79" t="b">
        <v>0</v>
      </c>
      <c r="AQ134" s="85" t="s">
        <v>799</v>
      </c>
      <c r="AR134" s="79" t="s">
        <v>177</v>
      </c>
      <c r="AS134" s="79">
        <v>0</v>
      </c>
      <c r="AT134" s="79">
        <v>0</v>
      </c>
      <c r="AU134" s="79"/>
      <c r="AV134" s="79"/>
      <c r="AW134" s="79"/>
      <c r="AX134" s="79"/>
      <c r="AY134" s="79"/>
      <c r="AZ134" s="79"/>
      <c r="BA134" s="79"/>
      <c r="BB134" s="79"/>
      <c r="BC134">
        <v>5</v>
      </c>
      <c r="BD134" s="78" t="str">
        <f>REPLACE(INDEX(GroupVertices[Group], MATCH(Edges[[#This Row],[Vertex 1]],GroupVertices[Vertex],0)),1,1,"")</f>
        <v>3</v>
      </c>
      <c r="BE134" s="78" t="str">
        <f>REPLACE(INDEX(GroupVertices[Group], MATCH(Edges[[#This Row],[Vertex 2]],GroupVertices[Vertex],0)),1,1,"")</f>
        <v>3</v>
      </c>
    </row>
    <row r="135" spans="1:57" x14ac:dyDescent="0.25">
      <c r="A135" s="64" t="s">
        <v>266</v>
      </c>
      <c r="B135" s="64" t="s">
        <v>322</v>
      </c>
      <c r="C135" s="65" t="s">
        <v>2097</v>
      </c>
      <c r="D135" s="66">
        <v>5.8</v>
      </c>
      <c r="E135" s="67"/>
      <c r="F135" s="68">
        <v>32</v>
      </c>
      <c r="G135" s="65"/>
      <c r="H135" s="69"/>
      <c r="I135" s="70"/>
      <c r="J135" s="70"/>
      <c r="K135" s="35" t="s">
        <v>65</v>
      </c>
      <c r="L135" s="77">
        <v>135</v>
      </c>
      <c r="M13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35" s="72"/>
      <c r="O135" s="79" t="s">
        <v>337</v>
      </c>
      <c r="P135" s="81">
        <v>44406.631354166668</v>
      </c>
      <c r="Q135" s="79" t="s">
        <v>367</v>
      </c>
      <c r="R135" s="83" t="str">
        <f>HYPERLINK("https://www.youtube.com/shorts/qku6RAs0B3k?feature=share")</f>
        <v>https://www.youtube.com/shorts/qku6RAs0B3k?feature=share</v>
      </c>
      <c r="S135" s="79" t="s">
        <v>450</v>
      </c>
      <c r="T135" s="85" t="s">
        <v>478</v>
      </c>
      <c r="U135" s="83" t="str">
        <f>HYPERLINK("https://pbs.twimg.com/media/E7T3xyJWQAYfYP3.jpg")</f>
        <v>https://pbs.twimg.com/media/E7T3xyJWQAYfYP3.jpg</v>
      </c>
      <c r="V135" s="83" t="str">
        <f>HYPERLINK("https://pbs.twimg.com/media/E7T3xyJWQAYfYP3.jpg")</f>
        <v>https://pbs.twimg.com/media/E7T3xyJWQAYfYP3.jpg</v>
      </c>
      <c r="W135" s="81">
        <v>44406.631354166668</v>
      </c>
      <c r="X135" s="87">
        <v>44406</v>
      </c>
      <c r="Y135" s="85" t="s">
        <v>569</v>
      </c>
      <c r="Z135" s="83" t="str">
        <f>HYPERLINK("https://twitter.com/letsplayballan1/status/1420763333368688643")</f>
        <v>https://twitter.com/letsplayballan1/status/1420763333368688643</v>
      </c>
      <c r="AA135" s="79"/>
      <c r="AB135" s="79"/>
      <c r="AC135" s="85" t="s">
        <v>748</v>
      </c>
      <c r="AD135" s="79"/>
      <c r="AE135" s="79" t="b">
        <v>0</v>
      </c>
      <c r="AF135" s="79">
        <v>0</v>
      </c>
      <c r="AG135" s="85" t="s">
        <v>867</v>
      </c>
      <c r="AH135" s="79" t="b">
        <v>0</v>
      </c>
      <c r="AI135" s="79" t="s">
        <v>874</v>
      </c>
      <c r="AJ135" s="79"/>
      <c r="AK135" s="85" t="s">
        <v>867</v>
      </c>
      <c r="AL135" s="79" t="b">
        <v>0</v>
      </c>
      <c r="AM135" s="79">
        <v>3</v>
      </c>
      <c r="AN135" s="85" t="s">
        <v>789</v>
      </c>
      <c r="AO135" s="85" t="s">
        <v>887</v>
      </c>
      <c r="AP135" s="79" t="b">
        <v>0</v>
      </c>
      <c r="AQ135" s="85" t="s">
        <v>789</v>
      </c>
      <c r="AR135" s="79" t="s">
        <v>177</v>
      </c>
      <c r="AS135" s="79">
        <v>0</v>
      </c>
      <c r="AT135" s="79">
        <v>0</v>
      </c>
      <c r="AU135" s="79"/>
      <c r="AV135" s="79"/>
      <c r="AW135" s="79"/>
      <c r="AX135" s="79"/>
      <c r="AY135" s="79"/>
      <c r="AZ135" s="79"/>
      <c r="BA135" s="79"/>
      <c r="BB135" s="79"/>
      <c r="BC135">
        <v>5</v>
      </c>
      <c r="BD135" s="78" t="str">
        <f>REPLACE(INDEX(GroupVertices[Group], MATCH(Edges[[#This Row],[Vertex 1]],GroupVertices[Vertex],0)),1,1,"")</f>
        <v>3</v>
      </c>
      <c r="BE135" s="78" t="str">
        <f>REPLACE(INDEX(GroupVertices[Group], MATCH(Edges[[#This Row],[Vertex 2]],GroupVertices[Vertex],0)),1,1,"")</f>
        <v>3</v>
      </c>
    </row>
    <row r="136" spans="1:57" x14ac:dyDescent="0.25">
      <c r="A136" s="64" t="s">
        <v>266</v>
      </c>
      <c r="B136" s="64" t="s">
        <v>322</v>
      </c>
      <c r="C136" s="65" t="s">
        <v>2097</v>
      </c>
      <c r="D136" s="66">
        <v>5.8</v>
      </c>
      <c r="E136" s="67"/>
      <c r="F136" s="68">
        <v>32</v>
      </c>
      <c r="G136" s="65"/>
      <c r="H136" s="69"/>
      <c r="I136" s="70"/>
      <c r="J136" s="70"/>
      <c r="K136" s="35" t="s">
        <v>65</v>
      </c>
      <c r="L136" s="77">
        <v>136</v>
      </c>
      <c r="M13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36" s="72"/>
      <c r="O136" s="79" t="s">
        <v>337</v>
      </c>
      <c r="P136" s="81">
        <v>44406.631956018522</v>
      </c>
      <c r="Q136" s="79" t="s">
        <v>368</v>
      </c>
      <c r="R136" s="79"/>
      <c r="S136" s="79"/>
      <c r="T136" s="85" t="s">
        <v>461</v>
      </c>
      <c r="U136" s="83" t="str">
        <f>HYPERLINK("https://pbs.twimg.com/media/E6IQoc-XIAIEHeV.jpg")</f>
        <v>https://pbs.twimg.com/media/E6IQoc-XIAIEHeV.jpg</v>
      </c>
      <c r="V136" s="83" t="str">
        <f>HYPERLINK("https://pbs.twimg.com/media/E6IQoc-XIAIEHeV.jpg")</f>
        <v>https://pbs.twimg.com/media/E6IQoc-XIAIEHeV.jpg</v>
      </c>
      <c r="W136" s="81">
        <v>44406.631956018522</v>
      </c>
      <c r="X136" s="87">
        <v>44406</v>
      </c>
      <c r="Y136" s="85" t="s">
        <v>570</v>
      </c>
      <c r="Z136" s="83" t="str">
        <f>HYPERLINK("https://twitter.com/letsplayballan1/status/1420763549677277184")</f>
        <v>https://twitter.com/letsplayballan1/status/1420763549677277184</v>
      </c>
      <c r="AA136" s="79"/>
      <c r="AB136" s="79"/>
      <c r="AC136" s="85" t="s">
        <v>749</v>
      </c>
      <c r="AD136" s="79"/>
      <c r="AE136" s="79" t="b">
        <v>0</v>
      </c>
      <c r="AF136" s="79">
        <v>0</v>
      </c>
      <c r="AG136" s="85" t="s">
        <v>867</v>
      </c>
      <c r="AH136" s="79" t="b">
        <v>0</v>
      </c>
      <c r="AI136" s="79" t="s">
        <v>874</v>
      </c>
      <c r="AJ136" s="79"/>
      <c r="AK136" s="85" t="s">
        <v>867</v>
      </c>
      <c r="AL136" s="79" t="b">
        <v>0</v>
      </c>
      <c r="AM136" s="79">
        <v>4</v>
      </c>
      <c r="AN136" s="85" t="s">
        <v>801</v>
      </c>
      <c r="AO136" s="85" t="s">
        <v>887</v>
      </c>
      <c r="AP136" s="79" t="b">
        <v>0</v>
      </c>
      <c r="AQ136" s="85" t="s">
        <v>801</v>
      </c>
      <c r="AR136" s="79" t="s">
        <v>177</v>
      </c>
      <c r="AS136" s="79">
        <v>0</v>
      </c>
      <c r="AT136" s="79">
        <v>0</v>
      </c>
      <c r="AU136" s="79"/>
      <c r="AV136" s="79"/>
      <c r="AW136" s="79"/>
      <c r="AX136" s="79"/>
      <c r="AY136" s="79"/>
      <c r="AZ136" s="79"/>
      <c r="BA136" s="79"/>
      <c r="BB136" s="79"/>
      <c r="BC136">
        <v>5</v>
      </c>
      <c r="BD136" s="78" t="str">
        <f>REPLACE(INDEX(GroupVertices[Group], MATCH(Edges[[#This Row],[Vertex 1]],GroupVertices[Vertex],0)),1,1,"")</f>
        <v>3</v>
      </c>
      <c r="BE136" s="78" t="str">
        <f>REPLACE(INDEX(GroupVertices[Group], MATCH(Edges[[#This Row],[Vertex 2]],GroupVertices[Vertex],0)),1,1,"")</f>
        <v>3</v>
      </c>
    </row>
    <row r="137" spans="1:57" x14ac:dyDescent="0.25">
      <c r="A137" s="64" t="s">
        <v>266</v>
      </c>
      <c r="B137" s="64" t="s">
        <v>322</v>
      </c>
      <c r="C137" s="65" t="s">
        <v>2097</v>
      </c>
      <c r="D137" s="66">
        <v>5.8</v>
      </c>
      <c r="E137" s="67"/>
      <c r="F137" s="68">
        <v>32</v>
      </c>
      <c r="G137" s="65"/>
      <c r="H137" s="69"/>
      <c r="I137" s="70"/>
      <c r="J137" s="70"/>
      <c r="K137" s="35" t="s">
        <v>65</v>
      </c>
      <c r="L137" s="77">
        <v>137</v>
      </c>
      <c r="M13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37" s="72"/>
      <c r="O137" s="79" t="s">
        <v>337</v>
      </c>
      <c r="P137" s="81">
        <v>44406.632025462961</v>
      </c>
      <c r="Q137" s="79" t="s">
        <v>369</v>
      </c>
      <c r="R137" s="79"/>
      <c r="S137" s="79"/>
      <c r="T137" s="85" t="s">
        <v>461</v>
      </c>
      <c r="U137" s="83" t="str">
        <f>HYPERLINK("https://pbs.twimg.com/media/E6IPmASXMAAHX-l.jpg")</f>
        <v>https://pbs.twimg.com/media/E6IPmASXMAAHX-l.jpg</v>
      </c>
      <c r="V137" s="83" t="str">
        <f>HYPERLINK("https://pbs.twimg.com/media/E6IPmASXMAAHX-l.jpg")</f>
        <v>https://pbs.twimg.com/media/E6IPmASXMAAHX-l.jpg</v>
      </c>
      <c r="W137" s="81">
        <v>44406.632025462961</v>
      </c>
      <c r="X137" s="87">
        <v>44406</v>
      </c>
      <c r="Y137" s="85" t="s">
        <v>571</v>
      </c>
      <c r="Z137" s="83" t="str">
        <f>HYPERLINK("https://twitter.com/letsplayballan1/status/1420763574218207233")</f>
        <v>https://twitter.com/letsplayballan1/status/1420763574218207233</v>
      </c>
      <c r="AA137" s="79"/>
      <c r="AB137" s="79"/>
      <c r="AC137" s="85" t="s">
        <v>750</v>
      </c>
      <c r="AD137" s="79"/>
      <c r="AE137" s="79" t="b">
        <v>0</v>
      </c>
      <c r="AF137" s="79">
        <v>0</v>
      </c>
      <c r="AG137" s="85" t="s">
        <v>867</v>
      </c>
      <c r="AH137" s="79" t="b">
        <v>0</v>
      </c>
      <c r="AI137" s="79" t="s">
        <v>874</v>
      </c>
      <c r="AJ137" s="79"/>
      <c r="AK137" s="85" t="s">
        <v>867</v>
      </c>
      <c r="AL137" s="79" t="b">
        <v>0</v>
      </c>
      <c r="AM137" s="79">
        <v>4</v>
      </c>
      <c r="AN137" s="85" t="s">
        <v>802</v>
      </c>
      <c r="AO137" s="85" t="s">
        <v>887</v>
      </c>
      <c r="AP137" s="79" t="b">
        <v>0</v>
      </c>
      <c r="AQ137" s="85" t="s">
        <v>802</v>
      </c>
      <c r="AR137" s="79" t="s">
        <v>177</v>
      </c>
      <c r="AS137" s="79">
        <v>0</v>
      </c>
      <c r="AT137" s="79">
        <v>0</v>
      </c>
      <c r="AU137" s="79"/>
      <c r="AV137" s="79"/>
      <c r="AW137" s="79"/>
      <c r="AX137" s="79"/>
      <c r="AY137" s="79"/>
      <c r="AZ137" s="79"/>
      <c r="BA137" s="79"/>
      <c r="BB137" s="79"/>
      <c r="BC137">
        <v>5</v>
      </c>
      <c r="BD137" s="78" t="str">
        <f>REPLACE(INDEX(GroupVertices[Group], MATCH(Edges[[#This Row],[Vertex 1]],GroupVertices[Vertex],0)),1,1,"")</f>
        <v>3</v>
      </c>
      <c r="BE137" s="78" t="str">
        <f>REPLACE(INDEX(GroupVertices[Group], MATCH(Edges[[#This Row],[Vertex 2]],GroupVertices[Vertex],0)),1,1,"")</f>
        <v>3</v>
      </c>
    </row>
    <row r="138" spans="1:57" x14ac:dyDescent="0.25">
      <c r="A138" s="64" t="s">
        <v>266</v>
      </c>
      <c r="B138" s="64" t="s">
        <v>322</v>
      </c>
      <c r="C138" s="65" t="s">
        <v>2097</v>
      </c>
      <c r="D138" s="66">
        <v>5.8</v>
      </c>
      <c r="E138" s="67"/>
      <c r="F138" s="68">
        <v>32</v>
      </c>
      <c r="G138" s="65"/>
      <c r="H138" s="69"/>
      <c r="I138" s="70"/>
      <c r="J138" s="70"/>
      <c r="K138" s="35" t="s">
        <v>65</v>
      </c>
      <c r="L138" s="77">
        <v>138</v>
      </c>
      <c r="M13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38" s="72"/>
      <c r="O138" s="79" t="s">
        <v>337</v>
      </c>
      <c r="P138" s="81">
        <v>44406.632060185184</v>
      </c>
      <c r="Q138" s="79" t="s">
        <v>370</v>
      </c>
      <c r="R138" s="79"/>
      <c r="S138" s="79"/>
      <c r="T138" s="85" t="s">
        <v>461</v>
      </c>
      <c r="U138" s="83" t="str">
        <f>HYPERLINK("https://pbs.twimg.com/media/E6IOXacX0AIO80c.jpg")</f>
        <v>https://pbs.twimg.com/media/E6IOXacX0AIO80c.jpg</v>
      </c>
      <c r="V138" s="83" t="str">
        <f>HYPERLINK("https://pbs.twimg.com/media/E6IOXacX0AIO80c.jpg")</f>
        <v>https://pbs.twimg.com/media/E6IOXacX0AIO80c.jpg</v>
      </c>
      <c r="W138" s="81">
        <v>44406.632060185184</v>
      </c>
      <c r="X138" s="87">
        <v>44406</v>
      </c>
      <c r="Y138" s="85" t="s">
        <v>572</v>
      </c>
      <c r="Z138" s="83" t="str">
        <f>HYPERLINK("https://twitter.com/letsplayballan1/status/1420763585798627331")</f>
        <v>https://twitter.com/letsplayballan1/status/1420763585798627331</v>
      </c>
      <c r="AA138" s="79"/>
      <c r="AB138" s="79"/>
      <c r="AC138" s="85" t="s">
        <v>751</v>
      </c>
      <c r="AD138" s="79"/>
      <c r="AE138" s="79" t="b">
        <v>0</v>
      </c>
      <c r="AF138" s="79">
        <v>0</v>
      </c>
      <c r="AG138" s="85" t="s">
        <v>867</v>
      </c>
      <c r="AH138" s="79" t="b">
        <v>0</v>
      </c>
      <c r="AI138" s="79" t="s">
        <v>874</v>
      </c>
      <c r="AJ138" s="79"/>
      <c r="AK138" s="85" t="s">
        <v>867</v>
      </c>
      <c r="AL138" s="79" t="b">
        <v>0</v>
      </c>
      <c r="AM138" s="79">
        <v>3</v>
      </c>
      <c r="AN138" s="85" t="s">
        <v>803</v>
      </c>
      <c r="AO138" s="85" t="s">
        <v>887</v>
      </c>
      <c r="AP138" s="79" t="b">
        <v>0</v>
      </c>
      <c r="AQ138" s="85" t="s">
        <v>803</v>
      </c>
      <c r="AR138" s="79" t="s">
        <v>177</v>
      </c>
      <c r="AS138" s="79">
        <v>0</v>
      </c>
      <c r="AT138" s="79">
        <v>0</v>
      </c>
      <c r="AU138" s="79"/>
      <c r="AV138" s="79"/>
      <c r="AW138" s="79"/>
      <c r="AX138" s="79"/>
      <c r="AY138" s="79"/>
      <c r="AZ138" s="79"/>
      <c r="BA138" s="79"/>
      <c r="BB138" s="79"/>
      <c r="BC138">
        <v>5</v>
      </c>
      <c r="BD138" s="78" t="str">
        <f>REPLACE(INDEX(GroupVertices[Group], MATCH(Edges[[#This Row],[Vertex 1]],GroupVertices[Vertex],0)),1,1,"")</f>
        <v>3</v>
      </c>
      <c r="BE138" s="78" t="str">
        <f>REPLACE(INDEX(GroupVertices[Group], MATCH(Edges[[#This Row],[Vertex 2]],GroupVertices[Vertex],0)),1,1,"")</f>
        <v>3</v>
      </c>
    </row>
    <row r="139" spans="1:57" x14ac:dyDescent="0.25">
      <c r="A139" s="64" t="s">
        <v>297</v>
      </c>
      <c r="B139" s="64" t="s">
        <v>297</v>
      </c>
      <c r="C139" s="65" t="s">
        <v>2098</v>
      </c>
      <c r="D139" s="66">
        <v>5.0999999999999996</v>
      </c>
      <c r="E139" s="67"/>
      <c r="F139" s="68">
        <v>34</v>
      </c>
      <c r="G139" s="65"/>
      <c r="H139" s="69"/>
      <c r="I139" s="70"/>
      <c r="J139" s="70"/>
      <c r="K139" s="35" t="s">
        <v>65</v>
      </c>
      <c r="L139" s="77">
        <v>139</v>
      </c>
      <c r="M13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39" s="72"/>
      <c r="O139" s="79" t="s">
        <v>177</v>
      </c>
      <c r="P139" s="81">
        <v>44408.838865740741</v>
      </c>
      <c r="Q139" s="79" t="s">
        <v>432</v>
      </c>
      <c r="R139" s="83" t="str">
        <f>HYPERLINK("https://jamillimabass.tumblr.com/post/658256249154060288/sesc-belenzinho-2019-fishmanpickups#_=_")</f>
        <v>https://jamillimabass.tumblr.com/post/658256249154060288/sesc-belenzinho-2019-fishmanpickups#_=_</v>
      </c>
      <c r="S139" s="79" t="s">
        <v>455</v>
      </c>
      <c r="T139" s="85" t="s">
        <v>501</v>
      </c>
      <c r="U139" s="79"/>
      <c r="V139" s="83" t="str">
        <f>HYPERLINK("https://pbs.twimg.com/profile_images/1190697450228584449/9iO4Mhxr_normal.jpg")</f>
        <v>https://pbs.twimg.com/profile_images/1190697450228584449/9iO4Mhxr_normal.jpg</v>
      </c>
      <c r="W139" s="81">
        <v>44408.838865740741</v>
      </c>
      <c r="X139" s="87">
        <v>44408</v>
      </c>
      <c r="Y139" s="85" t="s">
        <v>667</v>
      </c>
      <c r="Z139" s="83" t="str">
        <f>HYPERLINK("https://twitter.com/jamillimabass/status/1421563309032157185")</f>
        <v>https://twitter.com/jamillimabass/status/1421563309032157185</v>
      </c>
      <c r="AA139" s="79"/>
      <c r="AB139" s="79"/>
      <c r="AC139" s="85" t="s">
        <v>847</v>
      </c>
      <c r="AD139" s="79"/>
      <c r="AE139" s="79" t="b">
        <v>0</v>
      </c>
      <c r="AF139" s="79">
        <v>0</v>
      </c>
      <c r="AG139" s="85" t="s">
        <v>867</v>
      </c>
      <c r="AH139" s="79" t="b">
        <v>0</v>
      </c>
      <c r="AI139" s="79" t="s">
        <v>878</v>
      </c>
      <c r="AJ139" s="79"/>
      <c r="AK139" s="85" t="s">
        <v>867</v>
      </c>
      <c r="AL139" s="79" t="b">
        <v>0</v>
      </c>
      <c r="AM139" s="79">
        <v>0</v>
      </c>
      <c r="AN139" s="85" t="s">
        <v>867</v>
      </c>
      <c r="AO139" s="85" t="s">
        <v>890</v>
      </c>
      <c r="AP139" s="79" t="b">
        <v>0</v>
      </c>
      <c r="AQ139" s="85" t="s">
        <v>847</v>
      </c>
      <c r="AR139" s="79" t="s">
        <v>177</v>
      </c>
      <c r="AS139" s="79">
        <v>0</v>
      </c>
      <c r="AT139" s="79">
        <v>0</v>
      </c>
      <c r="AU139" s="79"/>
      <c r="AV139" s="79"/>
      <c r="AW139" s="79"/>
      <c r="AX139" s="79"/>
      <c r="AY139" s="79"/>
      <c r="AZ139" s="79"/>
      <c r="BA139" s="79"/>
      <c r="BB139" s="79"/>
      <c r="BC139">
        <v>4</v>
      </c>
      <c r="BD139" s="78" t="str">
        <f>REPLACE(INDEX(GroupVertices[Group], MATCH(Edges[[#This Row],[Vertex 1]],GroupVertices[Vertex],0)),1,1,"")</f>
        <v>16</v>
      </c>
      <c r="BE139" s="78" t="str">
        <f>REPLACE(INDEX(GroupVertices[Group], MATCH(Edges[[#This Row],[Vertex 2]],GroupVertices[Vertex],0)),1,1,"")</f>
        <v>16</v>
      </c>
    </row>
    <row r="140" spans="1:57" x14ac:dyDescent="0.25">
      <c r="A140" s="64" t="s">
        <v>297</v>
      </c>
      <c r="B140" s="64" t="s">
        <v>297</v>
      </c>
      <c r="C140" s="65" t="s">
        <v>2098</v>
      </c>
      <c r="D140" s="66">
        <v>5.0999999999999996</v>
      </c>
      <c r="E140" s="67"/>
      <c r="F140" s="68">
        <v>34</v>
      </c>
      <c r="G140" s="65"/>
      <c r="H140" s="69"/>
      <c r="I140" s="70"/>
      <c r="J140" s="70"/>
      <c r="K140" s="35" t="s">
        <v>65</v>
      </c>
      <c r="L140" s="77">
        <v>140</v>
      </c>
      <c r="M14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40" s="72"/>
      <c r="O140" s="79" t="s">
        <v>177</v>
      </c>
      <c r="P140" s="81">
        <v>44408.83965277778</v>
      </c>
      <c r="Q140" s="79" t="s">
        <v>433</v>
      </c>
      <c r="R140" s="83" t="str">
        <f>HYPERLINK("https://jamillimabass.tumblr.com/post/658256319949750272/bass-solo-fishmanpickups-doublebassist#_=_")</f>
        <v>https://jamillimabass.tumblr.com/post/658256319949750272/bass-solo-fishmanpickups-doublebassist#_=_</v>
      </c>
      <c r="S140" s="79" t="s">
        <v>455</v>
      </c>
      <c r="T140" s="85" t="s">
        <v>502</v>
      </c>
      <c r="U140" s="79"/>
      <c r="V140" s="83" t="str">
        <f>HYPERLINK("https://pbs.twimg.com/profile_images/1190697450228584449/9iO4Mhxr_normal.jpg")</f>
        <v>https://pbs.twimg.com/profile_images/1190697450228584449/9iO4Mhxr_normal.jpg</v>
      </c>
      <c r="W140" s="81">
        <v>44408.83965277778</v>
      </c>
      <c r="X140" s="87">
        <v>44408</v>
      </c>
      <c r="Y140" s="85" t="s">
        <v>668</v>
      </c>
      <c r="Z140" s="83" t="str">
        <f>HYPERLINK("https://twitter.com/jamillimabass/status/1421563591484915714")</f>
        <v>https://twitter.com/jamillimabass/status/1421563591484915714</v>
      </c>
      <c r="AA140" s="79"/>
      <c r="AB140" s="79"/>
      <c r="AC140" s="85" t="s">
        <v>848</v>
      </c>
      <c r="AD140" s="79"/>
      <c r="AE140" s="79" t="b">
        <v>0</v>
      </c>
      <c r="AF140" s="79">
        <v>0</v>
      </c>
      <c r="AG140" s="85" t="s">
        <v>867</v>
      </c>
      <c r="AH140" s="79" t="b">
        <v>0</v>
      </c>
      <c r="AI140" s="79" t="s">
        <v>879</v>
      </c>
      <c r="AJ140" s="79"/>
      <c r="AK140" s="85" t="s">
        <v>867</v>
      </c>
      <c r="AL140" s="79" t="b">
        <v>0</v>
      </c>
      <c r="AM140" s="79">
        <v>0</v>
      </c>
      <c r="AN140" s="85" t="s">
        <v>867</v>
      </c>
      <c r="AO140" s="85" t="s">
        <v>890</v>
      </c>
      <c r="AP140" s="79" t="b">
        <v>0</v>
      </c>
      <c r="AQ140" s="85" t="s">
        <v>848</v>
      </c>
      <c r="AR140" s="79" t="s">
        <v>177</v>
      </c>
      <c r="AS140" s="79">
        <v>0</v>
      </c>
      <c r="AT140" s="79">
        <v>0</v>
      </c>
      <c r="AU140" s="79"/>
      <c r="AV140" s="79"/>
      <c r="AW140" s="79"/>
      <c r="AX140" s="79"/>
      <c r="AY140" s="79"/>
      <c r="AZ140" s="79"/>
      <c r="BA140" s="79"/>
      <c r="BB140" s="79"/>
      <c r="BC140">
        <v>4</v>
      </c>
      <c r="BD140" s="78" t="str">
        <f>REPLACE(INDEX(GroupVertices[Group], MATCH(Edges[[#This Row],[Vertex 1]],GroupVertices[Vertex],0)),1,1,"")</f>
        <v>16</v>
      </c>
      <c r="BE140" s="78" t="str">
        <f>REPLACE(INDEX(GroupVertices[Group], MATCH(Edges[[#This Row],[Vertex 2]],GroupVertices[Vertex],0)),1,1,"")</f>
        <v>16</v>
      </c>
    </row>
    <row r="141" spans="1:57" x14ac:dyDescent="0.25">
      <c r="A141" s="64" t="s">
        <v>297</v>
      </c>
      <c r="B141" s="64" t="s">
        <v>297</v>
      </c>
      <c r="C141" s="65" t="s">
        <v>2098</v>
      </c>
      <c r="D141" s="66">
        <v>5.0999999999999996</v>
      </c>
      <c r="E141" s="67"/>
      <c r="F141" s="68">
        <v>34</v>
      </c>
      <c r="G141" s="65"/>
      <c r="H141" s="69"/>
      <c r="I141" s="70"/>
      <c r="J141" s="70"/>
      <c r="K141" s="35" t="s">
        <v>65</v>
      </c>
      <c r="L141" s="77">
        <v>141</v>
      </c>
      <c r="M14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41" s="72"/>
      <c r="O141" s="79" t="s">
        <v>177</v>
      </c>
      <c r="P141" s="81">
        <v>44408.839849537035</v>
      </c>
      <c r="Q141" s="79" t="s">
        <v>434</v>
      </c>
      <c r="R141" s="83" t="str">
        <f>HYPERLINK("https://jamillimabass.tumblr.com/post/658256337825873920/voltando-aos-poucos-getting#_=_")</f>
        <v>https://jamillimabass.tumblr.com/post/658256337825873920/voltando-aos-poucos-getting#_=_</v>
      </c>
      <c r="S141" s="79" t="s">
        <v>455</v>
      </c>
      <c r="T141" s="85" t="s">
        <v>503</v>
      </c>
      <c r="U141" s="79"/>
      <c r="V141" s="83" t="str">
        <f>HYPERLINK("https://pbs.twimg.com/profile_images/1190697450228584449/9iO4Mhxr_normal.jpg")</f>
        <v>https://pbs.twimg.com/profile_images/1190697450228584449/9iO4Mhxr_normal.jpg</v>
      </c>
      <c r="W141" s="81">
        <v>44408.839849537035</v>
      </c>
      <c r="X141" s="87">
        <v>44408</v>
      </c>
      <c r="Y141" s="85" t="s">
        <v>669</v>
      </c>
      <c r="Z141" s="83" t="str">
        <f>HYPERLINK("https://twitter.com/jamillimabass/status/1421563662985318415")</f>
        <v>https://twitter.com/jamillimabass/status/1421563662985318415</v>
      </c>
      <c r="AA141" s="79"/>
      <c r="AB141" s="79"/>
      <c r="AC141" s="85" t="s">
        <v>849</v>
      </c>
      <c r="AD141" s="79"/>
      <c r="AE141" s="79" t="b">
        <v>0</v>
      </c>
      <c r="AF141" s="79">
        <v>0</v>
      </c>
      <c r="AG141" s="85" t="s">
        <v>867</v>
      </c>
      <c r="AH141" s="79" t="b">
        <v>0</v>
      </c>
      <c r="AI141" s="79" t="s">
        <v>878</v>
      </c>
      <c r="AJ141" s="79"/>
      <c r="AK141" s="85" t="s">
        <v>867</v>
      </c>
      <c r="AL141" s="79" t="b">
        <v>0</v>
      </c>
      <c r="AM141" s="79">
        <v>0</v>
      </c>
      <c r="AN141" s="85" t="s">
        <v>867</v>
      </c>
      <c r="AO141" s="85" t="s">
        <v>890</v>
      </c>
      <c r="AP141" s="79" t="b">
        <v>0</v>
      </c>
      <c r="AQ141" s="85" t="s">
        <v>849</v>
      </c>
      <c r="AR141" s="79" t="s">
        <v>177</v>
      </c>
      <c r="AS141" s="79">
        <v>0</v>
      </c>
      <c r="AT141" s="79">
        <v>0</v>
      </c>
      <c r="AU141" s="79"/>
      <c r="AV141" s="79"/>
      <c r="AW141" s="79"/>
      <c r="AX141" s="79"/>
      <c r="AY141" s="79"/>
      <c r="AZ141" s="79"/>
      <c r="BA141" s="79"/>
      <c r="BB141" s="79"/>
      <c r="BC141">
        <v>4</v>
      </c>
      <c r="BD141" s="78" t="str">
        <f>REPLACE(INDEX(GroupVertices[Group], MATCH(Edges[[#This Row],[Vertex 1]],GroupVertices[Vertex],0)),1,1,"")</f>
        <v>16</v>
      </c>
      <c r="BE141" s="78" t="str">
        <f>REPLACE(INDEX(GroupVertices[Group], MATCH(Edges[[#This Row],[Vertex 2]],GroupVertices[Vertex],0)),1,1,"")</f>
        <v>16</v>
      </c>
    </row>
    <row r="142" spans="1:57" x14ac:dyDescent="0.25">
      <c r="A142" s="64" t="s">
        <v>297</v>
      </c>
      <c r="B142" s="64" t="s">
        <v>297</v>
      </c>
      <c r="C142" s="65" t="s">
        <v>2098</v>
      </c>
      <c r="D142" s="66">
        <v>5.0999999999999996</v>
      </c>
      <c r="E142" s="67"/>
      <c r="F142" s="68">
        <v>34</v>
      </c>
      <c r="G142" s="65"/>
      <c r="H142" s="69"/>
      <c r="I142" s="70"/>
      <c r="J142" s="70"/>
      <c r="K142" s="35" t="s">
        <v>65</v>
      </c>
      <c r="L142" s="77">
        <v>142</v>
      </c>
      <c r="M14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42" s="72"/>
      <c r="O142" s="79" t="s">
        <v>177</v>
      </c>
      <c r="P142" s="81">
        <v>44408.840277777781</v>
      </c>
      <c r="Q142" s="79" t="s">
        <v>435</v>
      </c>
      <c r="R142" s="83" t="str">
        <f>HYPERLINK("https://jamillimabass.tumblr.com/post/658256376297078784/take-bom-when-the-take-was-good#_=_")</f>
        <v>https://jamillimabass.tumblr.com/post/658256376297078784/take-bom-when-the-take-was-good#_=_</v>
      </c>
      <c r="S142" s="79" t="s">
        <v>455</v>
      </c>
      <c r="T142" s="85" t="s">
        <v>504</v>
      </c>
      <c r="U142" s="79"/>
      <c r="V142" s="83" t="str">
        <f>HYPERLINK("https://pbs.twimg.com/profile_images/1190697450228584449/9iO4Mhxr_normal.jpg")</f>
        <v>https://pbs.twimg.com/profile_images/1190697450228584449/9iO4Mhxr_normal.jpg</v>
      </c>
      <c r="W142" s="81">
        <v>44408.840277777781</v>
      </c>
      <c r="X142" s="87">
        <v>44408</v>
      </c>
      <c r="Y142" s="85" t="s">
        <v>670</v>
      </c>
      <c r="Z142" s="83" t="str">
        <f>HYPERLINK("https://twitter.com/jamillimabass/status/1421563819009191942")</f>
        <v>https://twitter.com/jamillimabass/status/1421563819009191942</v>
      </c>
      <c r="AA142" s="79"/>
      <c r="AB142" s="79"/>
      <c r="AC142" s="85" t="s">
        <v>850</v>
      </c>
      <c r="AD142" s="79"/>
      <c r="AE142" s="79" t="b">
        <v>0</v>
      </c>
      <c r="AF142" s="79">
        <v>0</v>
      </c>
      <c r="AG142" s="85" t="s">
        <v>867</v>
      </c>
      <c r="AH142" s="79" t="b">
        <v>0</v>
      </c>
      <c r="AI142" s="79" t="s">
        <v>874</v>
      </c>
      <c r="AJ142" s="79"/>
      <c r="AK142" s="85" t="s">
        <v>867</v>
      </c>
      <c r="AL142" s="79" t="b">
        <v>0</v>
      </c>
      <c r="AM142" s="79">
        <v>0</v>
      </c>
      <c r="AN142" s="85" t="s">
        <v>867</v>
      </c>
      <c r="AO142" s="85" t="s">
        <v>890</v>
      </c>
      <c r="AP142" s="79" t="b">
        <v>0</v>
      </c>
      <c r="AQ142" s="85" t="s">
        <v>850</v>
      </c>
      <c r="AR142" s="79" t="s">
        <v>177</v>
      </c>
      <c r="AS142" s="79">
        <v>0</v>
      </c>
      <c r="AT142" s="79">
        <v>0</v>
      </c>
      <c r="AU142" s="79"/>
      <c r="AV142" s="79"/>
      <c r="AW142" s="79"/>
      <c r="AX142" s="79"/>
      <c r="AY142" s="79"/>
      <c r="AZ142" s="79"/>
      <c r="BA142" s="79"/>
      <c r="BB142" s="79"/>
      <c r="BC142">
        <v>4</v>
      </c>
      <c r="BD142" s="78" t="str">
        <f>REPLACE(INDEX(GroupVertices[Group], MATCH(Edges[[#This Row],[Vertex 1]],GroupVertices[Vertex],0)),1,1,"")</f>
        <v>16</v>
      </c>
      <c r="BE142" s="78" t="str">
        <f>REPLACE(INDEX(GroupVertices[Group], MATCH(Edges[[#This Row],[Vertex 2]],GroupVertices[Vertex],0)),1,1,"")</f>
        <v>16</v>
      </c>
    </row>
    <row r="143" spans="1:57" x14ac:dyDescent="0.25">
      <c r="A143" s="64" t="s">
        <v>285</v>
      </c>
      <c r="B143" s="64" t="s">
        <v>321</v>
      </c>
      <c r="C143" s="65" t="s">
        <v>2099</v>
      </c>
      <c r="D143" s="66">
        <v>4.4000000000000004</v>
      </c>
      <c r="E143" s="67"/>
      <c r="F143" s="68">
        <v>36</v>
      </c>
      <c r="G143" s="65"/>
      <c r="H143" s="69"/>
      <c r="I143" s="70"/>
      <c r="J143" s="70"/>
      <c r="K143" s="35" t="s">
        <v>65</v>
      </c>
      <c r="L143" s="77">
        <v>143</v>
      </c>
      <c r="M14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43" s="72"/>
      <c r="O143" s="79" t="s">
        <v>337</v>
      </c>
      <c r="P143" s="81">
        <v>44406.162118055552</v>
      </c>
      <c r="Q143" s="79" t="s">
        <v>378</v>
      </c>
      <c r="R143" s="79"/>
      <c r="S143" s="79"/>
      <c r="T143" s="85" t="s">
        <v>461</v>
      </c>
      <c r="U143" s="83" t="str">
        <f>HYPERLINK("https://pbs.twimg.com/media/E7a_y_LXIAEIoB-.jpg")</f>
        <v>https://pbs.twimg.com/media/E7a_y_LXIAEIoB-.jpg</v>
      </c>
      <c r="V143" s="83" t="str">
        <f>HYPERLINK("https://pbs.twimg.com/media/E7a_y_LXIAEIoB-.jpg")</f>
        <v>https://pbs.twimg.com/media/E7a_y_LXIAEIoB-.jpg</v>
      </c>
      <c r="W143" s="81">
        <v>44406.162118055552</v>
      </c>
      <c r="X143" s="87">
        <v>44406</v>
      </c>
      <c r="Y143" s="85" t="s">
        <v>599</v>
      </c>
      <c r="Z143" s="83" t="str">
        <f>HYPERLINK("https://twitter.com/edabipi/status/1420593286717321217")</f>
        <v>https://twitter.com/edabipi/status/1420593286717321217</v>
      </c>
      <c r="AA143" s="79"/>
      <c r="AB143" s="79"/>
      <c r="AC143" s="85" t="s">
        <v>779</v>
      </c>
      <c r="AD143" s="79"/>
      <c r="AE143" s="79" t="b">
        <v>0</v>
      </c>
      <c r="AF143" s="79">
        <v>0</v>
      </c>
      <c r="AG143" s="85" t="s">
        <v>867</v>
      </c>
      <c r="AH143" s="79" t="b">
        <v>0</v>
      </c>
      <c r="AI143" s="79" t="s">
        <v>874</v>
      </c>
      <c r="AJ143" s="79"/>
      <c r="AK143" s="85" t="s">
        <v>867</v>
      </c>
      <c r="AL143" s="79" t="b">
        <v>0</v>
      </c>
      <c r="AM143" s="79">
        <v>1</v>
      </c>
      <c r="AN143" s="85" t="s">
        <v>798</v>
      </c>
      <c r="AO143" s="85" t="s">
        <v>883</v>
      </c>
      <c r="AP143" s="79" t="b">
        <v>0</v>
      </c>
      <c r="AQ143" s="85" t="s">
        <v>798</v>
      </c>
      <c r="AR143" s="79" t="s">
        <v>177</v>
      </c>
      <c r="AS143" s="79">
        <v>0</v>
      </c>
      <c r="AT143" s="79">
        <v>0</v>
      </c>
      <c r="AU143" s="79"/>
      <c r="AV143" s="79"/>
      <c r="AW143" s="79"/>
      <c r="AX143" s="79"/>
      <c r="AY143" s="79"/>
      <c r="AZ143" s="79"/>
      <c r="BA143" s="79"/>
      <c r="BB143" s="79"/>
      <c r="BC143">
        <v>3</v>
      </c>
      <c r="BD143" s="78" t="str">
        <f>REPLACE(INDEX(GroupVertices[Group], MATCH(Edges[[#This Row],[Vertex 1]],GroupVertices[Vertex],0)),1,1,"")</f>
        <v>3</v>
      </c>
      <c r="BE143" s="78" t="str">
        <f>REPLACE(INDEX(GroupVertices[Group], MATCH(Edges[[#This Row],[Vertex 2]],GroupVertices[Vertex],0)),1,1,"")</f>
        <v>3</v>
      </c>
    </row>
    <row r="144" spans="1:57" x14ac:dyDescent="0.25">
      <c r="A144" s="64" t="s">
        <v>285</v>
      </c>
      <c r="B144" s="64" t="s">
        <v>321</v>
      </c>
      <c r="C144" s="65" t="s">
        <v>2099</v>
      </c>
      <c r="D144" s="66">
        <v>4.4000000000000004</v>
      </c>
      <c r="E144" s="67"/>
      <c r="F144" s="68">
        <v>36</v>
      </c>
      <c r="G144" s="65"/>
      <c r="H144" s="69"/>
      <c r="I144" s="70"/>
      <c r="J144" s="70"/>
      <c r="K144" s="35" t="s">
        <v>65</v>
      </c>
      <c r="L144" s="77">
        <v>144</v>
      </c>
      <c r="M14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44" s="72"/>
      <c r="O144" s="79" t="s">
        <v>337</v>
      </c>
      <c r="P144" s="81">
        <v>44406.162175925929</v>
      </c>
      <c r="Q144" s="79" t="s">
        <v>379</v>
      </c>
      <c r="R144" s="79"/>
      <c r="S144" s="79"/>
      <c r="T144" s="85" t="s">
        <v>461</v>
      </c>
      <c r="U144" s="83" t="str">
        <f>HYPERLINK("https://pbs.twimg.com/media/E7a7qL-X0AEub4f.jpg")</f>
        <v>https://pbs.twimg.com/media/E7a7qL-X0AEub4f.jpg</v>
      </c>
      <c r="V144" s="83" t="str">
        <f>HYPERLINK("https://pbs.twimg.com/media/E7a7qL-X0AEub4f.jpg")</f>
        <v>https://pbs.twimg.com/media/E7a7qL-X0AEub4f.jpg</v>
      </c>
      <c r="W144" s="81">
        <v>44406.162175925929</v>
      </c>
      <c r="X144" s="87">
        <v>44406</v>
      </c>
      <c r="Y144" s="85" t="s">
        <v>600</v>
      </c>
      <c r="Z144" s="83" t="str">
        <f>HYPERLINK("https://twitter.com/edabipi/status/1420593306489196551")</f>
        <v>https://twitter.com/edabipi/status/1420593306489196551</v>
      </c>
      <c r="AA144" s="79"/>
      <c r="AB144" s="79"/>
      <c r="AC144" s="85" t="s">
        <v>780</v>
      </c>
      <c r="AD144" s="79"/>
      <c r="AE144" s="79" t="b">
        <v>0</v>
      </c>
      <c r="AF144" s="79">
        <v>0</v>
      </c>
      <c r="AG144" s="85" t="s">
        <v>867</v>
      </c>
      <c r="AH144" s="79" t="b">
        <v>0</v>
      </c>
      <c r="AI144" s="79" t="s">
        <v>874</v>
      </c>
      <c r="AJ144" s="79"/>
      <c r="AK144" s="85" t="s">
        <v>867</v>
      </c>
      <c r="AL144" s="79" t="b">
        <v>0</v>
      </c>
      <c r="AM144" s="79">
        <v>1</v>
      </c>
      <c r="AN144" s="85" t="s">
        <v>793</v>
      </c>
      <c r="AO144" s="85" t="s">
        <v>883</v>
      </c>
      <c r="AP144" s="79" t="b">
        <v>0</v>
      </c>
      <c r="AQ144" s="85" t="s">
        <v>793</v>
      </c>
      <c r="AR144" s="79" t="s">
        <v>177</v>
      </c>
      <c r="AS144" s="79">
        <v>0</v>
      </c>
      <c r="AT144" s="79">
        <v>0</v>
      </c>
      <c r="AU144" s="79"/>
      <c r="AV144" s="79"/>
      <c r="AW144" s="79"/>
      <c r="AX144" s="79"/>
      <c r="AY144" s="79"/>
      <c r="AZ144" s="79"/>
      <c r="BA144" s="79"/>
      <c r="BB144" s="79"/>
      <c r="BC144">
        <v>3</v>
      </c>
      <c r="BD144" s="78" t="str">
        <f>REPLACE(INDEX(GroupVertices[Group], MATCH(Edges[[#This Row],[Vertex 1]],GroupVertices[Vertex],0)),1,1,"")</f>
        <v>3</v>
      </c>
      <c r="BE144" s="78" t="str">
        <f>REPLACE(INDEX(GroupVertices[Group], MATCH(Edges[[#This Row],[Vertex 2]],GroupVertices[Vertex],0)),1,1,"")</f>
        <v>3</v>
      </c>
    </row>
    <row r="145" spans="1:57" x14ac:dyDescent="0.25">
      <c r="A145" s="64" t="s">
        <v>285</v>
      </c>
      <c r="B145" s="64" t="s">
        <v>321</v>
      </c>
      <c r="C145" s="65" t="s">
        <v>2099</v>
      </c>
      <c r="D145" s="66">
        <v>4.4000000000000004</v>
      </c>
      <c r="E145" s="67"/>
      <c r="F145" s="68">
        <v>36</v>
      </c>
      <c r="G145" s="65"/>
      <c r="H145" s="69"/>
      <c r="I145" s="70"/>
      <c r="J145" s="70"/>
      <c r="K145" s="35" t="s">
        <v>65</v>
      </c>
      <c r="L145" s="77">
        <v>145</v>
      </c>
      <c r="M14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45" s="72"/>
      <c r="O145" s="79" t="s">
        <v>337</v>
      </c>
      <c r="P145" s="81">
        <v>44407.72797453704</v>
      </c>
      <c r="Q145" s="79" t="s">
        <v>366</v>
      </c>
      <c r="R145" s="79"/>
      <c r="S145" s="79"/>
      <c r="T145" s="85" t="s">
        <v>461</v>
      </c>
      <c r="U145" s="83" t="str">
        <f>HYPERLINK("https://pbs.twimg.com/media/E7eO9zIVUAEjK-g.jpg")</f>
        <v>https://pbs.twimg.com/media/E7eO9zIVUAEjK-g.jpg</v>
      </c>
      <c r="V145" s="83" t="str">
        <f>HYPERLINK("https://pbs.twimg.com/media/E7eO9zIVUAEjK-g.jpg")</f>
        <v>https://pbs.twimg.com/media/E7eO9zIVUAEjK-g.jpg</v>
      </c>
      <c r="W145" s="81">
        <v>44407.72797453704</v>
      </c>
      <c r="X145" s="87">
        <v>44407</v>
      </c>
      <c r="Y145" s="85" t="s">
        <v>601</v>
      </c>
      <c r="Z145" s="83" t="str">
        <f>HYPERLINK("https://twitter.com/edabipi/status/1421160732494860294")</f>
        <v>https://twitter.com/edabipi/status/1421160732494860294</v>
      </c>
      <c r="AA145" s="79"/>
      <c r="AB145" s="79"/>
      <c r="AC145" s="85" t="s">
        <v>781</v>
      </c>
      <c r="AD145" s="79"/>
      <c r="AE145" s="79" t="b">
        <v>0</v>
      </c>
      <c r="AF145" s="79">
        <v>0</v>
      </c>
      <c r="AG145" s="85" t="s">
        <v>867</v>
      </c>
      <c r="AH145" s="79" t="b">
        <v>0</v>
      </c>
      <c r="AI145" s="79" t="s">
        <v>874</v>
      </c>
      <c r="AJ145" s="79"/>
      <c r="AK145" s="85" t="s">
        <v>867</v>
      </c>
      <c r="AL145" s="79" t="b">
        <v>0</v>
      </c>
      <c r="AM145" s="79">
        <v>4</v>
      </c>
      <c r="AN145" s="85" t="s">
        <v>799</v>
      </c>
      <c r="AO145" s="85" t="s">
        <v>883</v>
      </c>
      <c r="AP145" s="79" t="b">
        <v>0</v>
      </c>
      <c r="AQ145" s="85" t="s">
        <v>799</v>
      </c>
      <c r="AR145" s="79" t="s">
        <v>177</v>
      </c>
      <c r="AS145" s="79">
        <v>0</v>
      </c>
      <c r="AT145" s="79">
        <v>0</v>
      </c>
      <c r="AU145" s="79"/>
      <c r="AV145" s="79"/>
      <c r="AW145" s="79"/>
      <c r="AX145" s="79"/>
      <c r="AY145" s="79"/>
      <c r="AZ145" s="79"/>
      <c r="BA145" s="79"/>
      <c r="BB145" s="79"/>
      <c r="BC145">
        <v>3</v>
      </c>
      <c r="BD145" s="78" t="str">
        <f>REPLACE(INDEX(GroupVertices[Group], MATCH(Edges[[#This Row],[Vertex 1]],GroupVertices[Vertex],0)),1,1,"")</f>
        <v>3</v>
      </c>
      <c r="BE145" s="78" t="str">
        <f>REPLACE(INDEX(GroupVertices[Group], MATCH(Edges[[#This Row],[Vertex 2]],GroupVertices[Vertex],0)),1,1,"")</f>
        <v>3</v>
      </c>
    </row>
    <row r="146" spans="1:57" x14ac:dyDescent="0.25">
      <c r="A146" s="64" t="s">
        <v>285</v>
      </c>
      <c r="B146" s="64" t="s">
        <v>322</v>
      </c>
      <c r="C146" s="65" t="s">
        <v>2099</v>
      </c>
      <c r="D146" s="66">
        <v>4.4000000000000004</v>
      </c>
      <c r="E146" s="67"/>
      <c r="F146" s="68">
        <v>36</v>
      </c>
      <c r="G146" s="65"/>
      <c r="H146" s="69"/>
      <c r="I146" s="70"/>
      <c r="J146" s="70"/>
      <c r="K146" s="35" t="s">
        <v>65</v>
      </c>
      <c r="L146" s="77">
        <v>146</v>
      </c>
      <c r="M14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46" s="72"/>
      <c r="O146" s="79" t="s">
        <v>340</v>
      </c>
      <c r="P146" s="81">
        <v>44406.162118055552</v>
      </c>
      <c r="Q146" s="79" t="s">
        <v>378</v>
      </c>
      <c r="R146" s="79"/>
      <c r="S146" s="79"/>
      <c r="T146" s="85" t="s">
        <v>461</v>
      </c>
      <c r="U146" s="83" t="str">
        <f>HYPERLINK("https://pbs.twimg.com/media/E7a_y_LXIAEIoB-.jpg")</f>
        <v>https://pbs.twimg.com/media/E7a_y_LXIAEIoB-.jpg</v>
      </c>
      <c r="V146" s="83" t="str">
        <f>HYPERLINK("https://pbs.twimg.com/media/E7a_y_LXIAEIoB-.jpg")</f>
        <v>https://pbs.twimg.com/media/E7a_y_LXIAEIoB-.jpg</v>
      </c>
      <c r="W146" s="81">
        <v>44406.162118055552</v>
      </c>
      <c r="X146" s="87">
        <v>44406</v>
      </c>
      <c r="Y146" s="85" t="s">
        <v>599</v>
      </c>
      <c r="Z146" s="83" t="str">
        <f>HYPERLINK("https://twitter.com/edabipi/status/1420593286717321217")</f>
        <v>https://twitter.com/edabipi/status/1420593286717321217</v>
      </c>
      <c r="AA146" s="79"/>
      <c r="AB146" s="79"/>
      <c r="AC146" s="85" t="s">
        <v>779</v>
      </c>
      <c r="AD146" s="79"/>
      <c r="AE146" s="79" t="b">
        <v>0</v>
      </c>
      <c r="AF146" s="79">
        <v>0</v>
      </c>
      <c r="AG146" s="85" t="s">
        <v>867</v>
      </c>
      <c r="AH146" s="79" t="b">
        <v>0</v>
      </c>
      <c r="AI146" s="79" t="s">
        <v>874</v>
      </c>
      <c r="AJ146" s="79"/>
      <c r="AK146" s="85" t="s">
        <v>867</v>
      </c>
      <c r="AL146" s="79" t="b">
        <v>0</v>
      </c>
      <c r="AM146" s="79">
        <v>1</v>
      </c>
      <c r="AN146" s="85" t="s">
        <v>798</v>
      </c>
      <c r="AO146" s="85" t="s">
        <v>883</v>
      </c>
      <c r="AP146" s="79" t="b">
        <v>0</v>
      </c>
      <c r="AQ146" s="85" t="s">
        <v>798</v>
      </c>
      <c r="AR146" s="79" t="s">
        <v>177</v>
      </c>
      <c r="AS146" s="79">
        <v>0</v>
      </c>
      <c r="AT146" s="79">
        <v>0</v>
      </c>
      <c r="AU146" s="79"/>
      <c r="AV146" s="79"/>
      <c r="AW146" s="79"/>
      <c r="AX146" s="79"/>
      <c r="AY146" s="79"/>
      <c r="AZ146" s="79"/>
      <c r="BA146" s="79"/>
      <c r="BB146" s="79"/>
      <c r="BC146">
        <v>3</v>
      </c>
      <c r="BD146" s="78" t="str">
        <f>REPLACE(INDEX(GroupVertices[Group], MATCH(Edges[[#This Row],[Vertex 1]],GroupVertices[Vertex],0)),1,1,"")</f>
        <v>3</v>
      </c>
      <c r="BE146" s="78" t="str">
        <f>REPLACE(INDEX(GroupVertices[Group], MATCH(Edges[[#This Row],[Vertex 2]],GroupVertices[Vertex],0)),1,1,"")</f>
        <v>3</v>
      </c>
    </row>
    <row r="147" spans="1:57" x14ac:dyDescent="0.25">
      <c r="A147" s="64" t="s">
        <v>285</v>
      </c>
      <c r="B147" s="64" t="s">
        <v>322</v>
      </c>
      <c r="C147" s="65" t="s">
        <v>2099</v>
      </c>
      <c r="D147" s="66">
        <v>4.4000000000000004</v>
      </c>
      <c r="E147" s="67"/>
      <c r="F147" s="68">
        <v>36</v>
      </c>
      <c r="G147" s="65"/>
      <c r="H147" s="69"/>
      <c r="I147" s="70"/>
      <c r="J147" s="70"/>
      <c r="K147" s="35" t="s">
        <v>65</v>
      </c>
      <c r="L147" s="77">
        <v>147</v>
      </c>
      <c r="M14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47" s="72"/>
      <c r="O147" s="79" t="s">
        <v>340</v>
      </c>
      <c r="P147" s="81">
        <v>44406.162175925929</v>
      </c>
      <c r="Q147" s="79" t="s">
        <v>379</v>
      </c>
      <c r="R147" s="79"/>
      <c r="S147" s="79"/>
      <c r="T147" s="85" t="s">
        <v>461</v>
      </c>
      <c r="U147" s="83" t="str">
        <f>HYPERLINK("https://pbs.twimg.com/media/E7a7qL-X0AEub4f.jpg")</f>
        <v>https://pbs.twimg.com/media/E7a7qL-X0AEub4f.jpg</v>
      </c>
      <c r="V147" s="83" t="str">
        <f>HYPERLINK("https://pbs.twimg.com/media/E7a7qL-X0AEub4f.jpg")</f>
        <v>https://pbs.twimg.com/media/E7a7qL-X0AEub4f.jpg</v>
      </c>
      <c r="W147" s="81">
        <v>44406.162175925929</v>
      </c>
      <c r="X147" s="87">
        <v>44406</v>
      </c>
      <c r="Y147" s="85" t="s">
        <v>600</v>
      </c>
      <c r="Z147" s="83" t="str">
        <f>HYPERLINK("https://twitter.com/edabipi/status/1420593306489196551")</f>
        <v>https://twitter.com/edabipi/status/1420593306489196551</v>
      </c>
      <c r="AA147" s="79"/>
      <c r="AB147" s="79"/>
      <c r="AC147" s="85" t="s">
        <v>780</v>
      </c>
      <c r="AD147" s="79"/>
      <c r="AE147" s="79" t="b">
        <v>0</v>
      </c>
      <c r="AF147" s="79">
        <v>0</v>
      </c>
      <c r="AG147" s="85" t="s">
        <v>867</v>
      </c>
      <c r="AH147" s="79" t="b">
        <v>0</v>
      </c>
      <c r="AI147" s="79" t="s">
        <v>874</v>
      </c>
      <c r="AJ147" s="79"/>
      <c r="AK147" s="85" t="s">
        <v>867</v>
      </c>
      <c r="AL147" s="79" t="b">
        <v>0</v>
      </c>
      <c r="AM147" s="79">
        <v>1</v>
      </c>
      <c r="AN147" s="85" t="s">
        <v>793</v>
      </c>
      <c r="AO147" s="85" t="s">
        <v>883</v>
      </c>
      <c r="AP147" s="79" t="b">
        <v>0</v>
      </c>
      <c r="AQ147" s="85" t="s">
        <v>793</v>
      </c>
      <c r="AR147" s="79" t="s">
        <v>177</v>
      </c>
      <c r="AS147" s="79">
        <v>0</v>
      </c>
      <c r="AT147" s="79">
        <v>0</v>
      </c>
      <c r="AU147" s="79"/>
      <c r="AV147" s="79"/>
      <c r="AW147" s="79"/>
      <c r="AX147" s="79"/>
      <c r="AY147" s="79"/>
      <c r="AZ147" s="79"/>
      <c r="BA147" s="79"/>
      <c r="BB147" s="79"/>
      <c r="BC147">
        <v>3</v>
      </c>
      <c r="BD147" s="78" t="str">
        <f>REPLACE(INDEX(GroupVertices[Group], MATCH(Edges[[#This Row],[Vertex 1]],GroupVertices[Vertex],0)),1,1,"")</f>
        <v>3</v>
      </c>
      <c r="BE147" s="78" t="str">
        <f>REPLACE(INDEX(GroupVertices[Group], MATCH(Edges[[#This Row],[Vertex 2]],GroupVertices[Vertex],0)),1,1,"")</f>
        <v>3</v>
      </c>
    </row>
    <row r="148" spans="1:57" x14ac:dyDescent="0.25">
      <c r="A148" s="64" t="s">
        <v>285</v>
      </c>
      <c r="B148" s="64" t="s">
        <v>322</v>
      </c>
      <c r="C148" s="65" t="s">
        <v>2099</v>
      </c>
      <c r="D148" s="66">
        <v>4.4000000000000004</v>
      </c>
      <c r="E148" s="67"/>
      <c r="F148" s="68">
        <v>36</v>
      </c>
      <c r="G148" s="65"/>
      <c r="H148" s="69"/>
      <c r="I148" s="70"/>
      <c r="J148" s="70"/>
      <c r="K148" s="35" t="s">
        <v>65</v>
      </c>
      <c r="L148" s="77">
        <v>148</v>
      </c>
      <c r="M14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48" s="72"/>
      <c r="O148" s="79" t="s">
        <v>337</v>
      </c>
      <c r="P148" s="81">
        <v>44407.72797453704</v>
      </c>
      <c r="Q148" s="79" t="s">
        <v>366</v>
      </c>
      <c r="R148" s="79"/>
      <c r="S148" s="79"/>
      <c r="T148" s="85" t="s">
        <v>461</v>
      </c>
      <c r="U148" s="83" t="str">
        <f>HYPERLINK("https://pbs.twimg.com/media/E7eO9zIVUAEjK-g.jpg")</f>
        <v>https://pbs.twimg.com/media/E7eO9zIVUAEjK-g.jpg</v>
      </c>
      <c r="V148" s="83" t="str">
        <f>HYPERLINK("https://pbs.twimg.com/media/E7eO9zIVUAEjK-g.jpg")</f>
        <v>https://pbs.twimg.com/media/E7eO9zIVUAEjK-g.jpg</v>
      </c>
      <c r="W148" s="81">
        <v>44407.72797453704</v>
      </c>
      <c r="X148" s="87">
        <v>44407</v>
      </c>
      <c r="Y148" s="85" t="s">
        <v>601</v>
      </c>
      <c r="Z148" s="83" t="str">
        <f>HYPERLINK("https://twitter.com/edabipi/status/1421160732494860294")</f>
        <v>https://twitter.com/edabipi/status/1421160732494860294</v>
      </c>
      <c r="AA148" s="79"/>
      <c r="AB148" s="79"/>
      <c r="AC148" s="85" t="s">
        <v>781</v>
      </c>
      <c r="AD148" s="79"/>
      <c r="AE148" s="79" t="b">
        <v>0</v>
      </c>
      <c r="AF148" s="79">
        <v>0</v>
      </c>
      <c r="AG148" s="85" t="s">
        <v>867</v>
      </c>
      <c r="AH148" s="79" t="b">
        <v>0</v>
      </c>
      <c r="AI148" s="79" t="s">
        <v>874</v>
      </c>
      <c r="AJ148" s="79"/>
      <c r="AK148" s="85" t="s">
        <v>867</v>
      </c>
      <c r="AL148" s="79" t="b">
        <v>0</v>
      </c>
      <c r="AM148" s="79">
        <v>4</v>
      </c>
      <c r="AN148" s="85" t="s">
        <v>799</v>
      </c>
      <c r="AO148" s="85" t="s">
        <v>883</v>
      </c>
      <c r="AP148" s="79" t="b">
        <v>0</v>
      </c>
      <c r="AQ148" s="85" t="s">
        <v>799</v>
      </c>
      <c r="AR148" s="79" t="s">
        <v>177</v>
      </c>
      <c r="AS148" s="79">
        <v>0</v>
      </c>
      <c r="AT148" s="79">
        <v>0</v>
      </c>
      <c r="AU148" s="79"/>
      <c r="AV148" s="79"/>
      <c r="AW148" s="79"/>
      <c r="AX148" s="79"/>
      <c r="AY148" s="79"/>
      <c r="AZ148" s="79"/>
      <c r="BA148" s="79"/>
      <c r="BB148" s="79"/>
      <c r="BC148">
        <v>3</v>
      </c>
      <c r="BD148" s="78" t="str">
        <f>REPLACE(INDEX(GroupVertices[Group], MATCH(Edges[[#This Row],[Vertex 1]],GroupVertices[Vertex],0)),1,1,"")</f>
        <v>3</v>
      </c>
      <c r="BE148" s="78" t="str">
        <f>REPLACE(INDEX(GroupVertices[Group], MATCH(Edges[[#This Row],[Vertex 2]],GroupVertices[Vertex],0)),1,1,"")</f>
        <v>3</v>
      </c>
    </row>
    <row r="149" spans="1:57" x14ac:dyDescent="0.25">
      <c r="A149" s="64" t="s">
        <v>285</v>
      </c>
      <c r="B149" s="64" t="s">
        <v>320</v>
      </c>
      <c r="C149" s="65" t="s">
        <v>2099</v>
      </c>
      <c r="D149" s="66">
        <v>4.4000000000000004</v>
      </c>
      <c r="E149" s="67"/>
      <c r="F149" s="68">
        <v>36</v>
      </c>
      <c r="G149" s="65"/>
      <c r="H149" s="69"/>
      <c r="I149" s="70"/>
      <c r="J149" s="70"/>
      <c r="K149" s="35" t="s">
        <v>65</v>
      </c>
      <c r="L149" s="77">
        <v>149</v>
      </c>
      <c r="M14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49" s="72"/>
      <c r="O149" s="79" t="s">
        <v>337</v>
      </c>
      <c r="P149" s="81">
        <v>44406.162118055552</v>
      </c>
      <c r="Q149" s="79" t="s">
        <v>378</v>
      </c>
      <c r="R149" s="79"/>
      <c r="S149" s="79"/>
      <c r="T149" s="85" t="s">
        <v>461</v>
      </c>
      <c r="U149" s="83" t="str">
        <f>HYPERLINK("https://pbs.twimg.com/media/E7a_y_LXIAEIoB-.jpg")</f>
        <v>https://pbs.twimg.com/media/E7a_y_LXIAEIoB-.jpg</v>
      </c>
      <c r="V149" s="83" t="str">
        <f>HYPERLINK("https://pbs.twimg.com/media/E7a_y_LXIAEIoB-.jpg")</f>
        <v>https://pbs.twimg.com/media/E7a_y_LXIAEIoB-.jpg</v>
      </c>
      <c r="W149" s="81">
        <v>44406.162118055552</v>
      </c>
      <c r="X149" s="87">
        <v>44406</v>
      </c>
      <c r="Y149" s="85" t="s">
        <v>599</v>
      </c>
      <c r="Z149" s="83" t="str">
        <f>HYPERLINK("https://twitter.com/edabipi/status/1420593286717321217")</f>
        <v>https://twitter.com/edabipi/status/1420593286717321217</v>
      </c>
      <c r="AA149" s="79"/>
      <c r="AB149" s="79"/>
      <c r="AC149" s="85" t="s">
        <v>779</v>
      </c>
      <c r="AD149" s="79"/>
      <c r="AE149" s="79" t="b">
        <v>0</v>
      </c>
      <c r="AF149" s="79">
        <v>0</v>
      </c>
      <c r="AG149" s="85" t="s">
        <v>867</v>
      </c>
      <c r="AH149" s="79" t="b">
        <v>0</v>
      </c>
      <c r="AI149" s="79" t="s">
        <v>874</v>
      </c>
      <c r="AJ149" s="79"/>
      <c r="AK149" s="85" t="s">
        <v>867</v>
      </c>
      <c r="AL149" s="79" t="b">
        <v>0</v>
      </c>
      <c r="AM149" s="79">
        <v>1</v>
      </c>
      <c r="AN149" s="85" t="s">
        <v>798</v>
      </c>
      <c r="AO149" s="85" t="s">
        <v>883</v>
      </c>
      <c r="AP149" s="79" t="b">
        <v>0</v>
      </c>
      <c r="AQ149" s="85" t="s">
        <v>798</v>
      </c>
      <c r="AR149" s="79" t="s">
        <v>177</v>
      </c>
      <c r="AS149" s="79">
        <v>0</v>
      </c>
      <c r="AT149" s="79">
        <v>0</v>
      </c>
      <c r="AU149" s="79"/>
      <c r="AV149" s="79"/>
      <c r="AW149" s="79"/>
      <c r="AX149" s="79"/>
      <c r="AY149" s="79"/>
      <c r="AZ149" s="79"/>
      <c r="BA149" s="79"/>
      <c r="BB149" s="79"/>
      <c r="BC149">
        <v>3</v>
      </c>
      <c r="BD149" s="78" t="str">
        <f>REPLACE(INDEX(GroupVertices[Group], MATCH(Edges[[#This Row],[Vertex 1]],GroupVertices[Vertex],0)),1,1,"")</f>
        <v>3</v>
      </c>
      <c r="BE149" s="78" t="str">
        <f>REPLACE(INDEX(GroupVertices[Group], MATCH(Edges[[#This Row],[Vertex 2]],GroupVertices[Vertex],0)),1,1,"")</f>
        <v>3</v>
      </c>
    </row>
    <row r="150" spans="1:57" x14ac:dyDescent="0.25">
      <c r="A150" s="64" t="s">
        <v>285</v>
      </c>
      <c r="B150" s="64" t="s">
        <v>320</v>
      </c>
      <c r="C150" s="65" t="s">
        <v>2099</v>
      </c>
      <c r="D150" s="66">
        <v>4.4000000000000004</v>
      </c>
      <c r="E150" s="67"/>
      <c r="F150" s="68">
        <v>36</v>
      </c>
      <c r="G150" s="65"/>
      <c r="H150" s="69"/>
      <c r="I150" s="70"/>
      <c r="J150" s="70"/>
      <c r="K150" s="35" t="s">
        <v>65</v>
      </c>
      <c r="L150" s="77">
        <v>150</v>
      </c>
      <c r="M15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50" s="72"/>
      <c r="O150" s="79" t="s">
        <v>337</v>
      </c>
      <c r="P150" s="81">
        <v>44406.162175925929</v>
      </c>
      <c r="Q150" s="79" t="s">
        <v>379</v>
      </c>
      <c r="R150" s="79"/>
      <c r="S150" s="79"/>
      <c r="T150" s="85" t="s">
        <v>461</v>
      </c>
      <c r="U150" s="83" t="str">
        <f>HYPERLINK("https://pbs.twimg.com/media/E7a7qL-X0AEub4f.jpg")</f>
        <v>https://pbs.twimg.com/media/E7a7qL-X0AEub4f.jpg</v>
      </c>
      <c r="V150" s="83" t="str">
        <f>HYPERLINK("https://pbs.twimg.com/media/E7a7qL-X0AEub4f.jpg")</f>
        <v>https://pbs.twimg.com/media/E7a7qL-X0AEub4f.jpg</v>
      </c>
      <c r="W150" s="81">
        <v>44406.162175925929</v>
      </c>
      <c r="X150" s="87">
        <v>44406</v>
      </c>
      <c r="Y150" s="85" t="s">
        <v>600</v>
      </c>
      <c r="Z150" s="83" t="str">
        <f>HYPERLINK("https://twitter.com/edabipi/status/1420593306489196551")</f>
        <v>https://twitter.com/edabipi/status/1420593306489196551</v>
      </c>
      <c r="AA150" s="79"/>
      <c r="AB150" s="79"/>
      <c r="AC150" s="85" t="s">
        <v>780</v>
      </c>
      <c r="AD150" s="79"/>
      <c r="AE150" s="79" t="b">
        <v>0</v>
      </c>
      <c r="AF150" s="79">
        <v>0</v>
      </c>
      <c r="AG150" s="85" t="s">
        <v>867</v>
      </c>
      <c r="AH150" s="79" t="b">
        <v>0</v>
      </c>
      <c r="AI150" s="79" t="s">
        <v>874</v>
      </c>
      <c r="AJ150" s="79"/>
      <c r="AK150" s="85" t="s">
        <v>867</v>
      </c>
      <c r="AL150" s="79" t="b">
        <v>0</v>
      </c>
      <c r="AM150" s="79">
        <v>1</v>
      </c>
      <c r="AN150" s="85" t="s">
        <v>793</v>
      </c>
      <c r="AO150" s="85" t="s">
        <v>883</v>
      </c>
      <c r="AP150" s="79" t="b">
        <v>0</v>
      </c>
      <c r="AQ150" s="85" t="s">
        <v>793</v>
      </c>
      <c r="AR150" s="79" t="s">
        <v>177</v>
      </c>
      <c r="AS150" s="79">
        <v>0</v>
      </c>
      <c r="AT150" s="79">
        <v>0</v>
      </c>
      <c r="AU150" s="79"/>
      <c r="AV150" s="79"/>
      <c r="AW150" s="79"/>
      <c r="AX150" s="79"/>
      <c r="AY150" s="79"/>
      <c r="AZ150" s="79"/>
      <c r="BA150" s="79"/>
      <c r="BB150" s="79"/>
      <c r="BC150">
        <v>3</v>
      </c>
      <c r="BD150" s="78" t="str">
        <f>REPLACE(INDEX(GroupVertices[Group], MATCH(Edges[[#This Row],[Vertex 1]],GroupVertices[Vertex],0)),1,1,"")</f>
        <v>3</v>
      </c>
      <c r="BE150" s="78" t="str">
        <f>REPLACE(INDEX(GroupVertices[Group], MATCH(Edges[[#This Row],[Vertex 2]],GroupVertices[Vertex],0)),1,1,"")</f>
        <v>3</v>
      </c>
    </row>
    <row r="151" spans="1:57" x14ac:dyDescent="0.25">
      <c r="A151" s="64" t="s">
        <v>267</v>
      </c>
      <c r="B151" s="64" t="s">
        <v>320</v>
      </c>
      <c r="C151" s="65" t="s">
        <v>2099</v>
      </c>
      <c r="D151" s="66">
        <v>4.4000000000000004</v>
      </c>
      <c r="E151" s="67"/>
      <c r="F151" s="68">
        <v>36</v>
      </c>
      <c r="G151" s="65"/>
      <c r="H151" s="69"/>
      <c r="I151" s="70"/>
      <c r="J151" s="70"/>
      <c r="K151" s="35" t="s">
        <v>65</v>
      </c>
      <c r="L151" s="77">
        <v>151</v>
      </c>
      <c r="M15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51" s="72"/>
      <c r="O151" s="79" t="s">
        <v>337</v>
      </c>
      <c r="P151" s="81">
        <v>44406.628321759257</v>
      </c>
      <c r="Q151" s="79" t="s">
        <v>371</v>
      </c>
      <c r="R151" s="83" t="str">
        <f>HYPERLINK("https://youtube.com/shorts/qku6RAs")</f>
        <v>https://youtube.com/shorts/qku6RAs</v>
      </c>
      <c r="S151" s="79" t="s">
        <v>450</v>
      </c>
      <c r="T151" s="85" t="s">
        <v>478</v>
      </c>
      <c r="U151" s="79"/>
      <c r="V151" s="83" t="str">
        <f>HYPERLINK("https://pbs.twimg.com/profile_images/1398299805156360194/2uVusLCs_normal.jpg")</f>
        <v>https://pbs.twimg.com/profile_images/1398299805156360194/2uVusLCs_normal.jpg</v>
      </c>
      <c r="W151" s="81">
        <v>44406.628321759257</v>
      </c>
      <c r="X151" s="87">
        <v>44406</v>
      </c>
      <c r="Y151" s="85" t="s">
        <v>573</v>
      </c>
      <c r="Z151" s="83" t="str">
        <f>HYPERLINK("https://twitter.com/ms_tabu/status/1420762232816914432")</f>
        <v>https://twitter.com/ms_tabu/status/1420762232816914432</v>
      </c>
      <c r="AA151" s="79"/>
      <c r="AB151" s="79"/>
      <c r="AC151" s="85" t="s">
        <v>752</v>
      </c>
      <c r="AD151" s="79"/>
      <c r="AE151" s="79" t="b">
        <v>0</v>
      </c>
      <c r="AF151" s="79">
        <v>0</v>
      </c>
      <c r="AG151" s="85" t="s">
        <v>867</v>
      </c>
      <c r="AH151" s="79" t="b">
        <v>0</v>
      </c>
      <c r="AI151" s="79" t="s">
        <v>874</v>
      </c>
      <c r="AJ151" s="79"/>
      <c r="AK151" s="85" t="s">
        <v>867</v>
      </c>
      <c r="AL151" s="79" t="b">
        <v>0</v>
      </c>
      <c r="AM151" s="79">
        <v>3</v>
      </c>
      <c r="AN151" s="85" t="s">
        <v>790</v>
      </c>
      <c r="AO151" s="85" t="s">
        <v>887</v>
      </c>
      <c r="AP151" s="79" t="b">
        <v>0</v>
      </c>
      <c r="AQ151" s="85" t="s">
        <v>790</v>
      </c>
      <c r="AR151" s="79" t="s">
        <v>177</v>
      </c>
      <c r="AS151" s="79">
        <v>0</v>
      </c>
      <c r="AT151" s="79">
        <v>0</v>
      </c>
      <c r="AU151" s="79"/>
      <c r="AV151" s="79"/>
      <c r="AW151" s="79"/>
      <c r="AX151" s="79"/>
      <c r="AY151" s="79"/>
      <c r="AZ151" s="79"/>
      <c r="BA151" s="79"/>
      <c r="BB151" s="79"/>
      <c r="BC151">
        <v>3</v>
      </c>
      <c r="BD151" s="78" t="str">
        <f>REPLACE(INDEX(GroupVertices[Group], MATCH(Edges[[#This Row],[Vertex 1]],GroupVertices[Vertex],0)),1,1,"")</f>
        <v>3</v>
      </c>
      <c r="BE151" s="78" t="str">
        <f>REPLACE(INDEX(GroupVertices[Group], MATCH(Edges[[#This Row],[Vertex 2]],GroupVertices[Vertex],0)),1,1,"")</f>
        <v>3</v>
      </c>
    </row>
    <row r="152" spans="1:57" x14ac:dyDescent="0.25">
      <c r="A152" s="64" t="s">
        <v>267</v>
      </c>
      <c r="B152" s="64" t="s">
        <v>320</v>
      </c>
      <c r="C152" s="65" t="s">
        <v>2099</v>
      </c>
      <c r="D152" s="66">
        <v>4.4000000000000004</v>
      </c>
      <c r="E152" s="67"/>
      <c r="F152" s="68">
        <v>36</v>
      </c>
      <c r="G152" s="65"/>
      <c r="H152" s="69"/>
      <c r="I152" s="70"/>
      <c r="J152" s="70"/>
      <c r="K152" s="35" t="s">
        <v>65</v>
      </c>
      <c r="L152" s="77">
        <v>152</v>
      </c>
      <c r="M15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52" s="72"/>
      <c r="O152" s="79" t="s">
        <v>337</v>
      </c>
      <c r="P152" s="81">
        <v>44406.628391203703</v>
      </c>
      <c r="Q152" s="79" t="s">
        <v>367</v>
      </c>
      <c r="R152" s="83" t="str">
        <f>HYPERLINK("https://www.youtube.com/shorts/qku6RAs0B3k?feature=share")</f>
        <v>https://www.youtube.com/shorts/qku6RAs0B3k?feature=share</v>
      </c>
      <c r="S152" s="79" t="s">
        <v>450</v>
      </c>
      <c r="T152" s="85" t="s">
        <v>478</v>
      </c>
      <c r="U152" s="83" t="str">
        <f>HYPERLINK("https://pbs.twimg.com/media/E7T3xyJWQAYfYP3.jpg")</f>
        <v>https://pbs.twimg.com/media/E7T3xyJWQAYfYP3.jpg</v>
      </c>
      <c r="V152" s="83" t="str">
        <f>HYPERLINK("https://pbs.twimg.com/media/E7T3xyJWQAYfYP3.jpg")</f>
        <v>https://pbs.twimg.com/media/E7T3xyJWQAYfYP3.jpg</v>
      </c>
      <c r="W152" s="81">
        <v>44406.628391203703</v>
      </c>
      <c r="X152" s="87">
        <v>44406</v>
      </c>
      <c r="Y152" s="85" t="s">
        <v>574</v>
      </c>
      <c r="Z152" s="83" t="str">
        <f>HYPERLINK("https://twitter.com/ms_tabu/status/1420762259693973506")</f>
        <v>https://twitter.com/ms_tabu/status/1420762259693973506</v>
      </c>
      <c r="AA152" s="79"/>
      <c r="AB152" s="79"/>
      <c r="AC152" s="85" t="s">
        <v>753</v>
      </c>
      <c r="AD152" s="79"/>
      <c r="AE152" s="79" t="b">
        <v>0</v>
      </c>
      <c r="AF152" s="79">
        <v>0</v>
      </c>
      <c r="AG152" s="85" t="s">
        <v>867</v>
      </c>
      <c r="AH152" s="79" t="b">
        <v>0</v>
      </c>
      <c r="AI152" s="79" t="s">
        <v>874</v>
      </c>
      <c r="AJ152" s="79"/>
      <c r="AK152" s="85" t="s">
        <v>867</v>
      </c>
      <c r="AL152" s="79" t="b">
        <v>0</v>
      </c>
      <c r="AM152" s="79">
        <v>3</v>
      </c>
      <c r="AN152" s="85" t="s">
        <v>789</v>
      </c>
      <c r="AO152" s="85" t="s">
        <v>887</v>
      </c>
      <c r="AP152" s="79" t="b">
        <v>0</v>
      </c>
      <c r="AQ152" s="85" t="s">
        <v>789</v>
      </c>
      <c r="AR152" s="79" t="s">
        <v>177</v>
      </c>
      <c r="AS152" s="79">
        <v>0</v>
      </c>
      <c r="AT152" s="79">
        <v>0</v>
      </c>
      <c r="AU152" s="79"/>
      <c r="AV152" s="79"/>
      <c r="AW152" s="79"/>
      <c r="AX152" s="79"/>
      <c r="AY152" s="79"/>
      <c r="AZ152" s="79"/>
      <c r="BA152" s="79"/>
      <c r="BB152" s="79"/>
      <c r="BC152">
        <v>3</v>
      </c>
      <c r="BD152" s="78" t="str">
        <f>REPLACE(INDEX(GroupVertices[Group], MATCH(Edges[[#This Row],[Vertex 1]],GroupVertices[Vertex],0)),1,1,"")</f>
        <v>3</v>
      </c>
      <c r="BE152" s="78" t="str">
        <f>REPLACE(INDEX(GroupVertices[Group], MATCH(Edges[[#This Row],[Vertex 2]],GroupVertices[Vertex],0)),1,1,"")</f>
        <v>3</v>
      </c>
    </row>
    <row r="153" spans="1:57" x14ac:dyDescent="0.25">
      <c r="A153" s="64" t="s">
        <v>267</v>
      </c>
      <c r="B153" s="64" t="s">
        <v>320</v>
      </c>
      <c r="C153" s="65" t="s">
        <v>2099</v>
      </c>
      <c r="D153" s="66">
        <v>4.4000000000000004</v>
      </c>
      <c r="E153" s="67"/>
      <c r="F153" s="68">
        <v>36</v>
      </c>
      <c r="G153" s="65"/>
      <c r="H153" s="69"/>
      <c r="I153" s="70"/>
      <c r="J153" s="70"/>
      <c r="K153" s="35" t="s">
        <v>65</v>
      </c>
      <c r="L153" s="77">
        <v>153</v>
      </c>
      <c r="M15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53" s="72"/>
      <c r="O153" s="79" t="s">
        <v>337</v>
      </c>
      <c r="P153" s="81">
        <v>44406.638159722221</v>
      </c>
      <c r="Q153" s="79" t="s">
        <v>366</v>
      </c>
      <c r="R153" s="79"/>
      <c r="S153" s="79"/>
      <c r="T153" s="85" t="s">
        <v>461</v>
      </c>
      <c r="U153" s="83" t="str">
        <f>HYPERLINK("https://pbs.twimg.com/media/E7eO9zIVUAEjK-g.jpg")</f>
        <v>https://pbs.twimg.com/media/E7eO9zIVUAEjK-g.jpg</v>
      </c>
      <c r="V153" s="83" t="str">
        <f>HYPERLINK("https://pbs.twimg.com/media/E7eO9zIVUAEjK-g.jpg")</f>
        <v>https://pbs.twimg.com/media/E7eO9zIVUAEjK-g.jpg</v>
      </c>
      <c r="W153" s="81">
        <v>44406.638159722221</v>
      </c>
      <c r="X153" s="87">
        <v>44406</v>
      </c>
      <c r="Y153" s="85" t="s">
        <v>578</v>
      </c>
      <c r="Z153" s="83" t="str">
        <f>HYPERLINK("https://twitter.com/ms_tabu/status/1420765797316714501")</f>
        <v>https://twitter.com/ms_tabu/status/1420765797316714501</v>
      </c>
      <c r="AA153" s="79"/>
      <c r="AB153" s="79"/>
      <c r="AC153" s="85" t="s">
        <v>757</v>
      </c>
      <c r="AD153" s="79"/>
      <c r="AE153" s="79" t="b">
        <v>0</v>
      </c>
      <c r="AF153" s="79">
        <v>0</v>
      </c>
      <c r="AG153" s="85" t="s">
        <v>867</v>
      </c>
      <c r="AH153" s="79" t="b">
        <v>0</v>
      </c>
      <c r="AI153" s="79" t="s">
        <v>874</v>
      </c>
      <c r="AJ153" s="79"/>
      <c r="AK153" s="85" t="s">
        <v>867</v>
      </c>
      <c r="AL153" s="79" t="b">
        <v>0</v>
      </c>
      <c r="AM153" s="79">
        <v>4</v>
      </c>
      <c r="AN153" s="85" t="s">
        <v>799</v>
      </c>
      <c r="AO153" s="85" t="s">
        <v>887</v>
      </c>
      <c r="AP153" s="79" t="b">
        <v>0</v>
      </c>
      <c r="AQ153" s="85" t="s">
        <v>799</v>
      </c>
      <c r="AR153" s="79" t="s">
        <v>177</v>
      </c>
      <c r="AS153" s="79">
        <v>0</v>
      </c>
      <c r="AT153" s="79">
        <v>0</v>
      </c>
      <c r="AU153" s="79"/>
      <c r="AV153" s="79"/>
      <c r="AW153" s="79"/>
      <c r="AX153" s="79"/>
      <c r="AY153" s="79"/>
      <c r="AZ153" s="79"/>
      <c r="BA153" s="79"/>
      <c r="BB153" s="79"/>
      <c r="BC153">
        <v>3</v>
      </c>
      <c r="BD153" s="78" t="str">
        <f>REPLACE(INDEX(GroupVertices[Group], MATCH(Edges[[#This Row],[Vertex 1]],GroupVertices[Vertex],0)),1,1,"")</f>
        <v>3</v>
      </c>
      <c r="BE153" s="78" t="str">
        <f>REPLACE(INDEX(GroupVertices[Group], MATCH(Edges[[#This Row],[Vertex 2]],GroupVertices[Vertex],0)),1,1,"")</f>
        <v>3</v>
      </c>
    </row>
    <row r="154" spans="1:57" x14ac:dyDescent="0.25">
      <c r="A154" s="64" t="s">
        <v>285</v>
      </c>
      <c r="B154" s="64" t="s">
        <v>320</v>
      </c>
      <c r="C154" s="65" t="s">
        <v>2099</v>
      </c>
      <c r="D154" s="66">
        <v>4.4000000000000004</v>
      </c>
      <c r="E154" s="67"/>
      <c r="F154" s="68">
        <v>36</v>
      </c>
      <c r="G154" s="65"/>
      <c r="H154" s="69"/>
      <c r="I154" s="70"/>
      <c r="J154" s="70"/>
      <c r="K154" s="35" t="s">
        <v>65</v>
      </c>
      <c r="L154" s="77">
        <v>154</v>
      </c>
      <c r="M15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54" s="72"/>
      <c r="O154" s="79" t="s">
        <v>337</v>
      </c>
      <c r="P154" s="81">
        <v>44407.72797453704</v>
      </c>
      <c r="Q154" s="79" t="s">
        <v>366</v>
      </c>
      <c r="R154" s="79"/>
      <c r="S154" s="79"/>
      <c r="T154" s="85" t="s">
        <v>461</v>
      </c>
      <c r="U154" s="83" t="str">
        <f>HYPERLINK("https://pbs.twimg.com/media/E7eO9zIVUAEjK-g.jpg")</f>
        <v>https://pbs.twimg.com/media/E7eO9zIVUAEjK-g.jpg</v>
      </c>
      <c r="V154" s="83" t="str">
        <f>HYPERLINK("https://pbs.twimg.com/media/E7eO9zIVUAEjK-g.jpg")</f>
        <v>https://pbs.twimg.com/media/E7eO9zIVUAEjK-g.jpg</v>
      </c>
      <c r="W154" s="81">
        <v>44407.72797453704</v>
      </c>
      <c r="X154" s="87">
        <v>44407</v>
      </c>
      <c r="Y154" s="85" t="s">
        <v>601</v>
      </c>
      <c r="Z154" s="83" t="str">
        <f>HYPERLINK("https://twitter.com/edabipi/status/1421160732494860294")</f>
        <v>https://twitter.com/edabipi/status/1421160732494860294</v>
      </c>
      <c r="AA154" s="79"/>
      <c r="AB154" s="79"/>
      <c r="AC154" s="85" t="s">
        <v>781</v>
      </c>
      <c r="AD154" s="79"/>
      <c r="AE154" s="79" t="b">
        <v>0</v>
      </c>
      <c r="AF154" s="79">
        <v>0</v>
      </c>
      <c r="AG154" s="85" t="s">
        <v>867</v>
      </c>
      <c r="AH154" s="79" t="b">
        <v>0</v>
      </c>
      <c r="AI154" s="79" t="s">
        <v>874</v>
      </c>
      <c r="AJ154" s="79"/>
      <c r="AK154" s="85" t="s">
        <v>867</v>
      </c>
      <c r="AL154" s="79" t="b">
        <v>0</v>
      </c>
      <c r="AM154" s="79">
        <v>4</v>
      </c>
      <c r="AN154" s="85" t="s">
        <v>799</v>
      </c>
      <c r="AO154" s="85" t="s">
        <v>883</v>
      </c>
      <c r="AP154" s="79" t="b">
        <v>0</v>
      </c>
      <c r="AQ154" s="85" t="s">
        <v>799</v>
      </c>
      <c r="AR154" s="79" t="s">
        <v>177</v>
      </c>
      <c r="AS154" s="79">
        <v>0</v>
      </c>
      <c r="AT154" s="79">
        <v>0</v>
      </c>
      <c r="AU154" s="79"/>
      <c r="AV154" s="79"/>
      <c r="AW154" s="79"/>
      <c r="AX154" s="79"/>
      <c r="AY154" s="79"/>
      <c r="AZ154" s="79"/>
      <c r="BA154" s="79"/>
      <c r="BB154" s="79"/>
      <c r="BC154">
        <v>3</v>
      </c>
      <c r="BD154" s="78" t="str">
        <f>REPLACE(INDEX(GroupVertices[Group], MATCH(Edges[[#This Row],[Vertex 1]],GroupVertices[Vertex],0)),1,1,"")</f>
        <v>3</v>
      </c>
      <c r="BE154" s="78" t="str">
        <f>REPLACE(INDEX(GroupVertices[Group], MATCH(Edges[[#This Row],[Vertex 2]],GroupVertices[Vertex],0)),1,1,"")</f>
        <v>3</v>
      </c>
    </row>
    <row r="155" spans="1:57" x14ac:dyDescent="0.25">
      <c r="A155" s="64" t="s">
        <v>289</v>
      </c>
      <c r="B155" s="64" t="s">
        <v>323</v>
      </c>
      <c r="C155" s="65" t="s">
        <v>2100</v>
      </c>
      <c r="D155" s="66">
        <v>3.7</v>
      </c>
      <c r="E155" s="67"/>
      <c r="F155" s="68">
        <v>38</v>
      </c>
      <c r="G155" s="65"/>
      <c r="H155" s="69"/>
      <c r="I155" s="70"/>
      <c r="J155" s="70"/>
      <c r="K155" s="35" t="s">
        <v>65</v>
      </c>
      <c r="L155" s="77">
        <v>155</v>
      </c>
      <c r="M15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55" s="72"/>
      <c r="O155" s="79" t="s">
        <v>339</v>
      </c>
      <c r="P155" s="81">
        <v>44404.613877314812</v>
      </c>
      <c r="Q155" s="79" t="s">
        <v>367</v>
      </c>
      <c r="R155" s="83" t="str">
        <f>HYPERLINK("https://www.youtube.com/shorts/qku6RAs0B3k?feature=share")</f>
        <v>https://www.youtube.com/shorts/qku6RAs0B3k?feature=share</v>
      </c>
      <c r="S155" s="79" t="s">
        <v>450</v>
      </c>
      <c r="T155" s="85" t="s">
        <v>478</v>
      </c>
      <c r="U155" s="83" t="str">
        <f>HYPERLINK("https://pbs.twimg.com/media/E7T3xyJWQAYfYP3.jpg")</f>
        <v>https://pbs.twimg.com/media/E7T3xyJWQAYfYP3.jpg</v>
      </c>
      <c r="V155" s="83" t="str">
        <f>HYPERLINK("https://pbs.twimg.com/media/E7T3xyJWQAYfYP3.jpg")</f>
        <v>https://pbs.twimg.com/media/E7T3xyJWQAYfYP3.jpg</v>
      </c>
      <c r="W155" s="81">
        <v>44404.613877314812</v>
      </c>
      <c r="X155" s="87">
        <v>44404</v>
      </c>
      <c r="Y155" s="85" t="s">
        <v>609</v>
      </c>
      <c r="Z155" s="83" t="str">
        <f>HYPERLINK("https://twitter.com/ucatonsville/status/1420032222283898895")</f>
        <v>https://twitter.com/ucatonsville/status/1420032222283898895</v>
      </c>
      <c r="AA155" s="79"/>
      <c r="AB155" s="79"/>
      <c r="AC155" s="85" t="s">
        <v>789</v>
      </c>
      <c r="AD155" s="79"/>
      <c r="AE155" s="79" t="b">
        <v>0</v>
      </c>
      <c r="AF155" s="79">
        <v>4</v>
      </c>
      <c r="AG155" s="85" t="s">
        <v>867</v>
      </c>
      <c r="AH155" s="79" t="b">
        <v>0</v>
      </c>
      <c r="AI155" s="79" t="s">
        <v>874</v>
      </c>
      <c r="AJ155" s="79"/>
      <c r="AK155" s="85" t="s">
        <v>867</v>
      </c>
      <c r="AL155" s="79" t="b">
        <v>0</v>
      </c>
      <c r="AM155" s="79">
        <v>3</v>
      </c>
      <c r="AN155" s="85" t="s">
        <v>867</v>
      </c>
      <c r="AO155" s="85" t="s">
        <v>883</v>
      </c>
      <c r="AP155" s="79" t="b">
        <v>0</v>
      </c>
      <c r="AQ155" s="85" t="s">
        <v>789</v>
      </c>
      <c r="AR155" s="79" t="s">
        <v>177</v>
      </c>
      <c r="AS155" s="79">
        <v>0</v>
      </c>
      <c r="AT155" s="79">
        <v>0</v>
      </c>
      <c r="AU155" s="79" t="s">
        <v>892</v>
      </c>
      <c r="AV155" s="79" t="s">
        <v>902</v>
      </c>
      <c r="AW155" s="79" t="s">
        <v>903</v>
      </c>
      <c r="AX155" s="79" t="s">
        <v>905</v>
      </c>
      <c r="AY155" s="79" t="s">
        <v>915</v>
      </c>
      <c r="AZ155" s="79" t="s">
        <v>905</v>
      </c>
      <c r="BA155" s="79" t="s">
        <v>931</v>
      </c>
      <c r="BB155" s="83" t="str">
        <f>HYPERLINK("https://api.twitter.com/1.1/geo/id/07d9ccb5d1086000.json")</f>
        <v>https://api.twitter.com/1.1/geo/id/07d9ccb5d1086000.json</v>
      </c>
      <c r="BC155">
        <v>2</v>
      </c>
      <c r="BD155" s="78" t="str">
        <f>REPLACE(INDEX(GroupVertices[Group], MATCH(Edges[[#This Row],[Vertex 1]],GroupVertices[Vertex],0)),1,1,"")</f>
        <v>3</v>
      </c>
      <c r="BE155" s="78" t="str">
        <f>REPLACE(INDEX(GroupVertices[Group], MATCH(Edges[[#This Row],[Vertex 2]],GroupVertices[Vertex],0)),1,1,"")</f>
        <v>3</v>
      </c>
    </row>
    <row r="156" spans="1:57" x14ac:dyDescent="0.25">
      <c r="A156" s="64" t="s">
        <v>289</v>
      </c>
      <c r="B156" s="64" t="s">
        <v>323</v>
      </c>
      <c r="C156" s="65" t="s">
        <v>2100</v>
      </c>
      <c r="D156" s="66">
        <v>3.7</v>
      </c>
      <c r="E156" s="67"/>
      <c r="F156" s="68">
        <v>38</v>
      </c>
      <c r="G156" s="65"/>
      <c r="H156" s="69"/>
      <c r="I156" s="70"/>
      <c r="J156" s="70"/>
      <c r="K156" s="35" t="s">
        <v>65</v>
      </c>
      <c r="L156" s="77">
        <v>156</v>
      </c>
      <c r="M15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56" s="72"/>
      <c r="O156" s="79" t="s">
        <v>339</v>
      </c>
      <c r="P156" s="81">
        <v>44404.614560185182</v>
      </c>
      <c r="Q156" s="79" t="s">
        <v>371</v>
      </c>
      <c r="R156" s="83" t="str">
        <f>HYPERLINK("https://youtube.com/shorts/qku6RAs")</f>
        <v>https://youtube.com/shorts/qku6RAs</v>
      </c>
      <c r="S156" s="79" t="s">
        <v>450</v>
      </c>
      <c r="T156" s="85" t="s">
        <v>478</v>
      </c>
      <c r="U156" s="79"/>
      <c r="V156" s="83" t="str">
        <f>HYPERLINK("https://pbs.twimg.com/profile_images/1280188684483076097/hDD1guXX_normal.jpg")</f>
        <v>https://pbs.twimg.com/profile_images/1280188684483076097/hDD1guXX_normal.jpg</v>
      </c>
      <c r="W156" s="81">
        <v>44404.614560185182</v>
      </c>
      <c r="X156" s="87">
        <v>44404</v>
      </c>
      <c r="Y156" s="85" t="s">
        <v>610</v>
      </c>
      <c r="Z156" s="83" t="str">
        <f>HYPERLINK("https://twitter.com/ucatonsville/status/1420032469043134480")</f>
        <v>https://twitter.com/ucatonsville/status/1420032469043134480</v>
      </c>
      <c r="AA156" s="79"/>
      <c r="AB156" s="79"/>
      <c r="AC156" s="85" t="s">
        <v>790</v>
      </c>
      <c r="AD156" s="79"/>
      <c r="AE156" s="79" t="b">
        <v>0</v>
      </c>
      <c r="AF156" s="79">
        <v>5</v>
      </c>
      <c r="AG156" s="85" t="s">
        <v>867</v>
      </c>
      <c r="AH156" s="79" t="b">
        <v>0</v>
      </c>
      <c r="AI156" s="79" t="s">
        <v>874</v>
      </c>
      <c r="AJ156" s="79"/>
      <c r="AK156" s="85" t="s">
        <v>867</v>
      </c>
      <c r="AL156" s="79" t="b">
        <v>0</v>
      </c>
      <c r="AM156" s="79">
        <v>3</v>
      </c>
      <c r="AN156" s="85" t="s">
        <v>867</v>
      </c>
      <c r="AO156" s="85" t="s">
        <v>883</v>
      </c>
      <c r="AP156" s="79" t="b">
        <v>0</v>
      </c>
      <c r="AQ156" s="85" t="s">
        <v>790</v>
      </c>
      <c r="AR156" s="79" t="s">
        <v>177</v>
      </c>
      <c r="AS156" s="79">
        <v>0</v>
      </c>
      <c r="AT156" s="79">
        <v>0</v>
      </c>
      <c r="AU156" s="79" t="s">
        <v>892</v>
      </c>
      <c r="AV156" s="79" t="s">
        <v>902</v>
      </c>
      <c r="AW156" s="79" t="s">
        <v>903</v>
      </c>
      <c r="AX156" s="79" t="s">
        <v>905</v>
      </c>
      <c r="AY156" s="79" t="s">
        <v>915</v>
      </c>
      <c r="AZ156" s="79" t="s">
        <v>905</v>
      </c>
      <c r="BA156" s="79" t="s">
        <v>931</v>
      </c>
      <c r="BB156" s="83" t="str">
        <f>HYPERLINK("https://api.twitter.com/1.1/geo/id/07d9ccb5d1086000.json")</f>
        <v>https://api.twitter.com/1.1/geo/id/07d9ccb5d1086000.json</v>
      </c>
      <c r="BC156">
        <v>2</v>
      </c>
      <c r="BD156" s="78" t="str">
        <f>REPLACE(INDEX(GroupVertices[Group], MATCH(Edges[[#This Row],[Vertex 1]],GroupVertices[Vertex],0)),1,1,"")</f>
        <v>3</v>
      </c>
      <c r="BE156" s="78" t="str">
        <f>REPLACE(INDEX(GroupVertices[Group], MATCH(Edges[[#This Row],[Vertex 2]],GroupVertices[Vertex],0)),1,1,"")</f>
        <v>3</v>
      </c>
    </row>
    <row r="157" spans="1:57" x14ac:dyDescent="0.25">
      <c r="A157" s="64" t="s">
        <v>267</v>
      </c>
      <c r="B157" s="64" t="s">
        <v>323</v>
      </c>
      <c r="C157" s="65" t="s">
        <v>2100</v>
      </c>
      <c r="D157" s="66">
        <v>3.7</v>
      </c>
      <c r="E157" s="67"/>
      <c r="F157" s="68">
        <v>38</v>
      </c>
      <c r="G157" s="65"/>
      <c r="H157" s="69"/>
      <c r="I157" s="70"/>
      <c r="J157" s="70"/>
      <c r="K157" s="35" t="s">
        <v>65</v>
      </c>
      <c r="L157" s="77">
        <v>157</v>
      </c>
      <c r="M15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57" s="72"/>
      <c r="O157" s="79" t="s">
        <v>337</v>
      </c>
      <c r="P157" s="81">
        <v>44406.628321759257</v>
      </c>
      <c r="Q157" s="79" t="s">
        <v>371</v>
      </c>
      <c r="R157" s="83" t="str">
        <f>HYPERLINK("https://youtube.com/shorts/qku6RAs")</f>
        <v>https://youtube.com/shorts/qku6RAs</v>
      </c>
      <c r="S157" s="79" t="s">
        <v>450</v>
      </c>
      <c r="T157" s="85" t="s">
        <v>478</v>
      </c>
      <c r="U157" s="79"/>
      <c r="V157" s="83" t="str">
        <f>HYPERLINK("https://pbs.twimg.com/profile_images/1398299805156360194/2uVusLCs_normal.jpg")</f>
        <v>https://pbs.twimg.com/profile_images/1398299805156360194/2uVusLCs_normal.jpg</v>
      </c>
      <c r="W157" s="81">
        <v>44406.628321759257</v>
      </c>
      <c r="X157" s="87">
        <v>44406</v>
      </c>
      <c r="Y157" s="85" t="s">
        <v>573</v>
      </c>
      <c r="Z157" s="83" t="str">
        <f>HYPERLINK("https://twitter.com/ms_tabu/status/1420762232816914432")</f>
        <v>https://twitter.com/ms_tabu/status/1420762232816914432</v>
      </c>
      <c r="AA157" s="79"/>
      <c r="AB157" s="79"/>
      <c r="AC157" s="85" t="s">
        <v>752</v>
      </c>
      <c r="AD157" s="79"/>
      <c r="AE157" s="79" t="b">
        <v>0</v>
      </c>
      <c r="AF157" s="79">
        <v>0</v>
      </c>
      <c r="AG157" s="85" t="s">
        <v>867</v>
      </c>
      <c r="AH157" s="79" t="b">
        <v>0</v>
      </c>
      <c r="AI157" s="79" t="s">
        <v>874</v>
      </c>
      <c r="AJ157" s="79"/>
      <c r="AK157" s="85" t="s">
        <v>867</v>
      </c>
      <c r="AL157" s="79" t="b">
        <v>0</v>
      </c>
      <c r="AM157" s="79">
        <v>3</v>
      </c>
      <c r="AN157" s="85" t="s">
        <v>790</v>
      </c>
      <c r="AO157" s="85" t="s">
        <v>887</v>
      </c>
      <c r="AP157" s="79" t="b">
        <v>0</v>
      </c>
      <c r="AQ157" s="85" t="s">
        <v>790</v>
      </c>
      <c r="AR157" s="79" t="s">
        <v>177</v>
      </c>
      <c r="AS157" s="79">
        <v>0</v>
      </c>
      <c r="AT157" s="79">
        <v>0</v>
      </c>
      <c r="AU157" s="79"/>
      <c r="AV157" s="79"/>
      <c r="AW157" s="79"/>
      <c r="AX157" s="79"/>
      <c r="AY157" s="79"/>
      <c r="AZ157" s="79"/>
      <c r="BA157" s="79"/>
      <c r="BB157" s="79"/>
      <c r="BC157">
        <v>2</v>
      </c>
      <c r="BD157" s="78" t="str">
        <f>REPLACE(INDEX(GroupVertices[Group], MATCH(Edges[[#This Row],[Vertex 1]],GroupVertices[Vertex],0)),1,1,"")</f>
        <v>3</v>
      </c>
      <c r="BE157" s="78" t="str">
        <f>REPLACE(INDEX(GroupVertices[Group], MATCH(Edges[[#This Row],[Vertex 2]],GroupVertices[Vertex],0)),1,1,"")</f>
        <v>3</v>
      </c>
    </row>
    <row r="158" spans="1:57" x14ac:dyDescent="0.25">
      <c r="A158" s="64" t="s">
        <v>267</v>
      </c>
      <c r="B158" s="64" t="s">
        <v>323</v>
      </c>
      <c r="C158" s="65" t="s">
        <v>2100</v>
      </c>
      <c r="D158" s="66">
        <v>3.7</v>
      </c>
      <c r="E158" s="67"/>
      <c r="F158" s="68">
        <v>38</v>
      </c>
      <c r="G158" s="65"/>
      <c r="H158" s="69"/>
      <c r="I158" s="70"/>
      <c r="J158" s="70"/>
      <c r="K158" s="35" t="s">
        <v>65</v>
      </c>
      <c r="L158" s="77">
        <v>158</v>
      </c>
      <c r="M15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58" s="72"/>
      <c r="O158" s="79" t="s">
        <v>337</v>
      </c>
      <c r="P158" s="81">
        <v>44406.628391203703</v>
      </c>
      <c r="Q158" s="79" t="s">
        <v>367</v>
      </c>
      <c r="R158" s="83" t="str">
        <f>HYPERLINK("https://www.youtube.com/shorts/qku6RAs0B3k?feature=share")</f>
        <v>https://www.youtube.com/shorts/qku6RAs0B3k?feature=share</v>
      </c>
      <c r="S158" s="79" t="s">
        <v>450</v>
      </c>
      <c r="T158" s="85" t="s">
        <v>478</v>
      </c>
      <c r="U158" s="83" t="str">
        <f>HYPERLINK("https://pbs.twimg.com/media/E7T3xyJWQAYfYP3.jpg")</f>
        <v>https://pbs.twimg.com/media/E7T3xyJWQAYfYP3.jpg</v>
      </c>
      <c r="V158" s="83" t="str">
        <f>HYPERLINK("https://pbs.twimg.com/media/E7T3xyJWQAYfYP3.jpg")</f>
        <v>https://pbs.twimg.com/media/E7T3xyJWQAYfYP3.jpg</v>
      </c>
      <c r="W158" s="81">
        <v>44406.628391203703</v>
      </c>
      <c r="X158" s="87">
        <v>44406</v>
      </c>
      <c r="Y158" s="85" t="s">
        <v>574</v>
      </c>
      <c r="Z158" s="83" t="str">
        <f>HYPERLINK("https://twitter.com/ms_tabu/status/1420762259693973506")</f>
        <v>https://twitter.com/ms_tabu/status/1420762259693973506</v>
      </c>
      <c r="AA158" s="79"/>
      <c r="AB158" s="79"/>
      <c r="AC158" s="85" t="s">
        <v>753</v>
      </c>
      <c r="AD158" s="79"/>
      <c r="AE158" s="79" t="b">
        <v>0</v>
      </c>
      <c r="AF158" s="79">
        <v>0</v>
      </c>
      <c r="AG158" s="85" t="s">
        <v>867</v>
      </c>
      <c r="AH158" s="79" t="b">
        <v>0</v>
      </c>
      <c r="AI158" s="79" t="s">
        <v>874</v>
      </c>
      <c r="AJ158" s="79"/>
      <c r="AK158" s="85" t="s">
        <v>867</v>
      </c>
      <c r="AL158" s="79" t="b">
        <v>0</v>
      </c>
      <c r="AM158" s="79">
        <v>3</v>
      </c>
      <c r="AN158" s="85" t="s">
        <v>789</v>
      </c>
      <c r="AO158" s="85" t="s">
        <v>887</v>
      </c>
      <c r="AP158" s="79" t="b">
        <v>0</v>
      </c>
      <c r="AQ158" s="85" t="s">
        <v>789</v>
      </c>
      <c r="AR158" s="79" t="s">
        <v>177</v>
      </c>
      <c r="AS158" s="79">
        <v>0</v>
      </c>
      <c r="AT158" s="79">
        <v>0</v>
      </c>
      <c r="AU158" s="79"/>
      <c r="AV158" s="79"/>
      <c r="AW158" s="79"/>
      <c r="AX158" s="79"/>
      <c r="AY158" s="79"/>
      <c r="AZ158" s="79"/>
      <c r="BA158" s="79"/>
      <c r="BB158" s="79"/>
      <c r="BC158">
        <v>2</v>
      </c>
      <c r="BD158" s="78" t="str">
        <f>REPLACE(INDEX(GroupVertices[Group], MATCH(Edges[[#This Row],[Vertex 1]],GroupVertices[Vertex],0)),1,1,"")</f>
        <v>3</v>
      </c>
      <c r="BE158" s="78" t="str">
        <f>REPLACE(INDEX(GroupVertices[Group], MATCH(Edges[[#This Row],[Vertex 2]],GroupVertices[Vertex],0)),1,1,"")</f>
        <v>3</v>
      </c>
    </row>
    <row r="159" spans="1:57" x14ac:dyDescent="0.25">
      <c r="A159" s="64" t="s">
        <v>291</v>
      </c>
      <c r="B159" s="64" t="s">
        <v>291</v>
      </c>
      <c r="C159" s="65" t="s">
        <v>2100</v>
      </c>
      <c r="D159" s="66">
        <v>3.7</v>
      </c>
      <c r="E159" s="67"/>
      <c r="F159" s="68">
        <v>38</v>
      </c>
      <c r="G159" s="65"/>
      <c r="H159" s="69"/>
      <c r="I159" s="70"/>
      <c r="J159" s="70"/>
      <c r="K159" s="35" t="s">
        <v>65</v>
      </c>
      <c r="L159" s="77">
        <v>159</v>
      </c>
      <c r="M15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59" s="72"/>
      <c r="O159" s="79" t="s">
        <v>177</v>
      </c>
      <c r="P159" s="81">
        <v>44406.792164351849</v>
      </c>
      <c r="Q159" s="79" t="s">
        <v>393</v>
      </c>
      <c r="R159" s="79"/>
      <c r="S159" s="79"/>
      <c r="T159" s="85" t="s">
        <v>486</v>
      </c>
      <c r="U159" s="83" t="str">
        <f>HYPERLINK("https://pbs.twimg.com/media/E7fFuFWXsAAEEMj.jpg")</f>
        <v>https://pbs.twimg.com/media/E7fFuFWXsAAEEMj.jpg</v>
      </c>
      <c r="V159" s="83" t="str">
        <f>HYPERLINK("https://pbs.twimg.com/media/E7fFuFWXsAAEEMj.jpg")</f>
        <v>https://pbs.twimg.com/media/E7fFuFWXsAAEEMj.jpg</v>
      </c>
      <c r="W159" s="81">
        <v>44406.792164351849</v>
      </c>
      <c r="X159" s="87">
        <v>44406</v>
      </c>
      <c r="Y159" s="85" t="s">
        <v>626</v>
      </c>
      <c r="Z159" s="83" t="str">
        <f>HYPERLINK("https://twitter.com/uwtalentsearch/status/1420821605660377088")</f>
        <v>https://twitter.com/uwtalentsearch/status/1420821605660377088</v>
      </c>
      <c r="AA159" s="79"/>
      <c r="AB159" s="79"/>
      <c r="AC159" s="85" t="s">
        <v>806</v>
      </c>
      <c r="AD159" s="79"/>
      <c r="AE159" s="79" t="b">
        <v>0</v>
      </c>
      <c r="AF159" s="79">
        <v>0</v>
      </c>
      <c r="AG159" s="85" t="s">
        <v>867</v>
      </c>
      <c r="AH159" s="79" t="b">
        <v>0</v>
      </c>
      <c r="AI159" s="79" t="s">
        <v>876</v>
      </c>
      <c r="AJ159" s="79"/>
      <c r="AK159" s="85" t="s">
        <v>867</v>
      </c>
      <c r="AL159" s="79" t="b">
        <v>0</v>
      </c>
      <c r="AM159" s="79">
        <v>0</v>
      </c>
      <c r="AN159" s="85" t="s">
        <v>867</v>
      </c>
      <c r="AO159" s="85" t="s">
        <v>885</v>
      </c>
      <c r="AP159" s="79" t="b">
        <v>0</v>
      </c>
      <c r="AQ159" s="85" t="s">
        <v>806</v>
      </c>
      <c r="AR159" s="79" t="s">
        <v>177</v>
      </c>
      <c r="AS159" s="79">
        <v>0</v>
      </c>
      <c r="AT159" s="79">
        <v>0</v>
      </c>
      <c r="AU159" s="79"/>
      <c r="AV159" s="79"/>
      <c r="AW159" s="79"/>
      <c r="AX159" s="79"/>
      <c r="AY159" s="79"/>
      <c r="AZ159" s="79"/>
      <c r="BA159" s="79"/>
      <c r="BB159" s="79"/>
      <c r="BC159">
        <v>2</v>
      </c>
      <c r="BD159" s="78" t="str">
        <f>REPLACE(INDEX(GroupVertices[Group], MATCH(Edges[[#This Row],[Vertex 1]],GroupVertices[Vertex],0)),1,1,"")</f>
        <v>5</v>
      </c>
      <c r="BE159" s="78" t="str">
        <f>REPLACE(INDEX(GroupVertices[Group], MATCH(Edges[[#This Row],[Vertex 2]],GroupVertices[Vertex],0)),1,1,"")</f>
        <v>5</v>
      </c>
    </row>
    <row r="160" spans="1:57" x14ac:dyDescent="0.25">
      <c r="A160" s="64" t="s">
        <v>291</v>
      </c>
      <c r="B160" s="64" t="s">
        <v>291</v>
      </c>
      <c r="C160" s="65" t="s">
        <v>2100</v>
      </c>
      <c r="D160" s="66">
        <v>3.7</v>
      </c>
      <c r="E160" s="67"/>
      <c r="F160" s="68">
        <v>38</v>
      </c>
      <c r="G160" s="65"/>
      <c r="H160" s="69"/>
      <c r="I160" s="70"/>
      <c r="J160" s="70"/>
      <c r="K160" s="35" t="s">
        <v>65</v>
      </c>
      <c r="L160" s="77">
        <v>160</v>
      </c>
      <c r="M16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60" s="72"/>
      <c r="O160" s="79" t="s">
        <v>177</v>
      </c>
      <c r="P160" s="81">
        <v>44407.777800925927</v>
      </c>
      <c r="Q160" s="79" t="s">
        <v>394</v>
      </c>
      <c r="R160" s="79"/>
      <c r="S160" s="79"/>
      <c r="T160" s="85" t="s">
        <v>487</v>
      </c>
      <c r="U160" s="83" t="str">
        <f>HYPERLINK("https://pbs.twimg.com/media/E7kKlIpWQAQtR0W.jpg")</f>
        <v>https://pbs.twimg.com/media/E7kKlIpWQAQtR0W.jpg</v>
      </c>
      <c r="V160" s="83" t="str">
        <f>HYPERLINK("https://pbs.twimg.com/media/E7kKlIpWQAQtR0W.jpg")</f>
        <v>https://pbs.twimg.com/media/E7kKlIpWQAQtR0W.jpg</v>
      </c>
      <c r="W160" s="81">
        <v>44407.777800925927</v>
      </c>
      <c r="X160" s="87">
        <v>44407</v>
      </c>
      <c r="Y160" s="85" t="s">
        <v>627</v>
      </c>
      <c r="Z160" s="83" t="str">
        <f>HYPERLINK("https://twitter.com/uwtalentsearch/status/1421178792236683270")</f>
        <v>https://twitter.com/uwtalentsearch/status/1421178792236683270</v>
      </c>
      <c r="AA160" s="79"/>
      <c r="AB160" s="79"/>
      <c r="AC160" s="85" t="s">
        <v>807</v>
      </c>
      <c r="AD160" s="79"/>
      <c r="AE160" s="79" t="b">
        <v>0</v>
      </c>
      <c r="AF160" s="79">
        <v>0</v>
      </c>
      <c r="AG160" s="85" t="s">
        <v>867</v>
      </c>
      <c r="AH160" s="79" t="b">
        <v>0</v>
      </c>
      <c r="AI160" s="79" t="s">
        <v>874</v>
      </c>
      <c r="AJ160" s="79"/>
      <c r="AK160" s="85" t="s">
        <v>867</v>
      </c>
      <c r="AL160" s="79" t="b">
        <v>0</v>
      </c>
      <c r="AM160" s="79">
        <v>0</v>
      </c>
      <c r="AN160" s="85" t="s">
        <v>867</v>
      </c>
      <c r="AO160" s="85" t="s">
        <v>885</v>
      </c>
      <c r="AP160" s="79" t="b">
        <v>0</v>
      </c>
      <c r="AQ160" s="85" t="s">
        <v>807</v>
      </c>
      <c r="AR160" s="79" t="s">
        <v>177</v>
      </c>
      <c r="AS160" s="79">
        <v>0</v>
      </c>
      <c r="AT160" s="79">
        <v>0</v>
      </c>
      <c r="AU160" s="79"/>
      <c r="AV160" s="79"/>
      <c r="AW160" s="79"/>
      <c r="AX160" s="79"/>
      <c r="AY160" s="79"/>
      <c r="AZ160" s="79"/>
      <c r="BA160" s="79"/>
      <c r="BB160" s="79"/>
      <c r="BC160">
        <v>2</v>
      </c>
      <c r="BD160" s="78" t="str">
        <f>REPLACE(INDEX(GroupVertices[Group], MATCH(Edges[[#This Row],[Vertex 1]],GroupVertices[Vertex],0)),1,1,"")</f>
        <v>5</v>
      </c>
      <c r="BE160" s="78" t="str">
        <f>REPLACE(INDEX(GroupVertices[Group], MATCH(Edges[[#This Row],[Vertex 2]],GroupVertices[Vertex],0)),1,1,"")</f>
        <v>5</v>
      </c>
    </row>
    <row r="161" spans="1:57" x14ac:dyDescent="0.25">
      <c r="A161" s="64" t="s">
        <v>287</v>
      </c>
      <c r="B161" s="64" t="s">
        <v>298</v>
      </c>
      <c r="C161" s="65" t="s">
        <v>2100</v>
      </c>
      <c r="D161" s="66">
        <v>3.7</v>
      </c>
      <c r="E161" s="67"/>
      <c r="F161" s="68">
        <v>38</v>
      </c>
      <c r="G161" s="65"/>
      <c r="H161" s="69"/>
      <c r="I161" s="70"/>
      <c r="J161" s="70"/>
      <c r="K161" s="35" t="s">
        <v>66</v>
      </c>
      <c r="L161" s="77">
        <v>161</v>
      </c>
      <c r="M16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61" s="72"/>
      <c r="O161" s="79" t="s">
        <v>337</v>
      </c>
      <c r="P161" s="81">
        <v>44406.899340277778</v>
      </c>
      <c r="Q161" s="79" t="s">
        <v>384</v>
      </c>
      <c r="R161" s="83" t="str">
        <f>HYPERLINK("https://twitter.com/SSSIvyTechFW/status/1420826156031414278")</f>
        <v>https://twitter.com/SSSIvyTechFW/status/1420826156031414278</v>
      </c>
      <c r="S161" s="79" t="s">
        <v>449</v>
      </c>
      <c r="T161" s="85" t="s">
        <v>461</v>
      </c>
      <c r="U161" s="79"/>
      <c r="V161" s="83" t="str">
        <f>HYPERLINK("https://pbs.twimg.com/profile_images/1311001884824604676/RVdli881_normal.png")</f>
        <v>https://pbs.twimg.com/profile_images/1311001884824604676/RVdli881_normal.png</v>
      </c>
      <c r="W161" s="81">
        <v>44406.899340277778</v>
      </c>
      <c r="X161" s="87">
        <v>44406</v>
      </c>
      <c r="Y161" s="85" t="s">
        <v>608</v>
      </c>
      <c r="Z161" s="83" t="str">
        <f>HYPERLINK("https://twitter.com/coetalk/status/1420860446773481477")</f>
        <v>https://twitter.com/coetalk/status/1420860446773481477</v>
      </c>
      <c r="AA161" s="79"/>
      <c r="AB161" s="79"/>
      <c r="AC161" s="85" t="s">
        <v>788</v>
      </c>
      <c r="AD161" s="79"/>
      <c r="AE161" s="79" t="b">
        <v>0</v>
      </c>
      <c r="AF161" s="79">
        <v>0</v>
      </c>
      <c r="AG161" s="85" t="s">
        <v>867</v>
      </c>
      <c r="AH161" s="79" t="b">
        <v>1</v>
      </c>
      <c r="AI161" s="79" t="s">
        <v>874</v>
      </c>
      <c r="AJ161" s="79"/>
      <c r="AK161" s="85" t="s">
        <v>881</v>
      </c>
      <c r="AL161" s="79" t="b">
        <v>0</v>
      </c>
      <c r="AM161" s="79">
        <v>1</v>
      </c>
      <c r="AN161" s="85" t="s">
        <v>787</v>
      </c>
      <c r="AO161" s="85" t="s">
        <v>883</v>
      </c>
      <c r="AP161" s="79" t="b">
        <v>0</v>
      </c>
      <c r="AQ161" s="85" t="s">
        <v>787</v>
      </c>
      <c r="AR161" s="79" t="s">
        <v>177</v>
      </c>
      <c r="AS161" s="79">
        <v>0</v>
      </c>
      <c r="AT161" s="79">
        <v>0</v>
      </c>
      <c r="AU161" s="79"/>
      <c r="AV161" s="79"/>
      <c r="AW161" s="79"/>
      <c r="AX161" s="79"/>
      <c r="AY161" s="79"/>
      <c r="AZ161" s="79"/>
      <c r="BA161" s="79"/>
      <c r="BB161" s="79"/>
      <c r="BC161">
        <v>2</v>
      </c>
      <c r="BD161" s="78" t="str">
        <f>REPLACE(INDEX(GroupVertices[Group], MATCH(Edges[[#This Row],[Vertex 1]],GroupVertices[Vertex],0)),1,1,"")</f>
        <v>1</v>
      </c>
      <c r="BE161" s="78" t="str">
        <f>REPLACE(INDEX(GroupVertices[Group], MATCH(Edges[[#This Row],[Vertex 2]],GroupVertices[Vertex],0)),1,1,"")</f>
        <v>1</v>
      </c>
    </row>
    <row r="162" spans="1:57" x14ac:dyDescent="0.25">
      <c r="A162" s="64" t="s">
        <v>287</v>
      </c>
      <c r="B162" s="64" t="s">
        <v>298</v>
      </c>
      <c r="C162" s="65" t="s">
        <v>2100</v>
      </c>
      <c r="D162" s="66">
        <v>3.7</v>
      </c>
      <c r="E162" s="67"/>
      <c r="F162" s="68">
        <v>38</v>
      </c>
      <c r="G162" s="65"/>
      <c r="H162" s="69"/>
      <c r="I162" s="70"/>
      <c r="J162" s="70"/>
      <c r="K162" s="35" t="s">
        <v>66</v>
      </c>
      <c r="L162" s="77">
        <v>162</v>
      </c>
      <c r="M16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62" s="72"/>
      <c r="O162" s="79" t="s">
        <v>338</v>
      </c>
      <c r="P162" s="81">
        <v>44406.929351851853</v>
      </c>
      <c r="Q162" s="79" t="s">
        <v>373</v>
      </c>
      <c r="R162" s="79"/>
      <c r="S162" s="79"/>
      <c r="T162" s="85" t="s">
        <v>461</v>
      </c>
      <c r="U162" s="83" t="str">
        <f>HYPERLINK("https://pbs.twimg.com/media/E7fhzF6XsAAoddH.jpg")</f>
        <v>https://pbs.twimg.com/media/E7fhzF6XsAAoddH.jpg</v>
      </c>
      <c r="V162" s="83" t="str">
        <f>HYPERLINK("https://pbs.twimg.com/media/E7fhzF6XsAAoddH.jpg")</f>
        <v>https://pbs.twimg.com/media/E7fhzF6XsAAoddH.jpg</v>
      </c>
      <c r="W162" s="81">
        <v>44406.929351851853</v>
      </c>
      <c r="X162" s="87">
        <v>44406</v>
      </c>
      <c r="Y162" s="85" t="s">
        <v>672</v>
      </c>
      <c r="Z162" s="83" t="str">
        <f>HYPERLINK("https://twitter.com/coetalk/status/1420871322654085121")</f>
        <v>https://twitter.com/coetalk/status/1420871322654085121</v>
      </c>
      <c r="AA162" s="79"/>
      <c r="AB162" s="79"/>
      <c r="AC162" s="85" t="s">
        <v>852</v>
      </c>
      <c r="AD162" s="79"/>
      <c r="AE162" s="79" t="b">
        <v>0</v>
      </c>
      <c r="AF162" s="79">
        <v>0</v>
      </c>
      <c r="AG162" s="85" t="s">
        <v>867</v>
      </c>
      <c r="AH162" s="79" t="b">
        <v>0</v>
      </c>
      <c r="AI162" s="79" t="s">
        <v>874</v>
      </c>
      <c r="AJ162" s="79"/>
      <c r="AK162" s="85" t="s">
        <v>867</v>
      </c>
      <c r="AL162" s="79" t="b">
        <v>0</v>
      </c>
      <c r="AM162" s="79">
        <v>14</v>
      </c>
      <c r="AN162" s="85" t="s">
        <v>851</v>
      </c>
      <c r="AO162" s="85" t="s">
        <v>883</v>
      </c>
      <c r="AP162" s="79" t="b">
        <v>0</v>
      </c>
      <c r="AQ162" s="85" t="s">
        <v>851</v>
      </c>
      <c r="AR162" s="79" t="s">
        <v>177</v>
      </c>
      <c r="AS162" s="79">
        <v>0</v>
      </c>
      <c r="AT162" s="79">
        <v>0</v>
      </c>
      <c r="AU162" s="79"/>
      <c r="AV162" s="79"/>
      <c r="AW162" s="79"/>
      <c r="AX162" s="79"/>
      <c r="AY162" s="79"/>
      <c r="AZ162" s="79"/>
      <c r="BA162" s="79"/>
      <c r="BB162" s="79"/>
      <c r="BC162">
        <v>2</v>
      </c>
      <c r="BD162" s="78" t="str">
        <f>REPLACE(INDEX(GroupVertices[Group], MATCH(Edges[[#This Row],[Vertex 1]],GroupVertices[Vertex],0)),1,1,"")</f>
        <v>1</v>
      </c>
      <c r="BE162" s="78" t="str">
        <f>REPLACE(INDEX(GroupVertices[Group], MATCH(Edges[[#This Row],[Vertex 2]],GroupVertices[Vertex],0)),1,1,"")</f>
        <v>1</v>
      </c>
    </row>
    <row r="163" spans="1:57" x14ac:dyDescent="0.25">
      <c r="A163" s="64" t="s">
        <v>287</v>
      </c>
      <c r="B163" s="64" t="s">
        <v>304</v>
      </c>
      <c r="C163" s="65" t="s">
        <v>2100</v>
      </c>
      <c r="D163" s="66">
        <v>3.7</v>
      </c>
      <c r="E163" s="67"/>
      <c r="F163" s="68">
        <v>38</v>
      </c>
      <c r="G163" s="65"/>
      <c r="H163" s="69"/>
      <c r="I163" s="70"/>
      <c r="J163" s="70"/>
      <c r="K163" s="35" t="s">
        <v>65</v>
      </c>
      <c r="L163" s="77">
        <v>163</v>
      </c>
      <c r="M16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63" s="72"/>
      <c r="O163" s="79" t="s">
        <v>339</v>
      </c>
      <c r="P163" s="81">
        <v>44406.072997685187</v>
      </c>
      <c r="Q163" s="79" t="s">
        <v>365</v>
      </c>
      <c r="R163" s="79"/>
      <c r="S163" s="79"/>
      <c r="T163" s="85" t="s">
        <v>461</v>
      </c>
      <c r="U163" s="83" t="str">
        <f>HYPERLINK("https://pbs.twimg.com/ext_tw_video_thumb/1420560954690088965/pu/img/mw30pB3lQf5fmFQ8.jpg")</f>
        <v>https://pbs.twimg.com/ext_tw_video_thumb/1420560954690088965/pu/img/mw30pB3lQf5fmFQ8.jpg</v>
      </c>
      <c r="V163" s="83" t="str">
        <f>HYPERLINK("https://pbs.twimg.com/ext_tw_video_thumb/1420560954690088965/pu/img/mw30pB3lQf5fmFQ8.jpg")</f>
        <v>https://pbs.twimg.com/ext_tw_video_thumb/1420560954690088965/pu/img/mw30pB3lQf5fmFQ8.jpg</v>
      </c>
      <c r="W163" s="81">
        <v>44406.072997685187</v>
      </c>
      <c r="X163" s="87">
        <v>44406</v>
      </c>
      <c r="Y163" s="85" t="s">
        <v>604</v>
      </c>
      <c r="Z163" s="83" t="str">
        <f>HYPERLINK("https://twitter.com/coetalk/status/1420560991012655106")</f>
        <v>https://twitter.com/coetalk/status/1420560991012655106</v>
      </c>
      <c r="AA163" s="79"/>
      <c r="AB163" s="79"/>
      <c r="AC163" s="85" t="s">
        <v>784</v>
      </c>
      <c r="AD163" s="79"/>
      <c r="AE163" s="79" t="b">
        <v>0</v>
      </c>
      <c r="AF163" s="79">
        <v>19</v>
      </c>
      <c r="AG163" s="85" t="s">
        <v>867</v>
      </c>
      <c r="AH163" s="79" t="b">
        <v>0</v>
      </c>
      <c r="AI163" s="79" t="s">
        <v>874</v>
      </c>
      <c r="AJ163" s="79"/>
      <c r="AK163" s="85" t="s">
        <v>867</v>
      </c>
      <c r="AL163" s="79" t="b">
        <v>0</v>
      </c>
      <c r="AM163" s="79">
        <v>8</v>
      </c>
      <c r="AN163" s="85" t="s">
        <v>867</v>
      </c>
      <c r="AO163" s="85" t="s">
        <v>883</v>
      </c>
      <c r="AP163" s="79" t="b">
        <v>0</v>
      </c>
      <c r="AQ163" s="85" t="s">
        <v>784</v>
      </c>
      <c r="AR163" s="79" t="s">
        <v>177</v>
      </c>
      <c r="AS163" s="79">
        <v>0</v>
      </c>
      <c r="AT163" s="79">
        <v>0</v>
      </c>
      <c r="AU163" s="79"/>
      <c r="AV163" s="79"/>
      <c r="AW163" s="79"/>
      <c r="AX163" s="79"/>
      <c r="AY163" s="79"/>
      <c r="AZ163" s="79"/>
      <c r="BA163" s="79"/>
      <c r="BB163" s="79"/>
      <c r="BC163">
        <v>2</v>
      </c>
      <c r="BD163" s="78" t="str">
        <f>REPLACE(INDEX(GroupVertices[Group], MATCH(Edges[[#This Row],[Vertex 1]],GroupVertices[Vertex],0)),1,1,"")</f>
        <v>1</v>
      </c>
      <c r="BE163" s="78" t="str">
        <f>REPLACE(INDEX(GroupVertices[Group], MATCH(Edges[[#This Row],[Vertex 2]],GroupVertices[Vertex],0)),1,1,"")</f>
        <v>1</v>
      </c>
    </row>
    <row r="164" spans="1:57" x14ac:dyDescent="0.25">
      <c r="A164" s="64" t="s">
        <v>287</v>
      </c>
      <c r="B164" s="64" t="s">
        <v>304</v>
      </c>
      <c r="C164" s="65" t="s">
        <v>2100</v>
      </c>
      <c r="D164" s="66">
        <v>3.7</v>
      </c>
      <c r="E164" s="67"/>
      <c r="F164" s="68">
        <v>38</v>
      </c>
      <c r="G164" s="65"/>
      <c r="H164" s="69"/>
      <c r="I164" s="70"/>
      <c r="J164" s="70"/>
      <c r="K164" s="35" t="s">
        <v>65</v>
      </c>
      <c r="L164" s="77">
        <v>164</v>
      </c>
      <c r="M16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64" s="72"/>
      <c r="O164" s="79" t="s">
        <v>339</v>
      </c>
      <c r="P164" s="81">
        <v>44406.073009259257</v>
      </c>
      <c r="Q164" s="79" t="s">
        <v>382</v>
      </c>
      <c r="R164" s="79"/>
      <c r="S164" s="79"/>
      <c r="T164" s="85" t="s">
        <v>484</v>
      </c>
      <c r="U164" s="83" t="str">
        <f>HYPERLINK("https://pbs.twimg.com/media/E7bYsmDXMAUgC38.jpg")</f>
        <v>https://pbs.twimg.com/media/E7bYsmDXMAUgC38.jpg</v>
      </c>
      <c r="V164" s="83" t="str">
        <f>HYPERLINK("https://pbs.twimg.com/media/E7bYsmDXMAUgC38.jpg")</f>
        <v>https://pbs.twimg.com/media/E7bYsmDXMAUgC38.jpg</v>
      </c>
      <c r="W164" s="81">
        <v>44406.073009259257</v>
      </c>
      <c r="X164" s="87">
        <v>44406</v>
      </c>
      <c r="Y164" s="85" t="s">
        <v>605</v>
      </c>
      <c r="Z164" s="83" t="str">
        <f>HYPERLINK("https://twitter.com/coetalk/status/1420560994846351365")</f>
        <v>https://twitter.com/coetalk/status/1420560994846351365</v>
      </c>
      <c r="AA164" s="79"/>
      <c r="AB164" s="79"/>
      <c r="AC164" s="85" t="s">
        <v>785</v>
      </c>
      <c r="AD164" s="85" t="s">
        <v>784</v>
      </c>
      <c r="AE164" s="79" t="b">
        <v>0</v>
      </c>
      <c r="AF164" s="79">
        <v>2</v>
      </c>
      <c r="AG164" s="85" t="s">
        <v>871</v>
      </c>
      <c r="AH164" s="79" t="b">
        <v>0</v>
      </c>
      <c r="AI164" s="79" t="s">
        <v>874</v>
      </c>
      <c r="AJ164" s="79"/>
      <c r="AK164" s="85" t="s">
        <v>867</v>
      </c>
      <c r="AL164" s="79" t="b">
        <v>0</v>
      </c>
      <c r="AM164" s="79">
        <v>0</v>
      </c>
      <c r="AN164" s="85" t="s">
        <v>867</v>
      </c>
      <c r="AO164" s="85" t="s">
        <v>883</v>
      </c>
      <c r="AP164" s="79" t="b">
        <v>0</v>
      </c>
      <c r="AQ164" s="85" t="s">
        <v>784</v>
      </c>
      <c r="AR164" s="79" t="s">
        <v>177</v>
      </c>
      <c r="AS164" s="79">
        <v>0</v>
      </c>
      <c r="AT164" s="79">
        <v>0</v>
      </c>
      <c r="AU164" s="79"/>
      <c r="AV164" s="79"/>
      <c r="AW164" s="79"/>
      <c r="AX164" s="79"/>
      <c r="AY164" s="79"/>
      <c r="AZ164" s="79"/>
      <c r="BA164" s="79"/>
      <c r="BB164" s="79"/>
      <c r="BC164">
        <v>2</v>
      </c>
      <c r="BD164" s="78" t="str">
        <f>REPLACE(INDEX(GroupVertices[Group], MATCH(Edges[[#This Row],[Vertex 1]],GroupVertices[Vertex],0)),1,1,"")</f>
        <v>1</v>
      </c>
      <c r="BE164" s="78" t="str">
        <f>REPLACE(INDEX(GroupVertices[Group], MATCH(Edges[[#This Row],[Vertex 2]],GroupVertices[Vertex],0)),1,1,"")</f>
        <v>1</v>
      </c>
    </row>
    <row r="165" spans="1:57" x14ac:dyDescent="0.25">
      <c r="A165" s="64" t="s">
        <v>287</v>
      </c>
      <c r="B165" s="64" t="s">
        <v>332</v>
      </c>
      <c r="C165" s="65" t="s">
        <v>2100</v>
      </c>
      <c r="D165" s="66">
        <v>3.7</v>
      </c>
      <c r="E165" s="67"/>
      <c r="F165" s="68">
        <v>38</v>
      </c>
      <c r="G165" s="65"/>
      <c r="H165" s="69"/>
      <c r="I165" s="70"/>
      <c r="J165" s="70"/>
      <c r="K165" s="35" t="s">
        <v>65</v>
      </c>
      <c r="L165" s="77">
        <v>165</v>
      </c>
      <c r="M16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65" s="72"/>
      <c r="O165" s="79" t="s">
        <v>339</v>
      </c>
      <c r="P165" s="81">
        <v>44407.730115740742</v>
      </c>
      <c r="Q165" s="79" t="s">
        <v>422</v>
      </c>
      <c r="R165" s="79"/>
      <c r="S165" s="79"/>
      <c r="T165" s="85" t="s">
        <v>461</v>
      </c>
      <c r="U165" s="83" t="str">
        <f>HYPERLINK("https://pbs.twimg.com/ext_tw_video_thumb/1421161154945093639/pu/img/tbrT6qcfoLxlpRkV.jpg")</f>
        <v>https://pbs.twimg.com/ext_tw_video_thumb/1421161154945093639/pu/img/tbrT6qcfoLxlpRkV.jpg</v>
      </c>
      <c r="V165" s="83" t="str">
        <f>HYPERLINK("https://pbs.twimg.com/ext_tw_video_thumb/1421161154945093639/pu/img/tbrT6qcfoLxlpRkV.jpg")</f>
        <v>https://pbs.twimg.com/ext_tw_video_thumb/1421161154945093639/pu/img/tbrT6qcfoLxlpRkV.jpg</v>
      </c>
      <c r="W165" s="81">
        <v>44407.730115740742</v>
      </c>
      <c r="X165" s="87">
        <v>44407</v>
      </c>
      <c r="Y165" s="85" t="s">
        <v>656</v>
      </c>
      <c r="Z165" s="83" t="str">
        <f>HYPERLINK("https://twitter.com/coetalk/status/1421161509527474187")</f>
        <v>https://twitter.com/coetalk/status/1421161509527474187</v>
      </c>
      <c r="AA165" s="79"/>
      <c r="AB165" s="79"/>
      <c r="AC165" s="85" t="s">
        <v>836</v>
      </c>
      <c r="AD165" s="79"/>
      <c r="AE165" s="79" t="b">
        <v>0</v>
      </c>
      <c r="AF165" s="79">
        <v>4</v>
      </c>
      <c r="AG165" s="85" t="s">
        <v>867</v>
      </c>
      <c r="AH165" s="79" t="b">
        <v>0</v>
      </c>
      <c r="AI165" s="79" t="s">
        <v>874</v>
      </c>
      <c r="AJ165" s="79"/>
      <c r="AK165" s="85" t="s">
        <v>867</v>
      </c>
      <c r="AL165" s="79" t="b">
        <v>0</v>
      </c>
      <c r="AM165" s="79">
        <v>1</v>
      </c>
      <c r="AN165" s="85" t="s">
        <v>867</v>
      </c>
      <c r="AO165" s="85" t="s">
        <v>882</v>
      </c>
      <c r="AP165" s="79" t="b">
        <v>0</v>
      </c>
      <c r="AQ165" s="85" t="s">
        <v>836</v>
      </c>
      <c r="AR165" s="79" t="s">
        <v>177</v>
      </c>
      <c r="AS165" s="79">
        <v>0</v>
      </c>
      <c r="AT165" s="79">
        <v>0</v>
      </c>
      <c r="AU165" s="79"/>
      <c r="AV165" s="79"/>
      <c r="AW165" s="79"/>
      <c r="AX165" s="79"/>
      <c r="AY165" s="79"/>
      <c r="AZ165" s="79"/>
      <c r="BA165" s="79"/>
      <c r="BB165" s="79"/>
      <c r="BC165">
        <v>2</v>
      </c>
      <c r="BD165" s="78" t="str">
        <f>REPLACE(INDEX(GroupVertices[Group], MATCH(Edges[[#This Row],[Vertex 1]],GroupVertices[Vertex],0)),1,1,"")</f>
        <v>1</v>
      </c>
      <c r="BE165" s="78" t="str">
        <f>REPLACE(INDEX(GroupVertices[Group], MATCH(Edges[[#This Row],[Vertex 2]],GroupVertices[Vertex],0)),1,1,"")</f>
        <v>1</v>
      </c>
    </row>
    <row r="166" spans="1:57" x14ac:dyDescent="0.25">
      <c r="A166" s="64" t="s">
        <v>287</v>
      </c>
      <c r="B166" s="64" t="s">
        <v>332</v>
      </c>
      <c r="C166" s="65" t="s">
        <v>2100</v>
      </c>
      <c r="D166" s="66">
        <v>3.7</v>
      </c>
      <c r="E166" s="67"/>
      <c r="F166" s="68">
        <v>38</v>
      </c>
      <c r="G166" s="65"/>
      <c r="H166" s="69"/>
      <c r="I166" s="70"/>
      <c r="J166" s="70"/>
      <c r="K166" s="35" t="s">
        <v>65</v>
      </c>
      <c r="L166" s="77">
        <v>166</v>
      </c>
      <c r="M16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66" s="72"/>
      <c r="O166" s="79" t="s">
        <v>339</v>
      </c>
      <c r="P166" s="81">
        <v>44407.730127314811</v>
      </c>
      <c r="Q166" s="79" t="s">
        <v>423</v>
      </c>
      <c r="R166" s="79"/>
      <c r="S166" s="79"/>
      <c r="T166" s="85" t="s">
        <v>495</v>
      </c>
      <c r="U166" s="83" t="str">
        <f>HYPERLINK("https://pbs.twimg.com/media/E7j61e5WUAE3ZKk.jpg")</f>
        <v>https://pbs.twimg.com/media/E7j61e5WUAE3ZKk.jpg</v>
      </c>
      <c r="V166" s="83" t="str">
        <f>HYPERLINK("https://pbs.twimg.com/media/E7j61e5WUAE3ZKk.jpg")</f>
        <v>https://pbs.twimg.com/media/E7j61e5WUAE3ZKk.jpg</v>
      </c>
      <c r="W166" s="81">
        <v>44407.730127314811</v>
      </c>
      <c r="X166" s="87">
        <v>44407</v>
      </c>
      <c r="Y166" s="85" t="s">
        <v>658</v>
      </c>
      <c r="Z166" s="83" t="str">
        <f>HYPERLINK("https://twitter.com/coetalk/status/1421161513059028994")</f>
        <v>https://twitter.com/coetalk/status/1421161513059028994</v>
      </c>
      <c r="AA166" s="79"/>
      <c r="AB166" s="79"/>
      <c r="AC166" s="85" t="s">
        <v>838</v>
      </c>
      <c r="AD166" s="85" t="s">
        <v>836</v>
      </c>
      <c r="AE166" s="79" t="b">
        <v>0</v>
      </c>
      <c r="AF166" s="79">
        <v>2</v>
      </c>
      <c r="AG166" s="85" t="s">
        <v>871</v>
      </c>
      <c r="AH166" s="79" t="b">
        <v>0</v>
      </c>
      <c r="AI166" s="79" t="s">
        <v>874</v>
      </c>
      <c r="AJ166" s="79"/>
      <c r="AK166" s="85" t="s">
        <v>867</v>
      </c>
      <c r="AL166" s="79" t="b">
        <v>0</v>
      </c>
      <c r="AM166" s="79">
        <v>0</v>
      </c>
      <c r="AN166" s="85" t="s">
        <v>867</v>
      </c>
      <c r="AO166" s="85" t="s">
        <v>882</v>
      </c>
      <c r="AP166" s="79" t="b">
        <v>0</v>
      </c>
      <c r="AQ166" s="85" t="s">
        <v>836</v>
      </c>
      <c r="AR166" s="79" t="s">
        <v>177</v>
      </c>
      <c r="AS166" s="79">
        <v>0</v>
      </c>
      <c r="AT166" s="79">
        <v>0</v>
      </c>
      <c r="AU166" s="79"/>
      <c r="AV166" s="79"/>
      <c r="AW166" s="79"/>
      <c r="AX166" s="79"/>
      <c r="AY166" s="79"/>
      <c r="AZ166" s="79"/>
      <c r="BA166" s="79"/>
      <c r="BB166" s="79"/>
      <c r="BC166">
        <v>2</v>
      </c>
      <c r="BD166" s="78" t="str">
        <f>REPLACE(INDEX(GroupVertices[Group], MATCH(Edges[[#This Row],[Vertex 1]],GroupVertices[Vertex],0)),1,1,"")</f>
        <v>1</v>
      </c>
      <c r="BE166" s="78" t="str">
        <f>REPLACE(INDEX(GroupVertices[Group], MATCH(Edges[[#This Row],[Vertex 2]],GroupVertices[Vertex],0)),1,1,"")</f>
        <v>1</v>
      </c>
    </row>
    <row r="167" spans="1:57" x14ac:dyDescent="0.25">
      <c r="A167" s="64" t="s">
        <v>245</v>
      </c>
      <c r="B167" s="64" t="s">
        <v>311</v>
      </c>
      <c r="C167" s="65" t="s">
        <v>2100</v>
      </c>
      <c r="D167" s="66">
        <v>3.7</v>
      </c>
      <c r="E167" s="67"/>
      <c r="F167" s="68">
        <v>38</v>
      </c>
      <c r="G167" s="65"/>
      <c r="H167" s="69"/>
      <c r="I167" s="70"/>
      <c r="J167" s="70"/>
      <c r="K167" s="35" t="s">
        <v>65</v>
      </c>
      <c r="L167" s="77">
        <v>167</v>
      </c>
      <c r="M16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67" s="72"/>
      <c r="O167" s="79" t="s">
        <v>337</v>
      </c>
      <c r="P167" s="81">
        <v>44405.000763888886</v>
      </c>
      <c r="Q167" s="79" t="s">
        <v>359</v>
      </c>
      <c r="R167" s="79"/>
      <c r="S167" s="79"/>
      <c r="T167" s="85" t="s">
        <v>473</v>
      </c>
      <c r="U167" s="83" t="str">
        <f>HYPERLINK("https://pbs.twimg.com/ext_tw_video_thumb/1165283058448252928/pu/img/pTNEY01XgvTHzPju.jpg")</f>
        <v>https://pbs.twimg.com/ext_tw_video_thumb/1165283058448252928/pu/img/pTNEY01XgvTHzPju.jpg</v>
      </c>
      <c r="V167" s="83" t="str">
        <f>HYPERLINK("https://pbs.twimg.com/ext_tw_video_thumb/1165283058448252928/pu/img/pTNEY01XgvTHzPju.jpg")</f>
        <v>https://pbs.twimg.com/ext_tw_video_thumb/1165283058448252928/pu/img/pTNEY01XgvTHzPju.jpg</v>
      </c>
      <c r="W167" s="81">
        <v>44405.000763888886</v>
      </c>
      <c r="X167" s="87">
        <v>44405</v>
      </c>
      <c r="Y167" s="85" t="s">
        <v>539</v>
      </c>
      <c r="Z167" s="83" t="str">
        <f>HYPERLINK("https://twitter.com/aaron_cortes/status/1420172426143469570")</f>
        <v>https://twitter.com/aaron_cortes/status/1420172426143469570</v>
      </c>
      <c r="AA167" s="79"/>
      <c r="AB167" s="79"/>
      <c r="AC167" s="85" t="s">
        <v>717</v>
      </c>
      <c r="AD167" s="79"/>
      <c r="AE167" s="79" t="b">
        <v>0</v>
      </c>
      <c r="AF167" s="79">
        <v>0</v>
      </c>
      <c r="AG167" s="85" t="s">
        <v>867</v>
      </c>
      <c r="AH167" s="79" t="b">
        <v>0</v>
      </c>
      <c r="AI167" s="79" t="s">
        <v>874</v>
      </c>
      <c r="AJ167" s="79"/>
      <c r="AK167" s="85" t="s">
        <v>867</v>
      </c>
      <c r="AL167" s="79" t="b">
        <v>0</v>
      </c>
      <c r="AM167" s="79">
        <v>3</v>
      </c>
      <c r="AN167" s="85" t="s">
        <v>716</v>
      </c>
      <c r="AO167" s="85" t="s">
        <v>883</v>
      </c>
      <c r="AP167" s="79" t="b">
        <v>0</v>
      </c>
      <c r="AQ167" s="85" t="s">
        <v>716</v>
      </c>
      <c r="AR167" s="79" t="s">
        <v>177</v>
      </c>
      <c r="AS167" s="79">
        <v>0</v>
      </c>
      <c r="AT167" s="79">
        <v>0</v>
      </c>
      <c r="AU167" s="79"/>
      <c r="AV167" s="79"/>
      <c r="AW167" s="79"/>
      <c r="AX167" s="79"/>
      <c r="AY167" s="79"/>
      <c r="AZ167" s="79"/>
      <c r="BA167" s="79"/>
      <c r="BB167" s="79"/>
      <c r="BC167">
        <v>2</v>
      </c>
      <c r="BD167" s="78" t="str">
        <f>REPLACE(INDEX(GroupVertices[Group], MATCH(Edges[[#This Row],[Vertex 1]],GroupVertices[Vertex],0)),1,1,"")</f>
        <v>4</v>
      </c>
      <c r="BE167" s="78" t="str">
        <f>REPLACE(INDEX(GroupVertices[Group], MATCH(Edges[[#This Row],[Vertex 2]],GroupVertices[Vertex],0)),1,1,"")</f>
        <v>4</v>
      </c>
    </row>
    <row r="168" spans="1:57" x14ac:dyDescent="0.25">
      <c r="A168" s="64" t="s">
        <v>245</v>
      </c>
      <c r="B168" s="64" t="s">
        <v>311</v>
      </c>
      <c r="C168" s="65" t="s">
        <v>2100</v>
      </c>
      <c r="D168" s="66">
        <v>3.7</v>
      </c>
      <c r="E168" s="67"/>
      <c r="F168" s="68">
        <v>38</v>
      </c>
      <c r="G168" s="65"/>
      <c r="H168" s="69"/>
      <c r="I168" s="70"/>
      <c r="J168" s="70"/>
      <c r="K168" s="35" t="s">
        <v>65</v>
      </c>
      <c r="L168" s="77">
        <v>168</v>
      </c>
      <c r="M16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68" s="72"/>
      <c r="O168" s="79" t="s">
        <v>337</v>
      </c>
      <c r="P168" s="81">
        <v>44405.008206018516</v>
      </c>
      <c r="Q168" s="79" t="s">
        <v>360</v>
      </c>
      <c r="R168" s="79"/>
      <c r="S168" s="79"/>
      <c r="T168" s="85" t="s">
        <v>474</v>
      </c>
      <c r="U168" s="83" t="str">
        <f>HYPERLINK("https://pbs.twimg.com/media/EQ1_Rq-WsAE6FpH.jpg")</f>
        <v>https://pbs.twimg.com/media/EQ1_Rq-WsAE6FpH.jpg</v>
      </c>
      <c r="V168" s="83" t="str">
        <f>HYPERLINK("https://pbs.twimg.com/media/EQ1_Rq-WsAE6FpH.jpg")</f>
        <v>https://pbs.twimg.com/media/EQ1_Rq-WsAE6FpH.jpg</v>
      </c>
      <c r="W168" s="81">
        <v>44405.008206018516</v>
      </c>
      <c r="X168" s="87">
        <v>44405</v>
      </c>
      <c r="Y168" s="85" t="s">
        <v>540</v>
      </c>
      <c r="Z168" s="83" t="str">
        <f>HYPERLINK("https://twitter.com/aaron_cortes/status/1420175121726255107")</f>
        <v>https://twitter.com/aaron_cortes/status/1420175121726255107</v>
      </c>
      <c r="AA168" s="79"/>
      <c r="AB168" s="79"/>
      <c r="AC168" s="85" t="s">
        <v>719</v>
      </c>
      <c r="AD168" s="79"/>
      <c r="AE168" s="79" t="b">
        <v>0</v>
      </c>
      <c r="AF168" s="79">
        <v>0</v>
      </c>
      <c r="AG168" s="85" t="s">
        <v>867</v>
      </c>
      <c r="AH168" s="79" t="b">
        <v>0</v>
      </c>
      <c r="AI168" s="79" t="s">
        <v>874</v>
      </c>
      <c r="AJ168" s="79"/>
      <c r="AK168" s="85" t="s">
        <v>867</v>
      </c>
      <c r="AL168" s="79" t="b">
        <v>0</v>
      </c>
      <c r="AM168" s="79">
        <v>7</v>
      </c>
      <c r="AN168" s="85" t="s">
        <v>718</v>
      </c>
      <c r="AO168" s="85" t="s">
        <v>883</v>
      </c>
      <c r="AP168" s="79" t="b">
        <v>0</v>
      </c>
      <c r="AQ168" s="85" t="s">
        <v>718</v>
      </c>
      <c r="AR168" s="79" t="s">
        <v>177</v>
      </c>
      <c r="AS168" s="79">
        <v>0</v>
      </c>
      <c r="AT168" s="79">
        <v>0</v>
      </c>
      <c r="AU168" s="79"/>
      <c r="AV168" s="79"/>
      <c r="AW168" s="79"/>
      <c r="AX168" s="79"/>
      <c r="AY168" s="79"/>
      <c r="AZ168" s="79"/>
      <c r="BA168" s="79"/>
      <c r="BB168" s="79"/>
      <c r="BC168">
        <v>2</v>
      </c>
      <c r="BD168" s="78" t="str">
        <f>REPLACE(INDEX(GroupVertices[Group], MATCH(Edges[[#This Row],[Vertex 1]],GroupVertices[Vertex],0)),1,1,"")</f>
        <v>4</v>
      </c>
      <c r="BE168" s="78" t="str">
        <f>REPLACE(INDEX(GroupVertices[Group], MATCH(Edges[[#This Row],[Vertex 2]],GroupVertices[Vertex],0)),1,1,"")</f>
        <v>4</v>
      </c>
    </row>
    <row r="169" spans="1:57" x14ac:dyDescent="0.25">
      <c r="A169" s="64" t="s">
        <v>245</v>
      </c>
      <c r="B169" s="64" t="s">
        <v>314</v>
      </c>
      <c r="C169" s="65" t="s">
        <v>2100</v>
      </c>
      <c r="D169" s="66">
        <v>3.7</v>
      </c>
      <c r="E169" s="67"/>
      <c r="F169" s="68">
        <v>38</v>
      </c>
      <c r="G169" s="65"/>
      <c r="H169" s="69"/>
      <c r="I169" s="70"/>
      <c r="J169" s="70"/>
      <c r="K169" s="35" t="s">
        <v>65</v>
      </c>
      <c r="L169" s="77">
        <v>169</v>
      </c>
      <c r="M16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69" s="72"/>
      <c r="O169" s="79" t="s">
        <v>337</v>
      </c>
      <c r="P169" s="81">
        <v>44405.000763888886</v>
      </c>
      <c r="Q169" s="79" t="s">
        <v>359</v>
      </c>
      <c r="R169" s="79"/>
      <c r="S169" s="79"/>
      <c r="T169" s="85" t="s">
        <v>473</v>
      </c>
      <c r="U169" s="83" t="str">
        <f>HYPERLINK("https://pbs.twimg.com/ext_tw_video_thumb/1165283058448252928/pu/img/pTNEY01XgvTHzPju.jpg")</f>
        <v>https://pbs.twimg.com/ext_tw_video_thumb/1165283058448252928/pu/img/pTNEY01XgvTHzPju.jpg</v>
      </c>
      <c r="V169" s="83" t="str">
        <f>HYPERLINK("https://pbs.twimg.com/ext_tw_video_thumb/1165283058448252928/pu/img/pTNEY01XgvTHzPju.jpg")</f>
        <v>https://pbs.twimg.com/ext_tw_video_thumb/1165283058448252928/pu/img/pTNEY01XgvTHzPju.jpg</v>
      </c>
      <c r="W169" s="81">
        <v>44405.000763888886</v>
      </c>
      <c r="X169" s="87">
        <v>44405</v>
      </c>
      <c r="Y169" s="85" t="s">
        <v>539</v>
      </c>
      <c r="Z169" s="83" t="str">
        <f>HYPERLINK("https://twitter.com/aaron_cortes/status/1420172426143469570")</f>
        <v>https://twitter.com/aaron_cortes/status/1420172426143469570</v>
      </c>
      <c r="AA169" s="79"/>
      <c r="AB169" s="79"/>
      <c r="AC169" s="85" t="s">
        <v>717</v>
      </c>
      <c r="AD169" s="79"/>
      <c r="AE169" s="79" t="b">
        <v>0</v>
      </c>
      <c r="AF169" s="79">
        <v>0</v>
      </c>
      <c r="AG169" s="85" t="s">
        <v>867</v>
      </c>
      <c r="AH169" s="79" t="b">
        <v>0</v>
      </c>
      <c r="AI169" s="79" t="s">
        <v>874</v>
      </c>
      <c r="AJ169" s="79"/>
      <c r="AK169" s="85" t="s">
        <v>867</v>
      </c>
      <c r="AL169" s="79" t="b">
        <v>0</v>
      </c>
      <c r="AM169" s="79">
        <v>3</v>
      </c>
      <c r="AN169" s="85" t="s">
        <v>716</v>
      </c>
      <c r="AO169" s="85" t="s">
        <v>883</v>
      </c>
      <c r="AP169" s="79" t="b">
        <v>0</v>
      </c>
      <c r="AQ169" s="85" t="s">
        <v>716</v>
      </c>
      <c r="AR169" s="79" t="s">
        <v>177</v>
      </c>
      <c r="AS169" s="79">
        <v>0</v>
      </c>
      <c r="AT169" s="79">
        <v>0</v>
      </c>
      <c r="AU169" s="79"/>
      <c r="AV169" s="79"/>
      <c r="AW169" s="79"/>
      <c r="AX169" s="79"/>
      <c r="AY169" s="79"/>
      <c r="AZ169" s="79"/>
      <c r="BA169" s="79"/>
      <c r="BB169" s="79"/>
      <c r="BC169">
        <v>2</v>
      </c>
      <c r="BD169" s="78" t="str">
        <f>REPLACE(INDEX(GroupVertices[Group], MATCH(Edges[[#This Row],[Vertex 1]],GroupVertices[Vertex],0)),1,1,"")</f>
        <v>4</v>
      </c>
      <c r="BE169" s="78" t="str">
        <f>REPLACE(INDEX(GroupVertices[Group], MATCH(Edges[[#This Row],[Vertex 2]],GroupVertices[Vertex],0)),1,1,"")</f>
        <v>4</v>
      </c>
    </row>
    <row r="170" spans="1:57" x14ac:dyDescent="0.25">
      <c r="A170" s="64" t="s">
        <v>245</v>
      </c>
      <c r="B170" s="64" t="s">
        <v>314</v>
      </c>
      <c r="C170" s="65" t="s">
        <v>2100</v>
      </c>
      <c r="D170" s="66">
        <v>3.7</v>
      </c>
      <c r="E170" s="67"/>
      <c r="F170" s="68">
        <v>38</v>
      </c>
      <c r="G170" s="65"/>
      <c r="H170" s="69"/>
      <c r="I170" s="70"/>
      <c r="J170" s="70"/>
      <c r="K170" s="35" t="s">
        <v>65</v>
      </c>
      <c r="L170" s="77">
        <v>170</v>
      </c>
      <c r="M17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70" s="72"/>
      <c r="O170" s="79" t="s">
        <v>337</v>
      </c>
      <c r="P170" s="81">
        <v>44405.008206018516</v>
      </c>
      <c r="Q170" s="79" t="s">
        <v>360</v>
      </c>
      <c r="R170" s="79"/>
      <c r="S170" s="79"/>
      <c r="T170" s="85" t="s">
        <v>474</v>
      </c>
      <c r="U170" s="83" t="str">
        <f>HYPERLINK("https://pbs.twimg.com/media/EQ1_Rq-WsAE6FpH.jpg")</f>
        <v>https://pbs.twimg.com/media/EQ1_Rq-WsAE6FpH.jpg</v>
      </c>
      <c r="V170" s="83" t="str">
        <f>HYPERLINK("https://pbs.twimg.com/media/EQ1_Rq-WsAE6FpH.jpg")</f>
        <v>https://pbs.twimg.com/media/EQ1_Rq-WsAE6FpH.jpg</v>
      </c>
      <c r="W170" s="81">
        <v>44405.008206018516</v>
      </c>
      <c r="X170" s="87">
        <v>44405</v>
      </c>
      <c r="Y170" s="85" t="s">
        <v>540</v>
      </c>
      <c r="Z170" s="83" t="str">
        <f>HYPERLINK("https://twitter.com/aaron_cortes/status/1420175121726255107")</f>
        <v>https://twitter.com/aaron_cortes/status/1420175121726255107</v>
      </c>
      <c r="AA170" s="79"/>
      <c r="AB170" s="79"/>
      <c r="AC170" s="85" t="s">
        <v>719</v>
      </c>
      <c r="AD170" s="79"/>
      <c r="AE170" s="79" t="b">
        <v>0</v>
      </c>
      <c r="AF170" s="79">
        <v>0</v>
      </c>
      <c r="AG170" s="85" t="s">
        <v>867</v>
      </c>
      <c r="AH170" s="79" t="b">
        <v>0</v>
      </c>
      <c r="AI170" s="79" t="s">
        <v>874</v>
      </c>
      <c r="AJ170" s="79"/>
      <c r="AK170" s="85" t="s">
        <v>867</v>
      </c>
      <c r="AL170" s="79" t="b">
        <v>0</v>
      </c>
      <c r="AM170" s="79">
        <v>7</v>
      </c>
      <c r="AN170" s="85" t="s">
        <v>718</v>
      </c>
      <c r="AO170" s="85" t="s">
        <v>883</v>
      </c>
      <c r="AP170" s="79" t="b">
        <v>0</v>
      </c>
      <c r="AQ170" s="85" t="s">
        <v>718</v>
      </c>
      <c r="AR170" s="79" t="s">
        <v>177</v>
      </c>
      <c r="AS170" s="79">
        <v>0</v>
      </c>
      <c r="AT170" s="79">
        <v>0</v>
      </c>
      <c r="AU170" s="79"/>
      <c r="AV170" s="79"/>
      <c r="AW170" s="79"/>
      <c r="AX170" s="79"/>
      <c r="AY170" s="79"/>
      <c r="AZ170" s="79"/>
      <c r="BA170" s="79"/>
      <c r="BB170" s="79"/>
      <c r="BC170">
        <v>2</v>
      </c>
      <c r="BD170" s="78" t="str">
        <f>REPLACE(INDEX(GroupVertices[Group], MATCH(Edges[[#This Row],[Vertex 1]],GroupVertices[Vertex],0)),1,1,"")</f>
        <v>4</v>
      </c>
      <c r="BE170" s="78" t="str">
        <f>REPLACE(INDEX(GroupVertices[Group], MATCH(Edges[[#This Row],[Vertex 2]],GroupVertices[Vertex],0)),1,1,"")</f>
        <v>4</v>
      </c>
    </row>
    <row r="171" spans="1:57" x14ac:dyDescent="0.25">
      <c r="A171" s="64" t="s">
        <v>257</v>
      </c>
      <c r="B171" s="64" t="s">
        <v>256</v>
      </c>
      <c r="C171" s="65" t="s">
        <v>2100</v>
      </c>
      <c r="D171" s="66">
        <v>3.7</v>
      </c>
      <c r="E171" s="67"/>
      <c r="F171" s="68">
        <v>38</v>
      </c>
      <c r="G171" s="65"/>
      <c r="H171" s="69"/>
      <c r="I171" s="70"/>
      <c r="J171" s="70"/>
      <c r="K171" s="35" t="s">
        <v>66</v>
      </c>
      <c r="L171" s="77">
        <v>171</v>
      </c>
      <c r="M17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71" s="72"/>
      <c r="O171" s="79" t="s">
        <v>339</v>
      </c>
      <c r="P171" s="81">
        <v>44404.840127314812</v>
      </c>
      <c r="Q171" s="79" t="s">
        <v>356</v>
      </c>
      <c r="R171" s="79"/>
      <c r="S171" s="79"/>
      <c r="T171" s="85" t="s">
        <v>461</v>
      </c>
      <c r="U171" s="83" t="str">
        <f>HYPERLINK("https://pbs.twimg.com/media/E7VCWcGXMAQx84B.jpg")</f>
        <v>https://pbs.twimg.com/media/E7VCWcGXMAQx84B.jpg</v>
      </c>
      <c r="V171" s="83" t="str">
        <f>HYPERLINK("https://pbs.twimg.com/media/E7VCWcGXMAQx84B.jpg")</f>
        <v>https://pbs.twimg.com/media/E7VCWcGXMAQx84B.jpg</v>
      </c>
      <c r="W171" s="81">
        <v>44404.840127314812</v>
      </c>
      <c r="X171" s="87">
        <v>44404</v>
      </c>
      <c r="Y171" s="85" t="s">
        <v>557</v>
      </c>
      <c r="Z171" s="83" t="str">
        <f>HYPERLINK("https://twitter.com/_maburnett/status/1420114213658402821")</f>
        <v>https://twitter.com/_maburnett/status/1420114213658402821</v>
      </c>
      <c r="AA171" s="79"/>
      <c r="AB171" s="79"/>
      <c r="AC171" s="85" t="s">
        <v>736</v>
      </c>
      <c r="AD171" s="79"/>
      <c r="AE171" s="79" t="b">
        <v>0</v>
      </c>
      <c r="AF171" s="79">
        <v>337</v>
      </c>
      <c r="AG171" s="85" t="s">
        <v>867</v>
      </c>
      <c r="AH171" s="79" t="b">
        <v>0</v>
      </c>
      <c r="AI171" s="79" t="s">
        <v>874</v>
      </c>
      <c r="AJ171" s="79"/>
      <c r="AK171" s="85" t="s">
        <v>867</v>
      </c>
      <c r="AL171" s="79" t="b">
        <v>0</v>
      </c>
      <c r="AM171" s="79">
        <v>21</v>
      </c>
      <c r="AN171" s="85" t="s">
        <v>867</v>
      </c>
      <c r="AO171" s="85" t="s">
        <v>883</v>
      </c>
      <c r="AP171" s="79" t="b">
        <v>0</v>
      </c>
      <c r="AQ171" s="85" t="s">
        <v>736</v>
      </c>
      <c r="AR171" s="79" t="s">
        <v>177</v>
      </c>
      <c r="AS171" s="79">
        <v>0</v>
      </c>
      <c r="AT171" s="79">
        <v>0</v>
      </c>
      <c r="AU171" s="79"/>
      <c r="AV171" s="79"/>
      <c r="AW171" s="79"/>
      <c r="AX171" s="79"/>
      <c r="AY171" s="79"/>
      <c r="AZ171" s="79"/>
      <c r="BA171" s="79"/>
      <c r="BB171" s="79"/>
      <c r="BC171">
        <v>2</v>
      </c>
      <c r="BD171" s="78" t="str">
        <f>REPLACE(INDEX(GroupVertices[Group], MATCH(Edges[[#This Row],[Vertex 1]],GroupVertices[Vertex],0)),1,1,"")</f>
        <v>2</v>
      </c>
      <c r="BE171" s="78" t="str">
        <f>REPLACE(INDEX(GroupVertices[Group], MATCH(Edges[[#This Row],[Vertex 2]],GroupVertices[Vertex],0)),1,1,"")</f>
        <v>2</v>
      </c>
    </row>
    <row r="172" spans="1:57" x14ac:dyDescent="0.25">
      <c r="A172" s="64" t="s">
        <v>257</v>
      </c>
      <c r="B172" s="64" t="s">
        <v>256</v>
      </c>
      <c r="C172" s="65" t="s">
        <v>2100</v>
      </c>
      <c r="D172" s="66">
        <v>3.7</v>
      </c>
      <c r="E172" s="67"/>
      <c r="F172" s="68">
        <v>38</v>
      </c>
      <c r="G172" s="65"/>
      <c r="H172" s="69"/>
      <c r="I172" s="70"/>
      <c r="J172" s="70"/>
      <c r="K172" s="35" t="s">
        <v>66</v>
      </c>
      <c r="L172" s="77">
        <v>172</v>
      </c>
      <c r="M17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72" s="72"/>
      <c r="O172" s="79" t="s">
        <v>338</v>
      </c>
      <c r="P172" s="81">
        <v>44404.872256944444</v>
      </c>
      <c r="Q172" s="79" t="s">
        <v>358</v>
      </c>
      <c r="R172" s="83" t="str">
        <f>HYPERLINK("https://twitter.com/_MABurnett/status/1420114213658402821")</f>
        <v>https://twitter.com/_MABurnett/status/1420114213658402821</v>
      </c>
      <c r="S172" s="79" t="s">
        <v>449</v>
      </c>
      <c r="T172" s="85" t="s">
        <v>461</v>
      </c>
      <c r="U172" s="79"/>
      <c r="V172" s="83" t="str">
        <f>HYPERLINK("https://pbs.twimg.com/profile_images/1097350935356063744/0kWU7Jqp_normal.jpg")</f>
        <v>https://pbs.twimg.com/profile_images/1097350935356063744/0kWU7Jqp_normal.jpg</v>
      </c>
      <c r="W172" s="81">
        <v>44404.872256944444</v>
      </c>
      <c r="X172" s="87">
        <v>44404</v>
      </c>
      <c r="Y172" s="85" t="s">
        <v>552</v>
      </c>
      <c r="Z172" s="83" t="str">
        <f>HYPERLINK("https://twitter.com/_maburnett/status/1420125856312221701")</f>
        <v>https://twitter.com/_maburnett/status/1420125856312221701</v>
      </c>
      <c r="AA172" s="79"/>
      <c r="AB172" s="79"/>
      <c r="AC172" s="85" t="s">
        <v>731</v>
      </c>
      <c r="AD172" s="79"/>
      <c r="AE172" s="79" t="b">
        <v>0</v>
      </c>
      <c r="AF172" s="79">
        <v>0</v>
      </c>
      <c r="AG172" s="85" t="s">
        <v>867</v>
      </c>
      <c r="AH172" s="79" t="b">
        <v>1</v>
      </c>
      <c r="AI172" s="79" t="s">
        <v>874</v>
      </c>
      <c r="AJ172" s="79"/>
      <c r="AK172" s="85" t="s">
        <v>736</v>
      </c>
      <c r="AL172" s="79" t="b">
        <v>0</v>
      </c>
      <c r="AM172" s="79">
        <v>5</v>
      </c>
      <c r="AN172" s="85" t="s">
        <v>730</v>
      </c>
      <c r="AO172" s="85" t="s">
        <v>883</v>
      </c>
      <c r="AP172" s="79" t="b">
        <v>0</v>
      </c>
      <c r="AQ172" s="85" t="s">
        <v>730</v>
      </c>
      <c r="AR172" s="79" t="s">
        <v>177</v>
      </c>
      <c r="AS172" s="79">
        <v>0</v>
      </c>
      <c r="AT172" s="79">
        <v>0</v>
      </c>
      <c r="AU172" s="79"/>
      <c r="AV172" s="79"/>
      <c r="AW172" s="79"/>
      <c r="AX172" s="79"/>
      <c r="AY172" s="79"/>
      <c r="AZ172" s="79"/>
      <c r="BA172" s="79"/>
      <c r="BB172" s="79"/>
      <c r="BC172">
        <v>2</v>
      </c>
      <c r="BD172" s="78" t="str">
        <f>REPLACE(INDEX(GroupVertices[Group], MATCH(Edges[[#This Row],[Vertex 1]],GroupVertices[Vertex],0)),1,1,"")</f>
        <v>2</v>
      </c>
      <c r="BE172" s="78" t="str">
        <f>REPLACE(INDEX(GroupVertices[Group], MATCH(Edges[[#This Row],[Vertex 2]],GroupVertices[Vertex],0)),1,1,"")</f>
        <v>2</v>
      </c>
    </row>
    <row r="173" spans="1:57" x14ac:dyDescent="0.25">
      <c r="A173" s="64" t="s">
        <v>258</v>
      </c>
      <c r="B173" s="64" t="s">
        <v>256</v>
      </c>
      <c r="C173" s="65" t="s">
        <v>2100</v>
      </c>
      <c r="D173" s="66">
        <v>3.7</v>
      </c>
      <c r="E173" s="67"/>
      <c r="F173" s="68">
        <v>38</v>
      </c>
      <c r="G173" s="65"/>
      <c r="H173" s="69"/>
      <c r="I173" s="70"/>
      <c r="J173" s="70"/>
      <c r="K173" s="35" t="s">
        <v>65</v>
      </c>
      <c r="L173" s="77">
        <v>173</v>
      </c>
      <c r="M17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73" s="72"/>
      <c r="O173" s="79" t="s">
        <v>337</v>
      </c>
      <c r="P173" s="81">
        <v>44405.530636574076</v>
      </c>
      <c r="Q173" s="79" t="s">
        <v>356</v>
      </c>
      <c r="R173" s="79"/>
      <c r="S173" s="79"/>
      <c r="T173" s="85" t="s">
        <v>461</v>
      </c>
      <c r="U173" s="83" t="str">
        <f>HYPERLINK("https://pbs.twimg.com/media/E7VCWcGXMAQx84B.jpg")</f>
        <v>https://pbs.twimg.com/media/E7VCWcGXMAQx84B.jpg</v>
      </c>
      <c r="V173" s="83" t="str">
        <f>HYPERLINK("https://pbs.twimg.com/media/E7VCWcGXMAQx84B.jpg")</f>
        <v>https://pbs.twimg.com/media/E7VCWcGXMAQx84B.jpg</v>
      </c>
      <c r="W173" s="81">
        <v>44405.530636574076</v>
      </c>
      <c r="X173" s="87">
        <v>44405</v>
      </c>
      <c r="Y173" s="85" t="s">
        <v>554</v>
      </c>
      <c r="Z173" s="83" t="str">
        <f>HYPERLINK("https://twitter.com/uncpsych/status/1420364444257820673")</f>
        <v>https://twitter.com/uncpsych/status/1420364444257820673</v>
      </c>
      <c r="AA173" s="79"/>
      <c r="AB173" s="79"/>
      <c r="AC173" s="85" t="s">
        <v>733</v>
      </c>
      <c r="AD173" s="79"/>
      <c r="AE173" s="79" t="b">
        <v>0</v>
      </c>
      <c r="AF173" s="79">
        <v>0</v>
      </c>
      <c r="AG173" s="85" t="s">
        <v>867</v>
      </c>
      <c r="AH173" s="79" t="b">
        <v>0</v>
      </c>
      <c r="AI173" s="79" t="s">
        <v>874</v>
      </c>
      <c r="AJ173" s="79"/>
      <c r="AK173" s="85" t="s">
        <v>867</v>
      </c>
      <c r="AL173" s="79" t="b">
        <v>0</v>
      </c>
      <c r="AM173" s="79">
        <v>21</v>
      </c>
      <c r="AN173" s="85" t="s">
        <v>736</v>
      </c>
      <c r="AO173" s="85" t="s">
        <v>882</v>
      </c>
      <c r="AP173" s="79" t="b">
        <v>0</v>
      </c>
      <c r="AQ173" s="85" t="s">
        <v>736</v>
      </c>
      <c r="AR173" s="79" t="s">
        <v>177</v>
      </c>
      <c r="AS173" s="79">
        <v>0</v>
      </c>
      <c r="AT173" s="79">
        <v>0</v>
      </c>
      <c r="AU173" s="79"/>
      <c r="AV173" s="79"/>
      <c r="AW173" s="79"/>
      <c r="AX173" s="79"/>
      <c r="AY173" s="79"/>
      <c r="AZ173" s="79"/>
      <c r="BA173" s="79"/>
      <c r="BB173" s="79"/>
      <c r="BC173">
        <v>2</v>
      </c>
      <c r="BD173" s="78" t="str">
        <f>REPLACE(INDEX(GroupVertices[Group], MATCH(Edges[[#This Row],[Vertex 1]],GroupVertices[Vertex],0)),1,1,"")</f>
        <v>2</v>
      </c>
      <c r="BE173" s="78" t="str">
        <f>REPLACE(INDEX(GroupVertices[Group], MATCH(Edges[[#This Row],[Vertex 2]],GroupVertices[Vertex],0)),1,1,"")</f>
        <v>2</v>
      </c>
    </row>
    <row r="174" spans="1:57" x14ac:dyDescent="0.25">
      <c r="A174" s="64" t="s">
        <v>258</v>
      </c>
      <c r="B174" s="64" t="s">
        <v>256</v>
      </c>
      <c r="C174" s="65" t="s">
        <v>2100</v>
      </c>
      <c r="D174" s="66">
        <v>3.7</v>
      </c>
      <c r="E174" s="67"/>
      <c r="F174" s="68">
        <v>38</v>
      </c>
      <c r="G174" s="65"/>
      <c r="H174" s="69"/>
      <c r="I174" s="70"/>
      <c r="J174" s="70"/>
      <c r="K174" s="35" t="s">
        <v>65</v>
      </c>
      <c r="L174" s="77">
        <v>174</v>
      </c>
      <c r="M17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74" s="72"/>
      <c r="O174" s="79" t="s">
        <v>338</v>
      </c>
      <c r="P174" s="81">
        <v>44405.530972222223</v>
      </c>
      <c r="Q174" s="79" t="s">
        <v>358</v>
      </c>
      <c r="R174" s="83" t="str">
        <f>HYPERLINK("https://twitter.com/_MABurnett/status/1420114213658402821")</f>
        <v>https://twitter.com/_MABurnett/status/1420114213658402821</v>
      </c>
      <c r="S174" s="79" t="s">
        <v>449</v>
      </c>
      <c r="T174" s="85" t="s">
        <v>461</v>
      </c>
      <c r="U174" s="79"/>
      <c r="V174" s="83" t="str">
        <f>HYPERLINK("https://pbs.twimg.com/profile_images/616240390400704513/E83Hn7QQ_normal.png")</f>
        <v>https://pbs.twimg.com/profile_images/616240390400704513/E83Hn7QQ_normal.png</v>
      </c>
      <c r="W174" s="81">
        <v>44405.530972222223</v>
      </c>
      <c r="X174" s="87">
        <v>44405</v>
      </c>
      <c r="Y174" s="85" t="s">
        <v>553</v>
      </c>
      <c r="Z174" s="83" t="str">
        <f>HYPERLINK("https://twitter.com/uncpsych/status/1420364565968130048")</f>
        <v>https://twitter.com/uncpsych/status/1420364565968130048</v>
      </c>
      <c r="AA174" s="79"/>
      <c r="AB174" s="79"/>
      <c r="AC174" s="85" t="s">
        <v>732</v>
      </c>
      <c r="AD174" s="79"/>
      <c r="AE174" s="79" t="b">
        <v>0</v>
      </c>
      <c r="AF174" s="79">
        <v>0</v>
      </c>
      <c r="AG174" s="85" t="s">
        <v>867</v>
      </c>
      <c r="AH174" s="79" t="b">
        <v>1</v>
      </c>
      <c r="AI174" s="79" t="s">
        <v>874</v>
      </c>
      <c r="AJ174" s="79"/>
      <c r="AK174" s="85" t="s">
        <v>736</v>
      </c>
      <c r="AL174" s="79" t="b">
        <v>0</v>
      </c>
      <c r="AM174" s="79">
        <v>5</v>
      </c>
      <c r="AN174" s="85" t="s">
        <v>730</v>
      </c>
      <c r="AO174" s="85" t="s">
        <v>882</v>
      </c>
      <c r="AP174" s="79" t="b">
        <v>0</v>
      </c>
      <c r="AQ174" s="85" t="s">
        <v>730</v>
      </c>
      <c r="AR174" s="79" t="s">
        <v>177</v>
      </c>
      <c r="AS174" s="79">
        <v>0</v>
      </c>
      <c r="AT174" s="79">
        <v>0</v>
      </c>
      <c r="AU174" s="79"/>
      <c r="AV174" s="79"/>
      <c r="AW174" s="79"/>
      <c r="AX174" s="79"/>
      <c r="AY174" s="79"/>
      <c r="AZ174" s="79"/>
      <c r="BA174" s="79"/>
      <c r="BB174" s="79"/>
      <c r="BC174">
        <v>2</v>
      </c>
      <c r="BD174" s="78" t="str">
        <f>REPLACE(INDEX(GroupVertices[Group], MATCH(Edges[[#This Row],[Vertex 1]],GroupVertices[Vertex],0)),1,1,"")</f>
        <v>2</v>
      </c>
      <c r="BE174" s="78" t="str">
        <f>REPLACE(INDEX(GroupVertices[Group], MATCH(Edges[[#This Row],[Vertex 2]],GroupVertices[Vertex],0)),1,1,"")</f>
        <v>2</v>
      </c>
    </row>
    <row r="175" spans="1:57" x14ac:dyDescent="0.25">
      <c r="A175" s="64" t="s">
        <v>289</v>
      </c>
      <c r="B175" s="64" t="s">
        <v>287</v>
      </c>
      <c r="C175" s="65" t="s">
        <v>2100</v>
      </c>
      <c r="D175" s="66">
        <v>3.7</v>
      </c>
      <c r="E175" s="67"/>
      <c r="F175" s="68">
        <v>38</v>
      </c>
      <c r="G175" s="65"/>
      <c r="H175" s="69"/>
      <c r="I175" s="70"/>
      <c r="J175" s="70"/>
      <c r="K175" s="35" t="s">
        <v>65</v>
      </c>
      <c r="L175" s="77">
        <v>175</v>
      </c>
      <c r="M17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75" s="72"/>
      <c r="O175" s="79" t="s">
        <v>339</v>
      </c>
      <c r="P175" s="81">
        <v>44404.613877314812</v>
      </c>
      <c r="Q175" s="79" t="s">
        <v>367</v>
      </c>
      <c r="R175" s="83" t="str">
        <f>HYPERLINK("https://www.youtube.com/shorts/qku6RAs0B3k?feature=share")</f>
        <v>https://www.youtube.com/shorts/qku6RAs0B3k?feature=share</v>
      </c>
      <c r="S175" s="79" t="s">
        <v>450</v>
      </c>
      <c r="T175" s="85" t="s">
        <v>478</v>
      </c>
      <c r="U175" s="83" t="str">
        <f>HYPERLINK("https://pbs.twimg.com/media/E7T3xyJWQAYfYP3.jpg")</f>
        <v>https://pbs.twimg.com/media/E7T3xyJWQAYfYP3.jpg</v>
      </c>
      <c r="V175" s="83" t="str">
        <f>HYPERLINK("https://pbs.twimg.com/media/E7T3xyJWQAYfYP3.jpg")</f>
        <v>https://pbs.twimg.com/media/E7T3xyJWQAYfYP3.jpg</v>
      </c>
      <c r="W175" s="81">
        <v>44404.613877314812</v>
      </c>
      <c r="X175" s="87">
        <v>44404</v>
      </c>
      <c r="Y175" s="85" t="s">
        <v>609</v>
      </c>
      <c r="Z175" s="83" t="str">
        <f>HYPERLINK("https://twitter.com/ucatonsville/status/1420032222283898895")</f>
        <v>https://twitter.com/ucatonsville/status/1420032222283898895</v>
      </c>
      <c r="AA175" s="79"/>
      <c r="AB175" s="79"/>
      <c r="AC175" s="85" t="s">
        <v>789</v>
      </c>
      <c r="AD175" s="79"/>
      <c r="AE175" s="79" t="b">
        <v>0</v>
      </c>
      <c r="AF175" s="79">
        <v>4</v>
      </c>
      <c r="AG175" s="85" t="s">
        <v>867</v>
      </c>
      <c r="AH175" s="79" t="b">
        <v>0</v>
      </c>
      <c r="AI175" s="79" t="s">
        <v>874</v>
      </c>
      <c r="AJ175" s="79"/>
      <c r="AK175" s="85" t="s">
        <v>867</v>
      </c>
      <c r="AL175" s="79" t="b">
        <v>0</v>
      </c>
      <c r="AM175" s="79">
        <v>3</v>
      </c>
      <c r="AN175" s="85" t="s">
        <v>867</v>
      </c>
      <c r="AO175" s="85" t="s">
        <v>883</v>
      </c>
      <c r="AP175" s="79" t="b">
        <v>0</v>
      </c>
      <c r="AQ175" s="85" t="s">
        <v>789</v>
      </c>
      <c r="AR175" s="79" t="s">
        <v>177</v>
      </c>
      <c r="AS175" s="79">
        <v>0</v>
      </c>
      <c r="AT175" s="79">
        <v>0</v>
      </c>
      <c r="AU175" s="79" t="s">
        <v>892</v>
      </c>
      <c r="AV175" s="79" t="s">
        <v>902</v>
      </c>
      <c r="AW175" s="79" t="s">
        <v>903</v>
      </c>
      <c r="AX175" s="79" t="s">
        <v>905</v>
      </c>
      <c r="AY175" s="79" t="s">
        <v>915</v>
      </c>
      <c r="AZ175" s="79" t="s">
        <v>905</v>
      </c>
      <c r="BA175" s="79" t="s">
        <v>931</v>
      </c>
      <c r="BB175" s="83" t="str">
        <f>HYPERLINK("https://api.twitter.com/1.1/geo/id/07d9ccb5d1086000.json")</f>
        <v>https://api.twitter.com/1.1/geo/id/07d9ccb5d1086000.json</v>
      </c>
      <c r="BC175">
        <v>2</v>
      </c>
      <c r="BD175" s="78" t="str">
        <f>REPLACE(INDEX(GroupVertices[Group], MATCH(Edges[[#This Row],[Vertex 1]],GroupVertices[Vertex],0)),1,1,"")</f>
        <v>3</v>
      </c>
      <c r="BE175" s="78" t="str">
        <f>REPLACE(INDEX(GroupVertices[Group], MATCH(Edges[[#This Row],[Vertex 2]],GroupVertices[Vertex],0)),1,1,"")</f>
        <v>1</v>
      </c>
    </row>
    <row r="176" spans="1:57" x14ac:dyDescent="0.25">
      <c r="A176" s="64" t="s">
        <v>289</v>
      </c>
      <c r="B176" s="64" t="s">
        <v>287</v>
      </c>
      <c r="C176" s="65" t="s">
        <v>2100</v>
      </c>
      <c r="D176" s="66">
        <v>3.7</v>
      </c>
      <c r="E176" s="67"/>
      <c r="F176" s="68">
        <v>38</v>
      </c>
      <c r="G176" s="65"/>
      <c r="H176" s="69"/>
      <c r="I176" s="70"/>
      <c r="J176" s="70"/>
      <c r="K176" s="35" t="s">
        <v>65</v>
      </c>
      <c r="L176" s="77">
        <v>176</v>
      </c>
      <c r="M17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76" s="72"/>
      <c r="O176" s="79" t="s">
        <v>339</v>
      </c>
      <c r="P176" s="81">
        <v>44404.614560185182</v>
      </c>
      <c r="Q176" s="79" t="s">
        <v>371</v>
      </c>
      <c r="R176" s="83" t="str">
        <f>HYPERLINK("https://youtube.com/shorts/qku6RAs")</f>
        <v>https://youtube.com/shorts/qku6RAs</v>
      </c>
      <c r="S176" s="79" t="s">
        <v>450</v>
      </c>
      <c r="T176" s="85" t="s">
        <v>478</v>
      </c>
      <c r="U176" s="79"/>
      <c r="V176" s="83" t="str">
        <f>HYPERLINK("https://pbs.twimg.com/profile_images/1280188684483076097/hDD1guXX_normal.jpg")</f>
        <v>https://pbs.twimg.com/profile_images/1280188684483076097/hDD1guXX_normal.jpg</v>
      </c>
      <c r="W176" s="81">
        <v>44404.614560185182</v>
      </c>
      <c r="X176" s="87">
        <v>44404</v>
      </c>
      <c r="Y176" s="85" t="s">
        <v>610</v>
      </c>
      <c r="Z176" s="83" t="str">
        <f>HYPERLINK("https://twitter.com/ucatonsville/status/1420032469043134480")</f>
        <v>https://twitter.com/ucatonsville/status/1420032469043134480</v>
      </c>
      <c r="AA176" s="79"/>
      <c r="AB176" s="79"/>
      <c r="AC176" s="85" t="s">
        <v>790</v>
      </c>
      <c r="AD176" s="79"/>
      <c r="AE176" s="79" t="b">
        <v>0</v>
      </c>
      <c r="AF176" s="79">
        <v>5</v>
      </c>
      <c r="AG176" s="85" t="s">
        <v>867</v>
      </c>
      <c r="AH176" s="79" t="b">
        <v>0</v>
      </c>
      <c r="AI176" s="79" t="s">
        <v>874</v>
      </c>
      <c r="AJ176" s="79"/>
      <c r="AK176" s="85" t="s">
        <v>867</v>
      </c>
      <c r="AL176" s="79" t="b">
        <v>0</v>
      </c>
      <c r="AM176" s="79">
        <v>3</v>
      </c>
      <c r="AN176" s="85" t="s">
        <v>867</v>
      </c>
      <c r="AO176" s="85" t="s">
        <v>883</v>
      </c>
      <c r="AP176" s="79" t="b">
        <v>0</v>
      </c>
      <c r="AQ176" s="85" t="s">
        <v>790</v>
      </c>
      <c r="AR176" s="79" t="s">
        <v>177</v>
      </c>
      <c r="AS176" s="79">
        <v>0</v>
      </c>
      <c r="AT176" s="79">
        <v>0</v>
      </c>
      <c r="AU176" s="79" t="s">
        <v>892</v>
      </c>
      <c r="AV176" s="79" t="s">
        <v>902</v>
      </c>
      <c r="AW176" s="79" t="s">
        <v>903</v>
      </c>
      <c r="AX176" s="79" t="s">
        <v>905</v>
      </c>
      <c r="AY176" s="79" t="s">
        <v>915</v>
      </c>
      <c r="AZ176" s="79" t="s">
        <v>905</v>
      </c>
      <c r="BA176" s="79" t="s">
        <v>931</v>
      </c>
      <c r="BB176" s="83" t="str">
        <f>HYPERLINK("https://api.twitter.com/1.1/geo/id/07d9ccb5d1086000.json")</f>
        <v>https://api.twitter.com/1.1/geo/id/07d9ccb5d1086000.json</v>
      </c>
      <c r="BC176">
        <v>2</v>
      </c>
      <c r="BD176" s="78" t="str">
        <f>REPLACE(INDEX(GroupVertices[Group], MATCH(Edges[[#This Row],[Vertex 1]],GroupVertices[Vertex],0)),1,1,"")</f>
        <v>3</v>
      </c>
      <c r="BE176" s="78" t="str">
        <f>REPLACE(INDEX(GroupVertices[Group], MATCH(Edges[[#This Row],[Vertex 2]],GroupVertices[Vertex],0)),1,1,"")</f>
        <v>1</v>
      </c>
    </row>
    <row r="177" spans="1:57" x14ac:dyDescent="0.25">
      <c r="A177" s="64" t="s">
        <v>287</v>
      </c>
      <c r="B177" s="64" t="s">
        <v>287</v>
      </c>
      <c r="C177" s="65" t="s">
        <v>2100</v>
      </c>
      <c r="D177" s="66">
        <v>3.7</v>
      </c>
      <c r="E177" s="67"/>
      <c r="F177" s="68">
        <v>38</v>
      </c>
      <c r="G177" s="65"/>
      <c r="H177" s="69"/>
      <c r="I177" s="70"/>
      <c r="J177" s="70"/>
      <c r="K177" s="35" t="s">
        <v>65</v>
      </c>
      <c r="L177" s="77">
        <v>177</v>
      </c>
      <c r="M17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77" s="72"/>
      <c r="O177" s="79" t="s">
        <v>177</v>
      </c>
      <c r="P177" s="81">
        <v>44404.701412037037</v>
      </c>
      <c r="Q177" s="79" t="s">
        <v>437</v>
      </c>
      <c r="R177" s="83" t="str">
        <f>HYPERLINK("https://www.collins.senate.gov/newsroom/collins-tester-baldwin-lead-push-trio-program-funding-assist-first-generation-low-income")</f>
        <v>https://www.collins.senate.gov/newsroom/collins-tester-baldwin-lead-push-trio-program-funding-assist-first-generation-low-income</v>
      </c>
      <c r="S177" s="79" t="s">
        <v>456</v>
      </c>
      <c r="T177" s="85" t="s">
        <v>461</v>
      </c>
      <c r="U177" s="79"/>
      <c r="V177" s="83" t="str">
        <f>HYPERLINK("https://pbs.twimg.com/profile_images/1311001884824604676/RVdli881_normal.png")</f>
        <v>https://pbs.twimg.com/profile_images/1311001884824604676/RVdli881_normal.png</v>
      </c>
      <c r="W177" s="81">
        <v>44404.701412037037</v>
      </c>
      <c r="X177" s="87">
        <v>44404</v>
      </c>
      <c r="Y177" s="85" t="s">
        <v>676</v>
      </c>
      <c r="Z177" s="83" t="str">
        <f>HYPERLINK("https://twitter.com/coetalk/status/1420063944702513153")</f>
        <v>https://twitter.com/coetalk/status/1420063944702513153</v>
      </c>
      <c r="AA177" s="79"/>
      <c r="AB177" s="79"/>
      <c r="AC177" s="85" t="s">
        <v>856</v>
      </c>
      <c r="AD177" s="79"/>
      <c r="AE177" s="79" t="b">
        <v>0</v>
      </c>
      <c r="AF177" s="79">
        <v>7</v>
      </c>
      <c r="AG177" s="85" t="s">
        <v>867</v>
      </c>
      <c r="AH177" s="79" t="b">
        <v>0</v>
      </c>
      <c r="AI177" s="79" t="s">
        <v>874</v>
      </c>
      <c r="AJ177" s="79"/>
      <c r="AK177" s="85" t="s">
        <v>867</v>
      </c>
      <c r="AL177" s="79" t="b">
        <v>0</v>
      </c>
      <c r="AM177" s="79">
        <v>1</v>
      </c>
      <c r="AN177" s="85" t="s">
        <v>867</v>
      </c>
      <c r="AO177" s="85" t="s">
        <v>885</v>
      </c>
      <c r="AP177" s="79" t="b">
        <v>0</v>
      </c>
      <c r="AQ177" s="85" t="s">
        <v>856</v>
      </c>
      <c r="AR177" s="79" t="s">
        <v>177</v>
      </c>
      <c r="AS177" s="79">
        <v>0</v>
      </c>
      <c r="AT177" s="79">
        <v>0</v>
      </c>
      <c r="AU177" s="79"/>
      <c r="AV177" s="79"/>
      <c r="AW177" s="79"/>
      <c r="AX177" s="79"/>
      <c r="AY177" s="79"/>
      <c r="AZ177" s="79"/>
      <c r="BA177" s="79"/>
      <c r="BB177" s="79"/>
      <c r="BC177">
        <v>2</v>
      </c>
      <c r="BD177" s="78" t="str">
        <f>REPLACE(INDEX(GroupVertices[Group], MATCH(Edges[[#This Row],[Vertex 1]],GroupVertices[Vertex],0)),1,1,"")</f>
        <v>1</v>
      </c>
      <c r="BE177" s="78" t="str">
        <f>REPLACE(INDEX(GroupVertices[Group], MATCH(Edges[[#This Row],[Vertex 2]],GroupVertices[Vertex],0)),1,1,"")</f>
        <v>1</v>
      </c>
    </row>
    <row r="178" spans="1:57" x14ac:dyDescent="0.25">
      <c r="A178" s="64" t="s">
        <v>287</v>
      </c>
      <c r="B178" s="64" t="s">
        <v>287</v>
      </c>
      <c r="C178" s="65" t="s">
        <v>2100</v>
      </c>
      <c r="D178" s="66">
        <v>3.7</v>
      </c>
      <c r="E178" s="67"/>
      <c r="F178" s="68">
        <v>38</v>
      </c>
      <c r="G178" s="65"/>
      <c r="H178" s="69"/>
      <c r="I178" s="70"/>
      <c r="J178" s="70"/>
      <c r="K178" s="35" t="s">
        <v>65</v>
      </c>
      <c r="L178" s="77">
        <v>178</v>
      </c>
      <c r="M17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78" s="72"/>
      <c r="O178" s="79" t="s">
        <v>177</v>
      </c>
      <c r="P178" s="81">
        <v>44405.576423611114</v>
      </c>
      <c r="Q178" s="79" t="s">
        <v>438</v>
      </c>
      <c r="R178" s="83" t="str">
        <f>HYPERLINK("https://thenevadaindependent.com/article/new-funding-gives-boost-to-programs-serving-future-first-generation-college-students")</f>
        <v>https://thenevadaindependent.com/article/new-funding-gives-boost-to-programs-serving-future-first-generation-college-students</v>
      </c>
      <c r="S178" s="79" t="s">
        <v>457</v>
      </c>
      <c r="T178" s="85" t="s">
        <v>461</v>
      </c>
      <c r="U178" s="79"/>
      <c r="V178" s="83" t="str">
        <f>HYPERLINK("https://pbs.twimg.com/profile_images/1311001884824604676/RVdli881_normal.png")</f>
        <v>https://pbs.twimg.com/profile_images/1311001884824604676/RVdli881_normal.png</v>
      </c>
      <c r="W178" s="81">
        <v>44405.576423611114</v>
      </c>
      <c r="X178" s="87">
        <v>44405</v>
      </c>
      <c r="Y178" s="85" t="s">
        <v>677</v>
      </c>
      <c r="Z178" s="83" t="str">
        <f>HYPERLINK("https://twitter.com/coetalk/status/1420381036123496453")</f>
        <v>https://twitter.com/coetalk/status/1420381036123496453</v>
      </c>
      <c r="AA178" s="79"/>
      <c r="AB178" s="79"/>
      <c r="AC178" s="85" t="s">
        <v>857</v>
      </c>
      <c r="AD178" s="79"/>
      <c r="AE178" s="79" t="b">
        <v>0</v>
      </c>
      <c r="AF178" s="79">
        <v>2</v>
      </c>
      <c r="AG178" s="85" t="s">
        <v>867</v>
      </c>
      <c r="AH178" s="79" t="b">
        <v>0</v>
      </c>
      <c r="AI178" s="79" t="s">
        <v>874</v>
      </c>
      <c r="AJ178" s="79"/>
      <c r="AK178" s="85" t="s">
        <v>867</v>
      </c>
      <c r="AL178" s="79" t="b">
        <v>0</v>
      </c>
      <c r="AM178" s="79">
        <v>0</v>
      </c>
      <c r="AN178" s="85" t="s">
        <v>867</v>
      </c>
      <c r="AO178" s="85" t="s">
        <v>885</v>
      </c>
      <c r="AP178" s="79" t="b">
        <v>0</v>
      </c>
      <c r="AQ178" s="85" t="s">
        <v>857</v>
      </c>
      <c r="AR178" s="79" t="s">
        <v>177</v>
      </c>
      <c r="AS178" s="79">
        <v>0</v>
      </c>
      <c r="AT178" s="79">
        <v>0</v>
      </c>
      <c r="AU178" s="79"/>
      <c r="AV178" s="79"/>
      <c r="AW178" s="79"/>
      <c r="AX178" s="79"/>
      <c r="AY178" s="79"/>
      <c r="AZ178" s="79"/>
      <c r="BA178" s="79"/>
      <c r="BB178" s="79"/>
      <c r="BC178">
        <v>2</v>
      </c>
      <c r="BD178" s="78" t="str">
        <f>REPLACE(INDEX(GroupVertices[Group], MATCH(Edges[[#This Row],[Vertex 1]],GroupVertices[Vertex],0)),1,1,"")</f>
        <v>1</v>
      </c>
      <c r="BE178" s="78" t="str">
        <f>REPLACE(INDEX(GroupVertices[Group], MATCH(Edges[[#This Row],[Vertex 2]],GroupVertices[Vertex],0)),1,1,"")</f>
        <v>1</v>
      </c>
    </row>
    <row r="179" spans="1:57" x14ac:dyDescent="0.25">
      <c r="A179" s="64" t="s">
        <v>267</v>
      </c>
      <c r="B179" s="64" t="s">
        <v>287</v>
      </c>
      <c r="C179" s="65" t="s">
        <v>2100</v>
      </c>
      <c r="D179" s="66">
        <v>3.7</v>
      </c>
      <c r="E179" s="67"/>
      <c r="F179" s="68">
        <v>38</v>
      </c>
      <c r="G179" s="65"/>
      <c r="H179" s="69"/>
      <c r="I179" s="70"/>
      <c r="J179" s="70"/>
      <c r="K179" s="35" t="s">
        <v>65</v>
      </c>
      <c r="L179" s="77">
        <v>179</v>
      </c>
      <c r="M17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79" s="72"/>
      <c r="O179" s="79" t="s">
        <v>337</v>
      </c>
      <c r="P179" s="81">
        <v>44406.628321759257</v>
      </c>
      <c r="Q179" s="79" t="s">
        <v>371</v>
      </c>
      <c r="R179" s="83" t="str">
        <f>HYPERLINK("https://youtube.com/shorts/qku6RAs")</f>
        <v>https://youtube.com/shorts/qku6RAs</v>
      </c>
      <c r="S179" s="79" t="s">
        <v>450</v>
      </c>
      <c r="T179" s="85" t="s">
        <v>478</v>
      </c>
      <c r="U179" s="79"/>
      <c r="V179" s="83" t="str">
        <f>HYPERLINK("https://pbs.twimg.com/profile_images/1398299805156360194/2uVusLCs_normal.jpg")</f>
        <v>https://pbs.twimg.com/profile_images/1398299805156360194/2uVusLCs_normal.jpg</v>
      </c>
      <c r="W179" s="81">
        <v>44406.628321759257</v>
      </c>
      <c r="X179" s="87">
        <v>44406</v>
      </c>
      <c r="Y179" s="85" t="s">
        <v>573</v>
      </c>
      <c r="Z179" s="83" t="str">
        <f>HYPERLINK("https://twitter.com/ms_tabu/status/1420762232816914432")</f>
        <v>https://twitter.com/ms_tabu/status/1420762232816914432</v>
      </c>
      <c r="AA179" s="79"/>
      <c r="AB179" s="79"/>
      <c r="AC179" s="85" t="s">
        <v>752</v>
      </c>
      <c r="AD179" s="79"/>
      <c r="AE179" s="79" t="b">
        <v>0</v>
      </c>
      <c r="AF179" s="79">
        <v>0</v>
      </c>
      <c r="AG179" s="85" t="s">
        <v>867</v>
      </c>
      <c r="AH179" s="79" t="b">
        <v>0</v>
      </c>
      <c r="AI179" s="79" t="s">
        <v>874</v>
      </c>
      <c r="AJ179" s="79"/>
      <c r="AK179" s="85" t="s">
        <v>867</v>
      </c>
      <c r="AL179" s="79" t="b">
        <v>0</v>
      </c>
      <c r="AM179" s="79">
        <v>3</v>
      </c>
      <c r="AN179" s="85" t="s">
        <v>790</v>
      </c>
      <c r="AO179" s="85" t="s">
        <v>887</v>
      </c>
      <c r="AP179" s="79" t="b">
        <v>0</v>
      </c>
      <c r="AQ179" s="85" t="s">
        <v>790</v>
      </c>
      <c r="AR179" s="79" t="s">
        <v>177</v>
      </c>
      <c r="AS179" s="79">
        <v>0</v>
      </c>
      <c r="AT179" s="79">
        <v>0</v>
      </c>
      <c r="AU179" s="79"/>
      <c r="AV179" s="79"/>
      <c r="AW179" s="79"/>
      <c r="AX179" s="79"/>
      <c r="AY179" s="79"/>
      <c r="AZ179" s="79"/>
      <c r="BA179" s="79"/>
      <c r="BB179" s="79"/>
      <c r="BC179">
        <v>2</v>
      </c>
      <c r="BD179" s="78" t="str">
        <f>REPLACE(INDEX(GroupVertices[Group], MATCH(Edges[[#This Row],[Vertex 1]],GroupVertices[Vertex],0)),1,1,"")</f>
        <v>3</v>
      </c>
      <c r="BE179" s="78" t="str">
        <f>REPLACE(INDEX(GroupVertices[Group], MATCH(Edges[[#This Row],[Vertex 2]],GroupVertices[Vertex],0)),1,1,"")</f>
        <v>1</v>
      </c>
    </row>
    <row r="180" spans="1:57" x14ac:dyDescent="0.25">
      <c r="A180" s="64" t="s">
        <v>267</v>
      </c>
      <c r="B180" s="64" t="s">
        <v>287</v>
      </c>
      <c r="C180" s="65" t="s">
        <v>2100</v>
      </c>
      <c r="D180" s="66">
        <v>3.7</v>
      </c>
      <c r="E180" s="67"/>
      <c r="F180" s="68">
        <v>38</v>
      </c>
      <c r="G180" s="65"/>
      <c r="H180" s="69"/>
      <c r="I180" s="70"/>
      <c r="J180" s="70"/>
      <c r="K180" s="35" t="s">
        <v>65</v>
      </c>
      <c r="L180" s="77">
        <v>180</v>
      </c>
      <c r="M18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80" s="72"/>
      <c r="O180" s="79" t="s">
        <v>337</v>
      </c>
      <c r="P180" s="81">
        <v>44406.628391203703</v>
      </c>
      <c r="Q180" s="79" t="s">
        <v>367</v>
      </c>
      <c r="R180" s="83" t="str">
        <f>HYPERLINK("https://www.youtube.com/shorts/qku6RAs0B3k?feature=share")</f>
        <v>https://www.youtube.com/shorts/qku6RAs0B3k?feature=share</v>
      </c>
      <c r="S180" s="79" t="s">
        <v>450</v>
      </c>
      <c r="T180" s="85" t="s">
        <v>478</v>
      </c>
      <c r="U180" s="83" t="str">
        <f>HYPERLINK("https://pbs.twimg.com/media/E7T3xyJWQAYfYP3.jpg")</f>
        <v>https://pbs.twimg.com/media/E7T3xyJWQAYfYP3.jpg</v>
      </c>
      <c r="V180" s="83" t="str">
        <f>HYPERLINK("https://pbs.twimg.com/media/E7T3xyJWQAYfYP3.jpg")</f>
        <v>https://pbs.twimg.com/media/E7T3xyJWQAYfYP3.jpg</v>
      </c>
      <c r="W180" s="81">
        <v>44406.628391203703</v>
      </c>
      <c r="X180" s="87">
        <v>44406</v>
      </c>
      <c r="Y180" s="85" t="s">
        <v>574</v>
      </c>
      <c r="Z180" s="83" t="str">
        <f>HYPERLINK("https://twitter.com/ms_tabu/status/1420762259693973506")</f>
        <v>https://twitter.com/ms_tabu/status/1420762259693973506</v>
      </c>
      <c r="AA180" s="79"/>
      <c r="AB180" s="79"/>
      <c r="AC180" s="85" t="s">
        <v>753</v>
      </c>
      <c r="AD180" s="79"/>
      <c r="AE180" s="79" t="b">
        <v>0</v>
      </c>
      <c r="AF180" s="79">
        <v>0</v>
      </c>
      <c r="AG180" s="85" t="s">
        <v>867</v>
      </c>
      <c r="AH180" s="79" t="b">
        <v>0</v>
      </c>
      <c r="AI180" s="79" t="s">
        <v>874</v>
      </c>
      <c r="AJ180" s="79"/>
      <c r="AK180" s="85" t="s">
        <v>867</v>
      </c>
      <c r="AL180" s="79" t="b">
        <v>0</v>
      </c>
      <c r="AM180" s="79">
        <v>3</v>
      </c>
      <c r="AN180" s="85" t="s">
        <v>789</v>
      </c>
      <c r="AO180" s="85" t="s">
        <v>887</v>
      </c>
      <c r="AP180" s="79" t="b">
        <v>0</v>
      </c>
      <c r="AQ180" s="85" t="s">
        <v>789</v>
      </c>
      <c r="AR180" s="79" t="s">
        <v>177</v>
      </c>
      <c r="AS180" s="79">
        <v>0</v>
      </c>
      <c r="AT180" s="79">
        <v>0</v>
      </c>
      <c r="AU180" s="79"/>
      <c r="AV180" s="79"/>
      <c r="AW180" s="79"/>
      <c r="AX180" s="79"/>
      <c r="AY180" s="79"/>
      <c r="AZ180" s="79"/>
      <c r="BA180" s="79"/>
      <c r="BB180" s="79"/>
      <c r="BC180">
        <v>2</v>
      </c>
      <c r="BD180" s="78" t="str">
        <f>REPLACE(INDEX(GroupVertices[Group], MATCH(Edges[[#This Row],[Vertex 1]],GroupVertices[Vertex],0)),1,1,"")</f>
        <v>3</v>
      </c>
      <c r="BE180" s="78" t="str">
        <f>REPLACE(INDEX(GroupVertices[Group], MATCH(Edges[[#This Row],[Vertex 2]],GroupVertices[Vertex],0)),1,1,"")</f>
        <v>1</v>
      </c>
    </row>
    <row r="181" spans="1:57" x14ac:dyDescent="0.25">
      <c r="A181" s="64" t="s">
        <v>299</v>
      </c>
      <c r="B181" s="64" t="s">
        <v>287</v>
      </c>
      <c r="C181" s="65" t="s">
        <v>2100</v>
      </c>
      <c r="D181" s="66">
        <v>3.7</v>
      </c>
      <c r="E181" s="67"/>
      <c r="F181" s="68">
        <v>38</v>
      </c>
      <c r="G181" s="65"/>
      <c r="H181" s="69"/>
      <c r="I181" s="70"/>
      <c r="J181" s="70"/>
      <c r="K181" s="35" t="s">
        <v>66</v>
      </c>
      <c r="L181" s="77">
        <v>181</v>
      </c>
      <c r="M18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81" s="72"/>
      <c r="O181" s="79" t="s">
        <v>337</v>
      </c>
      <c r="P181" s="81">
        <v>44407.57172453704</v>
      </c>
      <c r="Q181" s="79" t="s">
        <v>373</v>
      </c>
      <c r="R181" s="79"/>
      <c r="S181" s="79"/>
      <c r="T181" s="85" t="s">
        <v>461</v>
      </c>
      <c r="U181" s="83" t="str">
        <f>HYPERLINK("https://pbs.twimg.com/media/E7fhzF6XsAAoddH.jpg")</f>
        <v>https://pbs.twimg.com/media/E7fhzF6XsAAoddH.jpg</v>
      </c>
      <c r="V181" s="83" t="str">
        <f>HYPERLINK("https://pbs.twimg.com/media/E7fhzF6XsAAoddH.jpg")</f>
        <v>https://pbs.twimg.com/media/E7fhzF6XsAAoddH.jpg</v>
      </c>
      <c r="W181" s="81">
        <v>44407.57172453704</v>
      </c>
      <c r="X181" s="87">
        <v>44407</v>
      </c>
      <c r="Y181" s="85" t="s">
        <v>673</v>
      </c>
      <c r="Z181" s="83" t="str">
        <f>HYPERLINK("https://twitter.com/mycencalwestop/status/1421104111060013059")</f>
        <v>https://twitter.com/mycencalwestop/status/1421104111060013059</v>
      </c>
      <c r="AA181" s="79"/>
      <c r="AB181" s="79"/>
      <c r="AC181" s="85" t="s">
        <v>853</v>
      </c>
      <c r="AD181" s="79"/>
      <c r="AE181" s="79" t="b">
        <v>0</v>
      </c>
      <c r="AF181" s="79">
        <v>0</v>
      </c>
      <c r="AG181" s="85" t="s">
        <v>867</v>
      </c>
      <c r="AH181" s="79" t="b">
        <v>0</v>
      </c>
      <c r="AI181" s="79" t="s">
        <v>874</v>
      </c>
      <c r="AJ181" s="79"/>
      <c r="AK181" s="85" t="s">
        <v>867</v>
      </c>
      <c r="AL181" s="79" t="b">
        <v>0</v>
      </c>
      <c r="AM181" s="79">
        <v>14</v>
      </c>
      <c r="AN181" s="85" t="s">
        <v>851</v>
      </c>
      <c r="AO181" s="85" t="s">
        <v>889</v>
      </c>
      <c r="AP181" s="79" t="b">
        <v>0</v>
      </c>
      <c r="AQ181" s="85" t="s">
        <v>851</v>
      </c>
      <c r="AR181" s="79" t="s">
        <v>177</v>
      </c>
      <c r="AS181" s="79">
        <v>0</v>
      </c>
      <c r="AT181" s="79">
        <v>0</v>
      </c>
      <c r="AU181" s="79"/>
      <c r="AV181" s="79"/>
      <c r="AW181" s="79"/>
      <c r="AX181" s="79"/>
      <c r="AY181" s="79"/>
      <c r="AZ181" s="79"/>
      <c r="BA181" s="79"/>
      <c r="BB181" s="79"/>
      <c r="BC181">
        <v>2</v>
      </c>
      <c r="BD181" s="78" t="str">
        <f>REPLACE(INDEX(GroupVertices[Group], MATCH(Edges[[#This Row],[Vertex 1]],GroupVertices[Vertex],0)),1,1,"")</f>
        <v>1</v>
      </c>
      <c r="BE181" s="78" t="str">
        <f>REPLACE(INDEX(GroupVertices[Group], MATCH(Edges[[#This Row],[Vertex 2]],GroupVertices[Vertex],0)),1,1,"")</f>
        <v>1</v>
      </c>
    </row>
    <row r="182" spans="1:57" x14ac:dyDescent="0.25">
      <c r="A182" s="64" t="s">
        <v>299</v>
      </c>
      <c r="B182" s="64" t="s">
        <v>287</v>
      </c>
      <c r="C182" s="65" t="s">
        <v>2100</v>
      </c>
      <c r="D182" s="66">
        <v>3.7</v>
      </c>
      <c r="E182" s="67"/>
      <c r="F182" s="68">
        <v>38</v>
      </c>
      <c r="G182" s="65"/>
      <c r="H182" s="69"/>
      <c r="I182" s="70"/>
      <c r="J182" s="70"/>
      <c r="K182" s="35" t="s">
        <v>66</v>
      </c>
      <c r="L182" s="77">
        <v>182</v>
      </c>
      <c r="M18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82" s="72"/>
      <c r="O182" s="79" t="s">
        <v>339</v>
      </c>
      <c r="P182" s="81">
        <v>44407.8125</v>
      </c>
      <c r="Q182" s="79" t="s">
        <v>439</v>
      </c>
      <c r="R182" s="83" t="str">
        <f>HYPERLINK("https://firstgen.naspa.org/blog/101-ways-to-celebrate-on-nov-8")</f>
        <v>https://firstgen.naspa.org/blog/101-ways-to-celebrate-on-nov-8</v>
      </c>
      <c r="S182" s="79" t="s">
        <v>458</v>
      </c>
      <c r="T182" s="85" t="s">
        <v>505</v>
      </c>
      <c r="U182" s="79"/>
      <c r="V182" s="83" t="str">
        <f>HYPERLINK("https://pbs.twimg.com/profile_images/1323297412480262144/loo-7mMs_normal.jpg")</f>
        <v>https://pbs.twimg.com/profile_images/1323297412480262144/loo-7mMs_normal.jpg</v>
      </c>
      <c r="W182" s="81">
        <v>44407.8125</v>
      </c>
      <c r="X182" s="87">
        <v>44407</v>
      </c>
      <c r="Y182" s="85" t="s">
        <v>678</v>
      </c>
      <c r="Z182" s="83" t="str">
        <f>HYPERLINK("https://twitter.com/mycencalwestop/status/1421191363983446016")</f>
        <v>https://twitter.com/mycencalwestop/status/1421191363983446016</v>
      </c>
      <c r="AA182" s="79"/>
      <c r="AB182" s="79"/>
      <c r="AC182" s="85" t="s">
        <v>858</v>
      </c>
      <c r="AD182" s="79"/>
      <c r="AE182" s="79" t="b">
        <v>0</v>
      </c>
      <c r="AF182" s="79">
        <v>0</v>
      </c>
      <c r="AG182" s="85" t="s">
        <v>867</v>
      </c>
      <c r="AH182" s="79" t="b">
        <v>0</v>
      </c>
      <c r="AI182" s="79" t="s">
        <v>874</v>
      </c>
      <c r="AJ182" s="79"/>
      <c r="AK182" s="85" t="s">
        <v>867</v>
      </c>
      <c r="AL182" s="79" t="b">
        <v>0</v>
      </c>
      <c r="AM182" s="79">
        <v>0</v>
      </c>
      <c r="AN182" s="85" t="s">
        <v>867</v>
      </c>
      <c r="AO182" s="85" t="s">
        <v>891</v>
      </c>
      <c r="AP182" s="79" t="b">
        <v>0</v>
      </c>
      <c r="AQ182" s="85" t="s">
        <v>858</v>
      </c>
      <c r="AR182" s="79" t="s">
        <v>177</v>
      </c>
      <c r="AS182" s="79">
        <v>0</v>
      </c>
      <c r="AT182" s="79">
        <v>0</v>
      </c>
      <c r="AU182" s="79"/>
      <c r="AV182" s="79"/>
      <c r="AW182" s="79"/>
      <c r="AX182" s="79"/>
      <c r="AY182" s="79"/>
      <c r="AZ182" s="79"/>
      <c r="BA182" s="79"/>
      <c r="BB182" s="79"/>
      <c r="BC182">
        <v>2</v>
      </c>
      <c r="BD182" s="78" t="str">
        <f>REPLACE(INDEX(GroupVertices[Group], MATCH(Edges[[#This Row],[Vertex 1]],GroupVertices[Vertex],0)),1,1,"")</f>
        <v>1</v>
      </c>
      <c r="BE182" s="78" t="str">
        <f>REPLACE(INDEX(GroupVertices[Group], MATCH(Edges[[#This Row],[Vertex 2]],GroupVertices[Vertex],0)),1,1,"")</f>
        <v>1</v>
      </c>
    </row>
    <row r="183" spans="1:57" x14ac:dyDescent="0.25">
      <c r="A183" s="64" t="s">
        <v>245</v>
      </c>
      <c r="B183" s="64" t="s">
        <v>315</v>
      </c>
      <c r="C183" s="65" t="s">
        <v>2100</v>
      </c>
      <c r="D183" s="66">
        <v>3.7</v>
      </c>
      <c r="E183" s="67"/>
      <c r="F183" s="68">
        <v>38</v>
      </c>
      <c r="G183" s="65"/>
      <c r="H183" s="69"/>
      <c r="I183" s="70"/>
      <c r="J183" s="70"/>
      <c r="K183" s="35" t="s">
        <v>65</v>
      </c>
      <c r="L183" s="77">
        <v>183</v>
      </c>
      <c r="M18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83" s="72"/>
      <c r="O183" s="79" t="s">
        <v>337</v>
      </c>
      <c r="P183" s="81">
        <v>44405.000763888886</v>
      </c>
      <c r="Q183" s="79" t="s">
        <v>359</v>
      </c>
      <c r="R183" s="79"/>
      <c r="S183" s="79"/>
      <c r="T183" s="85" t="s">
        <v>473</v>
      </c>
      <c r="U183" s="83" t="str">
        <f>HYPERLINK("https://pbs.twimg.com/ext_tw_video_thumb/1165283058448252928/pu/img/pTNEY01XgvTHzPju.jpg")</f>
        <v>https://pbs.twimg.com/ext_tw_video_thumb/1165283058448252928/pu/img/pTNEY01XgvTHzPju.jpg</v>
      </c>
      <c r="V183" s="83" t="str">
        <f>HYPERLINK("https://pbs.twimg.com/ext_tw_video_thumb/1165283058448252928/pu/img/pTNEY01XgvTHzPju.jpg")</f>
        <v>https://pbs.twimg.com/ext_tw_video_thumb/1165283058448252928/pu/img/pTNEY01XgvTHzPju.jpg</v>
      </c>
      <c r="W183" s="81">
        <v>44405.000763888886</v>
      </c>
      <c r="X183" s="87">
        <v>44405</v>
      </c>
      <c r="Y183" s="85" t="s">
        <v>539</v>
      </c>
      <c r="Z183" s="83" t="str">
        <f>HYPERLINK("https://twitter.com/aaron_cortes/status/1420172426143469570")</f>
        <v>https://twitter.com/aaron_cortes/status/1420172426143469570</v>
      </c>
      <c r="AA183" s="79"/>
      <c r="AB183" s="79"/>
      <c r="AC183" s="85" t="s">
        <v>717</v>
      </c>
      <c r="AD183" s="79"/>
      <c r="AE183" s="79" t="b">
        <v>0</v>
      </c>
      <c r="AF183" s="79">
        <v>0</v>
      </c>
      <c r="AG183" s="85" t="s">
        <v>867</v>
      </c>
      <c r="AH183" s="79" t="b">
        <v>0</v>
      </c>
      <c r="AI183" s="79" t="s">
        <v>874</v>
      </c>
      <c r="AJ183" s="79"/>
      <c r="AK183" s="85" t="s">
        <v>867</v>
      </c>
      <c r="AL183" s="79" t="b">
        <v>0</v>
      </c>
      <c r="AM183" s="79">
        <v>3</v>
      </c>
      <c r="AN183" s="85" t="s">
        <v>716</v>
      </c>
      <c r="AO183" s="85" t="s">
        <v>883</v>
      </c>
      <c r="AP183" s="79" t="b">
        <v>0</v>
      </c>
      <c r="AQ183" s="85" t="s">
        <v>716</v>
      </c>
      <c r="AR183" s="79" t="s">
        <v>177</v>
      </c>
      <c r="AS183" s="79">
        <v>0</v>
      </c>
      <c r="AT183" s="79">
        <v>0</v>
      </c>
      <c r="AU183" s="79"/>
      <c r="AV183" s="79"/>
      <c r="AW183" s="79"/>
      <c r="AX183" s="79"/>
      <c r="AY183" s="79"/>
      <c r="AZ183" s="79"/>
      <c r="BA183" s="79"/>
      <c r="BB183" s="79"/>
      <c r="BC183">
        <v>2</v>
      </c>
      <c r="BD183" s="78" t="str">
        <f>REPLACE(INDEX(GroupVertices[Group], MATCH(Edges[[#This Row],[Vertex 1]],GroupVertices[Vertex],0)),1,1,"")</f>
        <v>4</v>
      </c>
      <c r="BE183" s="78" t="str">
        <f>REPLACE(INDEX(GroupVertices[Group], MATCH(Edges[[#This Row],[Vertex 2]],GroupVertices[Vertex],0)),1,1,"")</f>
        <v>4</v>
      </c>
    </row>
    <row r="184" spans="1:57" x14ac:dyDescent="0.25">
      <c r="A184" s="64" t="s">
        <v>245</v>
      </c>
      <c r="B184" s="64" t="s">
        <v>315</v>
      </c>
      <c r="C184" s="65" t="s">
        <v>2100</v>
      </c>
      <c r="D184" s="66">
        <v>3.7</v>
      </c>
      <c r="E184" s="67"/>
      <c r="F184" s="68">
        <v>38</v>
      </c>
      <c r="G184" s="65"/>
      <c r="H184" s="69"/>
      <c r="I184" s="70"/>
      <c r="J184" s="70"/>
      <c r="K184" s="35" t="s">
        <v>65</v>
      </c>
      <c r="L184" s="77">
        <v>184</v>
      </c>
      <c r="M18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84" s="72"/>
      <c r="O184" s="79" t="s">
        <v>337</v>
      </c>
      <c r="P184" s="81">
        <v>44405.008206018516</v>
      </c>
      <c r="Q184" s="79" t="s">
        <v>360</v>
      </c>
      <c r="R184" s="79"/>
      <c r="S184" s="79"/>
      <c r="T184" s="85" t="s">
        <v>474</v>
      </c>
      <c r="U184" s="83" t="str">
        <f>HYPERLINK("https://pbs.twimg.com/media/EQ1_Rq-WsAE6FpH.jpg")</f>
        <v>https://pbs.twimg.com/media/EQ1_Rq-WsAE6FpH.jpg</v>
      </c>
      <c r="V184" s="83" t="str">
        <f>HYPERLINK("https://pbs.twimg.com/media/EQ1_Rq-WsAE6FpH.jpg")</f>
        <v>https://pbs.twimg.com/media/EQ1_Rq-WsAE6FpH.jpg</v>
      </c>
      <c r="W184" s="81">
        <v>44405.008206018516</v>
      </c>
      <c r="X184" s="87">
        <v>44405</v>
      </c>
      <c r="Y184" s="85" t="s">
        <v>540</v>
      </c>
      <c r="Z184" s="83" t="str">
        <f>HYPERLINK("https://twitter.com/aaron_cortes/status/1420175121726255107")</f>
        <v>https://twitter.com/aaron_cortes/status/1420175121726255107</v>
      </c>
      <c r="AA184" s="79"/>
      <c r="AB184" s="79"/>
      <c r="AC184" s="85" t="s">
        <v>719</v>
      </c>
      <c r="AD184" s="79"/>
      <c r="AE184" s="79" t="b">
        <v>0</v>
      </c>
      <c r="AF184" s="79">
        <v>0</v>
      </c>
      <c r="AG184" s="85" t="s">
        <v>867</v>
      </c>
      <c r="AH184" s="79" t="b">
        <v>0</v>
      </c>
      <c r="AI184" s="79" t="s">
        <v>874</v>
      </c>
      <c r="AJ184" s="79"/>
      <c r="AK184" s="85" t="s">
        <v>867</v>
      </c>
      <c r="AL184" s="79" t="b">
        <v>0</v>
      </c>
      <c r="AM184" s="79">
        <v>7</v>
      </c>
      <c r="AN184" s="85" t="s">
        <v>718</v>
      </c>
      <c r="AO184" s="85" t="s">
        <v>883</v>
      </c>
      <c r="AP184" s="79" t="b">
        <v>0</v>
      </c>
      <c r="AQ184" s="85" t="s">
        <v>718</v>
      </c>
      <c r="AR184" s="79" t="s">
        <v>177</v>
      </c>
      <c r="AS184" s="79">
        <v>0</v>
      </c>
      <c r="AT184" s="79">
        <v>0</v>
      </c>
      <c r="AU184" s="79"/>
      <c r="AV184" s="79"/>
      <c r="AW184" s="79"/>
      <c r="AX184" s="79"/>
      <c r="AY184" s="79"/>
      <c r="AZ184" s="79"/>
      <c r="BA184" s="79"/>
      <c r="BB184" s="79"/>
      <c r="BC184">
        <v>2</v>
      </c>
      <c r="BD184" s="78" t="str">
        <f>REPLACE(INDEX(GroupVertices[Group], MATCH(Edges[[#This Row],[Vertex 1]],GroupVertices[Vertex],0)),1,1,"")</f>
        <v>4</v>
      </c>
      <c r="BE184" s="78" t="str">
        <f>REPLACE(INDEX(GroupVertices[Group], MATCH(Edges[[#This Row],[Vertex 2]],GroupVertices[Vertex],0)),1,1,"")</f>
        <v>4</v>
      </c>
    </row>
    <row r="185" spans="1:57" x14ac:dyDescent="0.25">
      <c r="A185" s="64" t="s">
        <v>245</v>
      </c>
      <c r="B185" s="64" t="s">
        <v>312</v>
      </c>
      <c r="C185" s="65" t="s">
        <v>2100</v>
      </c>
      <c r="D185" s="66">
        <v>3.7</v>
      </c>
      <c r="E185" s="67"/>
      <c r="F185" s="68">
        <v>38</v>
      </c>
      <c r="G185" s="65"/>
      <c r="H185" s="69"/>
      <c r="I185" s="70"/>
      <c r="J185" s="70"/>
      <c r="K185" s="35" t="s">
        <v>65</v>
      </c>
      <c r="L185" s="77">
        <v>185</v>
      </c>
      <c r="M18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85" s="72"/>
      <c r="O185" s="79" t="s">
        <v>337</v>
      </c>
      <c r="P185" s="81">
        <v>44405.000763888886</v>
      </c>
      <c r="Q185" s="79" t="s">
        <v>359</v>
      </c>
      <c r="R185" s="79"/>
      <c r="S185" s="79"/>
      <c r="T185" s="85" t="s">
        <v>473</v>
      </c>
      <c r="U185" s="83" t="str">
        <f>HYPERLINK("https://pbs.twimg.com/ext_tw_video_thumb/1165283058448252928/pu/img/pTNEY01XgvTHzPju.jpg")</f>
        <v>https://pbs.twimg.com/ext_tw_video_thumb/1165283058448252928/pu/img/pTNEY01XgvTHzPju.jpg</v>
      </c>
      <c r="V185" s="83" t="str">
        <f>HYPERLINK("https://pbs.twimg.com/ext_tw_video_thumb/1165283058448252928/pu/img/pTNEY01XgvTHzPju.jpg")</f>
        <v>https://pbs.twimg.com/ext_tw_video_thumb/1165283058448252928/pu/img/pTNEY01XgvTHzPju.jpg</v>
      </c>
      <c r="W185" s="81">
        <v>44405.000763888886</v>
      </c>
      <c r="X185" s="87">
        <v>44405</v>
      </c>
      <c r="Y185" s="85" t="s">
        <v>539</v>
      </c>
      <c r="Z185" s="83" t="str">
        <f>HYPERLINK("https://twitter.com/aaron_cortes/status/1420172426143469570")</f>
        <v>https://twitter.com/aaron_cortes/status/1420172426143469570</v>
      </c>
      <c r="AA185" s="79"/>
      <c r="AB185" s="79"/>
      <c r="AC185" s="85" t="s">
        <v>717</v>
      </c>
      <c r="AD185" s="79"/>
      <c r="AE185" s="79" t="b">
        <v>0</v>
      </c>
      <c r="AF185" s="79">
        <v>0</v>
      </c>
      <c r="AG185" s="85" t="s">
        <v>867</v>
      </c>
      <c r="AH185" s="79" t="b">
        <v>0</v>
      </c>
      <c r="AI185" s="79" t="s">
        <v>874</v>
      </c>
      <c r="AJ185" s="79"/>
      <c r="AK185" s="85" t="s">
        <v>867</v>
      </c>
      <c r="AL185" s="79" t="b">
        <v>0</v>
      </c>
      <c r="AM185" s="79">
        <v>3</v>
      </c>
      <c r="AN185" s="85" t="s">
        <v>716</v>
      </c>
      <c r="AO185" s="85" t="s">
        <v>883</v>
      </c>
      <c r="AP185" s="79" t="b">
        <v>0</v>
      </c>
      <c r="AQ185" s="85" t="s">
        <v>716</v>
      </c>
      <c r="AR185" s="79" t="s">
        <v>177</v>
      </c>
      <c r="AS185" s="79">
        <v>0</v>
      </c>
      <c r="AT185" s="79">
        <v>0</v>
      </c>
      <c r="AU185" s="79"/>
      <c r="AV185" s="79"/>
      <c r="AW185" s="79"/>
      <c r="AX185" s="79"/>
      <c r="AY185" s="79"/>
      <c r="AZ185" s="79"/>
      <c r="BA185" s="79"/>
      <c r="BB185" s="79"/>
      <c r="BC185">
        <v>2</v>
      </c>
      <c r="BD185" s="78" t="str">
        <f>REPLACE(INDEX(GroupVertices[Group], MATCH(Edges[[#This Row],[Vertex 1]],GroupVertices[Vertex],0)),1,1,"")</f>
        <v>4</v>
      </c>
      <c r="BE185" s="78" t="str">
        <f>REPLACE(INDEX(GroupVertices[Group], MATCH(Edges[[#This Row],[Vertex 2]],GroupVertices[Vertex],0)),1,1,"")</f>
        <v>4</v>
      </c>
    </row>
    <row r="186" spans="1:57" x14ac:dyDescent="0.25">
      <c r="A186" s="64" t="s">
        <v>245</v>
      </c>
      <c r="B186" s="64" t="s">
        <v>312</v>
      </c>
      <c r="C186" s="65" t="s">
        <v>2100</v>
      </c>
      <c r="D186" s="66">
        <v>3.7</v>
      </c>
      <c r="E186" s="67"/>
      <c r="F186" s="68">
        <v>38</v>
      </c>
      <c r="G186" s="65"/>
      <c r="H186" s="69"/>
      <c r="I186" s="70"/>
      <c r="J186" s="70"/>
      <c r="K186" s="35" t="s">
        <v>65</v>
      </c>
      <c r="L186" s="77">
        <v>186</v>
      </c>
      <c r="M18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86" s="72"/>
      <c r="O186" s="79" t="s">
        <v>337</v>
      </c>
      <c r="P186" s="81">
        <v>44405.008206018516</v>
      </c>
      <c r="Q186" s="79" t="s">
        <v>360</v>
      </c>
      <c r="R186" s="79"/>
      <c r="S186" s="79"/>
      <c r="T186" s="85" t="s">
        <v>474</v>
      </c>
      <c r="U186" s="83" t="str">
        <f>HYPERLINK("https://pbs.twimg.com/media/EQ1_Rq-WsAE6FpH.jpg")</f>
        <v>https://pbs.twimg.com/media/EQ1_Rq-WsAE6FpH.jpg</v>
      </c>
      <c r="V186" s="83" t="str">
        <f>HYPERLINK("https://pbs.twimg.com/media/EQ1_Rq-WsAE6FpH.jpg")</f>
        <v>https://pbs.twimg.com/media/EQ1_Rq-WsAE6FpH.jpg</v>
      </c>
      <c r="W186" s="81">
        <v>44405.008206018516</v>
      </c>
      <c r="X186" s="87">
        <v>44405</v>
      </c>
      <c r="Y186" s="85" t="s">
        <v>540</v>
      </c>
      <c r="Z186" s="83" t="str">
        <f>HYPERLINK("https://twitter.com/aaron_cortes/status/1420175121726255107")</f>
        <v>https://twitter.com/aaron_cortes/status/1420175121726255107</v>
      </c>
      <c r="AA186" s="79"/>
      <c r="AB186" s="79"/>
      <c r="AC186" s="85" t="s">
        <v>719</v>
      </c>
      <c r="AD186" s="79"/>
      <c r="AE186" s="79" t="b">
        <v>0</v>
      </c>
      <c r="AF186" s="79">
        <v>0</v>
      </c>
      <c r="AG186" s="85" t="s">
        <v>867</v>
      </c>
      <c r="AH186" s="79" t="b">
        <v>0</v>
      </c>
      <c r="AI186" s="79" t="s">
        <v>874</v>
      </c>
      <c r="AJ186" s="79"/>
      <c r="AK186" s="85" t="s">
        <v>867</v>
      </c>
      <c r="AL186" s="79" t="b">
        <v>0</v>
      </c>
      <c r="AM186" s="79">
        <v>7</v>
      </c>
      <c r="AN186" s="85" t="s">
        <v>718</v>
      </c>
      <c r="AO186" s="85" t="s">
        <v>883</v>
      </c>
      <c r="AP186" s="79" t="b">
        <v>0</v>
      </c>
      <c r="AQ186" s="85" t="s">
        <v>718</v>
      </c>
      <c r="AR186" s="79" t="s">
        <v>177</v>
      </c>
      <c r="AS186" s="79">
        <v>0</v>
      </c>
      <c r="AT186" s="79">
        <v>0</v>
      </c>
      <c r="AU186" s="79"/>
      <c r="AV186" s="79"/>
      <c r="AW186" s="79"/>
      <c r="AX186" s="79"/>
      <c r="AY186" s="79"/>
      <c r="AZ186" s="79"/>
      <c r="BA186" s="79"/>
      <c r="BB186" s="79"/>
      <c r="BC186">
        <v>2</v>
      </c>
      <c r="BD186" s="78" t="str">
        <f>REPLACE(INDEX(GroupVertices[Group], MATCH(Edges[[#This Row],[Vertex 1]],GroupVertices[Vertex],0)),1,1,"")</f>
        <v>4</v>
      </c>
      <c r="BE186" s="78" t="str">
        <f>REPLACE(INDEX(GroupVertices[Group], MATCH(Edges[[#This Row],[Vertex 2]],GroupVertices[Vertex],0)),1,1,"")</f>
        <v>4</v>
      </c>
    </row>
    <row r="187" spans="1:57" x14ac:dyDescent="0.25">
      <c r="A187" s="64" t="s">
        <v>265</v>
      </c>
      <c r="B187" s="64" t="s">
        <v>320</v>
      </c>
      <c r="C187" s="65" t="s">
        <v>2100</v>
      </c>
      <c r="D187" s="66">
        <v>3.7</v>
      </c>
      <c r="E187" s="67"/>
      <c r="F187" s="68">
        <v>38</v>
      </c>
      <c r="G187" s="65"/>
      <c r="H187" s="69"/>
      <c r="I187" s="70"/>
      <c r="J187" s="70"/>
      <c r="K187" s="35" t="s">
        <v>65</v>
      </c>
      <c r="L187" s="77">
        <v>187</v>
      </c>
      <c r="M18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87" s="72"/>
      <c r="O187" s="79" t="s">
        <v>337</v>
      </c>
      <c r="P187" s="81">
        <v>44406.629803240743</v>
      </c>
      <c r="Q187" s="79" t="s">
        <v>366</v>
      </c>
      <c r="R187" s="79"/>
      <c r="S187" s="79"/>
      <c r="T187" s="85" t="s">
        <v>461</v>
      </c>
      <c r="U187" s="83" t="str">
        <f>HYPERLINK("https://pbs.twimg.com/media/E7eO9zIVUAEjK-g.jpg")</f>
        <v>https://pbs.twimg.com/media/E7eO9zIVUAEjK-g.jpg</v>
      </c>
      <c r="V187" s="83" t="str">
        <f>HYPERLINK("https://pbs.twimg.com/media/E7eO9zIVUAEjK-g.jpg")</f>
        <v>https://pbs.twimg.com/media/E7eO9zIVUAEjK-g.jpg</v>
      </c>
      <c r="W187" s="81">
        <v>44406.629803240743</v>
      </c>
      <c r="X187" s="87">
        <v>44406</v>
      </c>
      <c r="Y187" s="85" t="s">
        <v>563</v>
      </c>
      <c r="Z187" s="83" t="str">
        <f>HYPERLINK("https://twitter.com/tabuwinslow/status/1420762771801530374")</f>
        <v>https://twitter.com/tabuwinslow/status/1420762771801530374</v>
      </c>
      <c r="AA187" s="79"/>
      <c r="AB187" s="79"/>
      <c r="AC187" s="85" t="s">
        <v>742</v>
      </c>
      <c r="AD187" s="79"/>
      <c r="AE187" s="79" t="b">
        <v>0</v>
      </c>
      <c r="AF187" s="79">
        <v>0</v>
      </c>
      <c r="AG187" s="85" t="s">
        <v>867</v>
      </c>
      <c r="AH187" s="79" t="b">
        <v>0</v>
      </c>
      <c r="AI187" s="79" t="s">
        <v>874</v>
      </c>
      <c r="AJ187" s="79"/>
      <c r="AK187" s="85" t="s">
        <v>867</v>
      </c>
      <c r="AL187" s="79" t="b">
        <v>0</v>
      </c>
      <c r="AM187" s="79">
        <v>4</v>
      </c>
      <c r="AN187" s="85" t="s">
        <v>799</v>
      </c>
      <c r="AO187" s="85" t="s">
        <v>887</v>
      </c>
      <c r="AP187" s="79" t="b">
        <v>0</v>
      </c>
      <c r="AQ187" s="85" t="s">
        <v>799</v>
      </c>
      <c r="AR187" s="79" t="s">
        <v>177</v>
      </c>
      <c r="AS187" s="79">
        <v>0</v>
      </c>
      <c r="AT187" s="79">
        <v>0</v>
      </c>
      <c r="AU187" s="79"/>
      <c r="AV187" s="79"/>
      <c r="AW187" s="79"/>
      <c r="AX187" s="79"/>
      <c r="AY187" s="79"/>
      <c r="AZ187" s="79"/>
      <c r="BA187" s="79"/>
      <c r="BB187" s="79"/>
      <c r="BC187">
        <v>2</v>
      </c>
      <c r="BD187" s="78" t="str">
        <f>REPLACE(INDEX(GroupVertices[Group], MATCH(Edges[[#This Row],[Vertex 1]],GroupVertices[Vertex],0)),1,1,"")</f>
        <v>3</v>
      </c>
      <c r="BE187" s="78" t="str">
        <f>REPLACE(INDEX(GroupVertices[Group], MATCH(Edges[[#This Row],[Vertex 2]],GroupVertices[Vertex],0)),1,1,"")</f>
        <v>3</v>
      </c>
    </row>
    <row r="188" spans="1:57" x14ac:dyDescent="0.25">
      <c r="A188" s="64" t="s">
        <v>265</v>
      </c>
      <c r="B188" s="64" t="s">
        <v>320</v>
      </c>
      <c r="C188" s="65" t="s">
        <v>2100</v>
      </c>
      <c r="D188" s="66">
        <v>3.7</v>
      </c>
      <c r="E188" s="67"/>
      <c r="F188" s="68">
        <v>38</v>
      </c>
      <c r="G188" s="65"/>
      <c r="H188" s="69"/>
      <c r="I188" s="70"/>
      <c r="J188" s="70"/>
      <c r="K188" s="35" t="s">
        <v>65</v>
      </c>
      <c r="L188" s="77">
        <v>188</v>
      </c>
      <c r="M18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88" s="72"/>
      <c r="O188" s="79" t="s">
        <v>337</v>
      </c>
      <c r="P188" s="81">
        <v>44406.629988425928</v>
      </c>
      <c r="Q188" s="79" t="s">
        <v>367</v>
      </c>
      <c r="R188" s="83" t="str">
        <f>HYPERLINK("https://www.youtube.com/shorts/qku6RAs0B3k?feature=share")</f>
        <v>https://www.youtube.com/shorts/qku6RAs0B3k?feature=share</v>
      </c>
      <c r="S188" s="79" t="s">
        <v>450</v>
      </c>
      <c r="T188" s="85" t="s">
        <v>478</v>
      </c>
      <c r="U188" s="83" t="str">
        <f>HYPERLINK("https://pbs.twimg.com/media/E7T3xyJWQAYfYP3.jpg")</f>
        <v>https://pbs.twimg.com/media/E7T3xyJWQAYfYP3.jpg</v>
      </c>
      <c r="V188" s="83" t="str">
        <f>HYPERLINK("https://pbs.twimg.com/media/E7T3xyJWQAYfYP3.jpg")</f>
        <v>https://pbs.twimg.com/media/E7T3xyJWQAYfYP3.jpg</v>
      </c>
      <c r="W188" s="81">
        <v>44406.629988425928</v>
      </c>
      <c r="X188" s="87">
        <v>44406</v>
      </c>
      <c r="Y188" s="85" t="s">
        <v>564</v>
      </c>
      <c r="Z188" s="83" t="str">
        <f>HYPERLINK("https://twitter.com/tabuwinslow/status/1420762838113587200")</f>
        <v>https://twitter.com/tabuwinslow/status/1420762838113587200</v>
      </c>
      <c r="AA188" s="79"/>
      <c r="AB188" s="79"/>
      <c r="AC188" s="85" t="s">
        <v>743</v>
      </c>
      <c r="AD188" s="79"/>
      <c r="AE188" s="79" t="b">
        <v>0</v>
      </c>
      <c r="AF188" s="79">
        <v>0</v>
      </c>
      <c r="AG188" s="85" t="s">
        <v>867</v>
      </c>
      <c r="AH188" s="79" t="b">
        <v>0</v>
      </c>
      <c r="AI188" s="79" t="s">
        <v>874</v>
      </c>
      <c r="AJ188" s="79"/>
      <c r="AK188" s="85" t="s">
        <v>867</v>
      </c>
      <c r="AL188" s="79" t="b">
        <v>0</v>
      </c>
      <c r="AM188" s="79">
        <v>3</v>
      </c>
      <c r="AN188" s="85" t="s">
        <v>789</v>
      </c>
      <c r="AO188" s="85" t="s">
        <v>887</v>
      </c>
      <c r="AP188" s="79" t="b">
        <v>0</v>
      </c>
      <c r="AQ188" s="85" t="s">
        <v>789</v>
      </c>
      <c r="AR188" s="79" t="s">
        <v>177</v>
      </c>
      <c r="AS188" s="79">
        <v>0</v>
      </c>
      <c r="AT188" s="79">
        <v>0</v>
      </c>
      <c r="AU188" s="79"/>
      <c r="AV188" s="79"/>
      <c r="AW188" s="79"/>
      <c r="AX188" s="79"/>
      <c r="AY188" s="79"/>
      <c r="AZ188" s="79"/>
      <c r="BA188" s="79"/>
      <c r="BB188" s="79"/>
      <c r="BC188">
        <v>2</v>
      </c>
      <c r="BD188" s="78" t="str">
        <f>REPLACE(INDEX(GroupVertices[Group], MATCH(Edges[[#This Row],[Vertex 1]],GroupVertices[Vertex],0)),1,1,"")</f>
        <v>3</v>
      </c>
      <c r="BE188" s="78" t="str">
        <f>REPLACE(INDEX(GroupVertices[Group], MATCH(Edges[[#This Row],[Vertex 2]],GroupVertices[Vertex],0)),1,1,"")</f>
        <v>3</v>
      </c>
    </row>
    <row r="189" spans="1:57" x14ac:dyDescent="0.25">
      <c r="A189" s="64" t="s">
        <v>266</v>
      </c>
      <c r="B189" s="64" t="s">
        <v>320</v>
      </c>
      <c r="C189" s="65" t="s">
        <v>2100</v>
      </c>
      <c r="D189" s="66">
        <v>3.7</v>
      </c>
      <c r="E189" s="67"/>
      <c r="F189" s="68">
        <v>38</v>
      </c>
      <c r="G189" s="65"/>
      <c r="H189" s="69"/>
      <c r="I189" s="70"/>
      <c r="J189" s="70"/>
      <c r="K189" s="35" t="s">
        <v>65</v>
      </c>
      <c r="L189" s="77">
        <v>189</v>
      </c>
      <c r="M18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89" s="72"/>
      <c r="O189" s="79" t="s">
        <v>337</v>
      </c>
      <c r="P189" s="81">
        <v>44406.631203703706</v>
      </c>
      <c r="Q189" s="79" t="s">
        <v>366</v>
      </c>
      <c r="R189" s="79"/>
      <c r="S189" s="79"/>
      <c r="T189" s="85" t="s">
        <v>461</v>
      </c>
      <c r="U189" s="83" t="str">
        <f>HYPERLINK("https://pbs.twimg.com/media/E7eO9zIVUAEjK-g.jpg")</f>
        <v>https://pbs.twimg.com/media/E7eO9zIVUAEjK-g.jpg</v>
      </c>
      <c r="V189" s="83" t="str">
        <f>HYPERLINK("https://pbs.twimg.com/media/E7eO9zIVUAEjK-g.jpg")</f>
        <v>https://pbs.twimg.com/media/E7eO9zIVUAEjK-g.jpg</v>
      </c>
      <c r="W189" s="81">
        <v>44406.631203703706</v>
      </c>
      <c r="X189" s="87">
        <v>44406</v>
      </c>
      <c r="Y189" s="85" t="s">
        <v>568</v>
      </c>
      <c r="Z189" s="83" t="str">
        <f>HYPERLINK("https://twitter.com/letsplayballan1/status/1420763276665933824")</f>
        <v>https://twitter.com/letsplayballan1/status/1420763276665933824</v>
      </c>
      <c r="AA189" s="79"/>
      <c r="AB189" s="79"/>
      <c r="AC189" s="85" t="s">
        <v>747</v>
      </c>
      <c r="AD189" s="79"/>
      <c r="AE189" s="79" t="b">
        <v>0</v>
      </c>
      <c r="AF189" s="79">
        <v>0</v>
      </c>
      <c r="AG189" s="85" t="s">
        <v>867</v>
      </c>
      <c r="AH189" s="79" t="b">
        <v>0</v>
      </c>
      <c r="AI189" s="79" t="s">
        <v>874</v>
      </c>
      <c r="AJ189" s="79"/>
      <c r="AK189" s="85" t="s">
        <v>867</v>
      </c>
      <c r="AL189" s="79" t="b">
        <v>0</v>
      </c>
      <c r="AM189" s="79">
        <v>4</v>
      </c>
      <c r="AN189" s="85" t="s">
        <v>799</v>
      </c>
      <c r="AO189" s="85" t="s">
        <v>887</v>
      </c>
      <c r="AP189" s="79" t="b">
        <v>0</v>
      </c>
      <c r="AQ189" s="85" t="s">
        <v>799</v>
      </c>
      <c r="AR189" s="79" t="s">
        <v>177</v>
      </c>
      <c r="AS189" s="79">
        <v>0</v>
      </c>
      <c r="AT189" s="79">
        <v>0</v>
      </c>
      <c r="AU189" s="79"/>
      <c r="AV189" s="79"/>
      <c r="AW189" s="79"/>
      <c r="AX189" s="79"/>
      <c r="AY189" s="79"/>
      <c r="AZ189" s="79"/>
      <c r="BA189" s="79"/>
      <c r="BB189" s="79"/>
      <c r="BC189">
        <v>2</v>
      </c>
      <c r="BD189" s="78" t="str">
        <f>REPLACE(INDEX(GroupVertices[Group], MATCH(Edges[[#This Row],[Vertex 1]],GroupVertices[Vertex],0)),1,1,"")</f>
        <v>3</v>
      </c>
      <c r="BE189" s="78" t="str">
        <f>REPLACE(INDEX(GroupVertices[Group], MATCH(Edges[[#This Row],[Vertex 2]],GroupVertices[Vertex],0)),1,1,"")</f>
        <v>3</v>
      </c>
    </row>
    <row r="190" spans="1:57" x14ac:dyDescent="0.25">
      <c r="A190" s="64" t="s">
        <v>266</v>
      </c>
      <c r="B190" s="64" t="s">
        <v>320</v>
      </c>
      <c r="C190" s="65" t="s">
        <v>2100</v>
      </c>
      <c r="D190" s="66">
        <v>3.7</v>
      </c>
      <c r="E190" s="67"/>
      <c r="F190" s="68">
        <v>38</v>
      </c>
      <c r="G190" s="65"/>
      <c r="H190" s="69"/>
      <c r="I190" s="70"/>
      <c r="J190" s="70"/>
      <c r="K190" s="35" t="s">
        <v>65</v>
      </c>
      <c r="L190" s="77">
        <v>190</v>
      </c>
      <c r="M19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90" s="72"/>
      <c r="O190" s="79" t="s">
        <v>337</v>
      </c>
      <c r="P190" s="81">
        <v>44406.631354166668</v>
      </c>
      <c r="Q190" s="79" t="s">
        <v>367</v>
      </c>
      <c r="R190" s="83" t="str">
        <f>HYPERLINK("https://www.youtube.com/shorts/qku6RAs0B3k?feature=share")</f>
        <v>https://www.youtube.com/shorts/qku6RAs0B3k?feature=share</v>
      </c>
      <c r="S190" s="79" t="s">
        <v>450</v>
      </c>
      <c r="T190" s="85" t="s">
        <v>478</v>
      </c>
      <c r="U190" s="83" t="str">
        <f>HYPERLINK("https://pbs.twimg.com/media/E7T3xyJWQAYfYP3.jpg")</f>
        <v>https://pbs.twimg.com/media/E7T3xyJWQAYfYP3.jpg</v>
      </c>
      <c r="V190" s="83" t="str">
        <f>HYPERLINK("https://pbs.twimg.com/media/E7T3xyJWQAYfYP3.jpg")</f>
        <v>https://pbs.twimg.com/media/E7T3xyJWQAYfYP3.jpg</v>
      </c>
      <c r="W190" s="81">
        <v>44406.631354166668</v>
      </c>
      <c r="X190" s="87">
        <v>44406</v>
      </c>
      <c r="Y190" s="85" t="s">
        <v>569</v>
      </c>
      <c r="Z190" s="83" t="str">
        <f>HYPERLINK("https://twitter.com/letsplayballan1/status/1420763333368688643")</f>
        <v>https://twitter.com/letsplayballan1/status/1420763333368688643</v>
      </c>
      <c r="AA190" s="79"/>
      <c r="AB190" s="79"/>
      <c r="AC190" s="85" t="s">
        <v>748</v>
      </c>
      <c r="AD190" s="79"/>
      <c r="AE190" s="79" t="b">
        <v>0</v>
      </c>
      <c r="AF190" s="79">
        <v>0</v>
      </c>
      <c r="AG190" s="85" t="s">
        <v>867</v>
      </c>
      <c r="AH190" s="79" t="b">
        <v>0</v>
      </c>
      <c r="AI190" s="79" t="s">
        <v>874</v>
      </c>
      <c r="AJ190" s="79"/>
      <c r="AK190" s="85" t="s">
        <v>867</v>
      </c>
      <c r="AL190" s="79" t="b">
        <v>0</v>
      </c>
      <c r="AM190" s="79">
        <v>3</v>
      </c>
      <c r="AN190" s="85" t="s">
        <v>789</v>
      </c>
      <c r="AO190" s="85" t="s">
        <v>887</v>
      </c>
      <c r="AP190" s="79" t="b">
        <v>0</v>
      </c>
      <c r="AQ190" s="85" t="s">
        <v>789</v>
      </c>
      <c r="AR190" s="79" t="s">
        <v>177</v>
      </c>
      <c r="AS190" s="79">
        <v>0</v>
      </c>
      <c r="AT190" s="79">
        <v>0</v>
      </c>
      <c r="AU190" s="79"/>
      <c r="AV190" s="79"/>
      <c r="AW190" s="79"/>
      <c r="AX190" s="79"/>
      <c r="AY190" s="79"/>
      <c r="AZ190" s="79"/>
      <c r="BA190" s="79"/>
      <c r="BB190" s="79"/>
      <c r="BC190">
        <v>2</v>
      </c>
      <c r="BD190" s="78" t="str">
        <f>REPLACE(INDEX(GroupVertices[Group], MATCH(Edges[[#This Row],[Vertex 1]],GroupVertices[Vertex],0)),1,1,"")</f>
        <v>3</v>
      </c>
      <c r="BE190" s="78" t="str">
        <f>REPLACE(INDEX(GroupVertices[Group], MATCH(Edges[[#This Row],[Vertex 2]],GroupVertices[Vertex],0)),1,1,"")</f>
        <v>3</v>
      </c>
    </row>
    <row r="191" spans="1:57" x14ac:dyDescent="0.25">
      <c r="A191" s="64" t="s">
        <v>289</v>
      </c>
      <c r="B191" s="64" t="s">
        <v>324</v>
      </c>
      <c r="C191" s="65" t="s">
        <v>2100</v>
      </c>
      <c r="D191" s="66">
        <v>3.7</v>
      </c>
      <c r="E191" s="67"/>
      <c r="F191" s="68">
        <v>38</v>
      </c>
      <c r="G191" s="65"/>
      <c r="H191" s="69"/>
      <c r="I191" s="70"/>
      <c r="J191" s="70"/>
      <c r="K191" s="35" t="s">
        <v>65</v>
      </c>
      <c r="L191" s="77">
        <v>191</v>
      </c>
      <c r="M19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91" s="72"/>
      <c r="O191" s="79" t="s">
        <v>339</v>
      </c>
      <c r="P191" s="81">
        <v>44404.613877314812</v>
      </c>
      <c r="Q191" s="79" t="s">
        <v>367</v>
      </c>
      <c r="R191" s="83" t="str">
        <f>HYPERLINK("https://www.youtube.com/shorts/qku6RAs0B3k?feature=share")</f>
        <v>https://www.youtube.com/shorts/qku6RAs0B3k?feature=share</v>
      </c>
      <c r="S191" s="79" t="s">
        <v>450</v>
      </c>
      <c r="T191" s="85" t="s">
        <v>478</v>
      </c>
      <c r="U191" s="83" t="str">
        <f>HYPERLINK("https://pbs.twimg.com/media/E7T3xyJWQAYfYP3.jpg")</f>
        <v>https://pbs.twimg.com/media/E7T3xyJWQAYfYP3.jpg</v>
      </c>
      <c r="V191" s="83" t="str">
        <f>HYPERLINK("https://pbs.twimg.com/media/E7T3xyJWQAYfYP3.jpg")</f>
        <v>https://pbs.twimg.com/media/E7T3xyJWQAYfYP3.jpg</v>
      </c>
      <c r="W191" s="81">
        <v>44404.613877314812</v>
      </c>
      <c r="X191" s="87">
        <v>44404</v>
      </c>
      <c r="Y191" s="85" t="s">
        <v>609</v>
      </c>
      <c r="Z191" s="83" t="str">
        <f>HYPERLINK("https://twitter.com/ucatonsville/status/1420032222283898895")</f>
        <v>https://twitter.com/ucatonsville/status/1420032222283898895</v>
      </c>
      <c r="AA191" s="79"/>
      <c r="AB191" s="79"/>
      <c r="AC191" s="85" t="s">
        <v>789</v>
      </c>
      <c r="AD191" s="79"/>
      <c r="AE191" s="79" t="b">
        <v>0</v>
      </c>
      <c r="AF191" s="79">
        <v>4</v>
      </c>
      <c r="AG191" s="85" t="s">
        <v>867</v>
      </c>
      <c r="AH191" s="79" t="b">
        <v>0</v>
      </c>
      <c r="AI191" s="79" t="s">
        <v>874</v>
      </c>
      <c r="AJ191" s="79"/>
      <c r="AK191" s="85" t="s">
        <v>867</v>
      </c>
      <c r="AL191" s="79" t="b">
        <v>0</v>
      </c>
      <c r="AM191" s="79">
        <v>3</v>
      </c>
      <c r="AN191" s="85" t="s">
        <v>867</v>
      </c>
      <c r="AO191" s="85" t="s">
        <v>883</v>
      </c>
      <c r="AP191" s="79" t="b">
        <v>0</v>
      </c>
      <c r="AQ191" s="85" t="s">
        <v>789</v>
      </c>
      <c r="AR191" s="79" t="s">
        <v>177</v>
      </c>
      <c r="AS191" s="79">
        <v>0</v>
      </c>
      <c r="AT191" s="79">
        <v>0</v>
      </c>
      <c r="AU191" s="79" t="s">
        <v>892</v>
      </c>
      <c r="AV191" s="79" t="s">
        <v>902</v>
      </c>
      <c r="AW191" s="79" t="s">
        <v>903</v>
      </c>
      <c r="AX191" s="79" t="s">
        <v>905</v>
      </c>
      <c r="AY191" s="79" t="s">
        <v>915</v>
      </c>
      <c r="AZ191" s="79" t="s">
        <v>905</v>
      </c>
      <c r="BA191" s="79" t="s">
        <v>931</v>
      </c>
      <c r="BB191" s="83" t="str">
        <f>HYPERLINK("https://api.twitter.com/1.1/geo/id/07d9ccb5d1086000.json")</f>
        <v>https://api.twitter.com/1.1/geo/id/07d9ccb5d1086000.json</v>
      </c>
      <c r="BC191">
        <v>2</v>
      </c>
      <c r="BD191" s="78" t="str">
        <f>REPLACE(INDEX(GroupVertices[Group], MATCH(Edges[[#This Row],[Vertex 1]],GroupVertices[Vertex],0)),1,1,"")</f>
        <v>3</v>
      </c>
      <c r="BE191" s="78" t="str">
        <f>REPLACE(INDEX(GroupVertices[Group], MATCH(Edges[[#This Row],[Vertex 2]],GroupVertices[Vertex],0)),1,1,"")</f>
        <v>3</v>
      </c>
    </row>
    <row r="192" spans="1:57" x14ac:dyDescent="0.25">
      <c r="A192" s="64" t="s">
        <v>289</v>
      </c>
      <c r="B192" s="64" t="s">
        <v>324</v>
      </c>
      <c r="C192" s="65" t="s">
        <v>2100</v>
      </c>
      <c r="D192" s="66">
        <v>3.7</v>
      </c>
      <c r="E192" s="67"/>
      <c r="F192" s="68">
        <v>38</v>
      </c>
      <c r="G192" s="65"/>
      <c r="H192" s="69"/>
      <c r="I192" s="70"/>
      <c r="J192" s="70"/>
      <c r="K192" s="35" t="s">
        <v>65</v>
      </c>
      <c r="L192" s="77">
        <v>192</v>
      </c>
      <c r="M19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92" s="72"/>
      <c r="O192" s="79" t="s">
        <v>339</v>
      </c>
      <c r="P192" s="81">
        <v>44404.614560185182</v>
      </c>
      <c r="Q192" s="79" t="s">
        <v>371</v>
      </c>
      <c r="R192" s="83" t="str">
        <f>HYPERLINK("https://youtube.com/shorts/qku6RAs")</f>
        <v>https://youtube.com/shorts/qku6RAs</v>
      </c>
      <c r="S192" s="79" t="s">
        <v>450</v>
      </c>
      <c r="T192" s="85" t="s">
        <v>478</v>
      </c>
      <c r="U192" s="79"/>
      <c r="V192" s="83" t="str">
        <f>HYPERLINK("https://pbs.twimg.com/profile_images/1280188684483076097/hDD1guXX_normal.jpg")</f>
        <v>https://pbs.twimg.com/profile_images/1280188684483076097/hDD1guXX_normal.jpg</v>
      </c>
      <c r="W192" s="81">
        <v>44404.614560185182</v>
      </c>
      <c r="X192" s="87">
        <v>44404</v>
      </c>
      <c r="Y192" s="85" t="s">
        <v>610</v>
      </c>
      <c r="Z192" s="83" t="str">
        <f>HYPERLINK("https://twitter.com/ucatonsville/status/1420032469043134480")</f>
        <v>https://twitter.com/ucatonsville/status/1420032469043134480</v>
      </c>
      <c r="AA192" s="79"/>
      <c r="AB192" s="79"/>
      <c r="AC192" s="85" t="s">
        <v>790</v>
      </c>
      <c r="AD192" s="79"/>
      <c r="AE192" s="79" t="b">
        <v>0</v>
      </c>
      <c r="AF192" s="79">
        <v>5</v>
      </c>
      <c r="AG192" s="85" t="s">
        <v>867</v>
      </c>
      <c r="AH192" s="79" t="b">
        <v>0</v>
      </c>
      <c r="AI192" s="79" t="s">
        <v>874</v>
      </c>
      <c r="AJ192" s="79"/>
      <c r="AK192" s="85" t="s">
        <v>867</v>
      </c>
      <c r="AL192" s="79" t="b">
        <v>0</v>
      </c>
      <c r="AM192" s="79">
        <v>3</v>
      </c>
      <c r="AN192" s="85" t="s">
        <v>867</v>
      </c>
      <c r="AO192" s="85" t="s">
        <v>883</v>
      </c>
      <c r="AP192" s="79" t="b">
        <v>0</v>
      </c>
      <c r="AQ192" s="85" t="s">
        <v>790</v>
      </c>
      <c r="AR192" s="79" t="s">
        <v>177</v>
      </c>
      <c r="AS192" s="79">
        <v>0</v>
      </c>
      <c r="AT192" s="79">
        <v>0</v>
      </c>
      <c r="AU192" s="79" t="s">
        <v>892</v>
      </c>
      <c r="AV192" s="79" t="s">
        <v>902</v>
      </c>
      <c r="AW192" s="79" t="s">
        <v>903</v>
      </c>
      <c r="AX192" s="79" t="s">
        <v>905</v>
      </c>
      <c r="AY192" s="79" t="s">
        <v>915</v>
      </c>
      <c r="AZ192" s="79" t="s">
        <v>905</v>
      </c>
      <c r="BA192" s="79" t="s">
        <v>931</v>
      </c>
      <c r="BB192" s="83" t="str">
        <f>HYPERLINK("https://api.twitter.com/1.1/geo/id/07d9ccb5d1086000.json")</f>
        <v>https://api.twitter.com/1.1/geo/id/07d9ccb5d1086000.json</v>
      </c>
      <c r="BC192">
        <v>2</v>
      </c>
      <c r="BD192" s="78" t="str">
        <f>REPLACE(INDEX(GroupVertices[Group], MATCH(Edges[[#This Row],[Vertex 1]],GroupVertices[Vertex],0)),1,1,"")</f>
        <v>3</v>
      </c>
      <c r="BE192" s="78" t="str">
        <f>REPLACE(INDEX(GroupVertices[Group], MATCH(Edges[[#This Row],[Vertex 2]],GroupVertices[Vertex],0)),1,1,"")</f>
        <v>3</v>
      </c>
    </row>
    <row r="193" spans="1:57" x14ac:dyDescent="0.25">
      <c r="A193" s="64" t="s">
        <v>267</v>
      </c>
      <c r="B193" s="64" t="s">
        <v>324</v>
      </c>
      <c r="C193" s="65" t="s">
        <v>2100</v>
      </c>
      <c r="D193" s="66">
        <v>3.7</v>
      </c>
      <c r="E193" s="67"/>
      <c r="F193" s="68">
        <v>38</v>
      </c>
      <c r="G193" s="65"/>
      <c r="H193" s="69"/>
      <c r="I193" s="70"/>
      <c r="J193" s="70"/>
      <c r="K193" s="35" t="s">
        <v>65</v>
      </c>
      <c r="L193" s="77">
        <v>193</v>
      </c>
      <c r="M19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93" s="72"/>
      <c r="O193" s="79" t="s">
        <v>337</v>
      </c>
      <c r="P193" s="81">
        <v>44406.628321759257</v>
      </c>
      <c r="Q193" s="79" t="s">
        <v>371</v>
      </c>
      <c r="R193" s="83" t="str">
        <f>HYPERLINK("https://youtube.com/shorts/qku6RAs")</f>
        <v>https://youtube.com/shorts/qku6RAs</v>
      </c>
      <c r="S193" s="79" t="s">
        <v>450</v>
      </c>
      <c r="T193" s="85" t="s">
        <v>478</v>
      </c>
      <c r="U193" s="79"/>
      <c r="V193" s="83" t="str">
        <f>HYPERLINK("https://pbs.twimg.com/profile_images/1398299805156360194/2uVusLCs_normal.jpg")</f>
        <v>https://pbs.twimg.com/profile_images/1398299805156360194/2uVusLCs_normal.jpg</v>
      </c>
      <c r="W193" s="81">
        <v>44406.628321759257</v>
      </c>
      <c r="X193" s="87">
        <v>44406</v>
      </c>
      <c r="Y193" s="85" t="s">
        <v>573</v>
      </c>
      <c r="Z193" s="83" t="str">
        <f>HYPERLINK("https://twitter.com/ms_tabu/status/1420762232816914432")</f>
        <v>https://twitter.com/ms_tabu/status/1420762232816914432</v>
      </c>
      <c r="AA193" s="79"/>
      <c r="AB193" s="79"/>
      <c r="AC193" s="85" t="s">
        <v>752</v>
      </c>
      <c r="AD193" s="79"/>
      <c r="AE193" s="79" t="b">
        <v>0</v>
      </c>
      <c r="AF193" s="79">
        <v>0</v>
      </c>
      <c r="AG193" s="85" t="s">
        <v>867</v>
      </c>
      <c r="AH193" s="79" t="b">
        <v>0</v>
      </c>
      <c r="AI193" s="79" t="s">
        <v>874</v>
      </c>
      <c r="AJ193" s="79"/>
      <c r="AK193" s="85" t="s">
        <v>867</v>
      </c>
      <c r="AL193" s="79" t="b">
        <v>0</v>
      </c>
      <c r="AM193" s="79">
        <v>3</v>
      </c>
      <c r="AN193" s="85" t="s">
        <v>790</v>
      </c>
      <c r="AO193" s="85" t="s">
        <v>887</v>
      </c>
      <c r="AP193" s="79" t="b">
        <v>0</v>
      </c>
      <c r="AQ193" s="85" t="s">
        <v>790</v>
      </c>
      <c r="AR193" s="79" t="s">
        <v>177</v>
      </c>
      <c r="AS193" s="79">
        <v>0</v>
      </c>
      <c r="AT193" s="79">
        <v>0</v>
      </c>
      <c r="AU193" s="79"/>
      <c r="AV193" s="79"/>
      <c r="AW193" s="79"/>
      <c r="AX193" s="79"/>
      <c r="AY193" s="79"/>
      <c r="AZ193" s="79"/>
      <c r="BA193" s="79"/>
      <c r="BB193" s="79"/>
      <c r="BC193">
        <v>2</v>
      </c>
      <c r="BD193" s="78" t="str">
        <f>REPLACE(INDEX(GroupVertices[Group], MATCH(Edges[[#This Row],[Vertex 1]],GroupVertices[Vertex],0)),1,1,"")</f>
        <v>3</v>
      </c>
      <c r="BE193" s="78" t="str">
        <f>REPLACE(INDEX(GroupVertices[Group], MATCH(Edges[[#This Row],[Vertex 2]],GroupVertices[Vertex],0)),1,1,"")</f>
        <v>3</v>
      </c>
    </row>
    <row r="194" spans="1:57" x14ac:dyDescent="0.25">
      <c r="A194" s="64" t="s">
        <v>267</v>
      </c>
      <c r="B194" s="64" t="s">
        <v>324</v>
      </c>
      <c r="C194" s="65" t="s">
        <v>2100</v>
      </c>
      <c r="D194" s="66">
        <v>3.7</v>
      </c>
      <c r="E194" s="67"/>
      <c r="F194" s="68">
        <v>38</v>
      </c>
      <c r="G194" s="65"/>
      <c r="H194" s="69"/>
      <c r="I194" s="70"/>
      <c r="J194" s="70"/>
      <c r="K194" s="35" t="s">
        <v>65</v>
      </c>
      <c r="L194" s="77">
        <v>194</v>
      </c>
      <c r="M19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94" s="72"/>
      <c r="O194" s="79" t="s">
        <v>337</v>
      </c>
      <c r="P194" s="81">
        <v>44406.628391203703</v>
      </c>
      <c r="Q194" s="79" t="s">
        <v>367</v>
      </c>
      <c r="R194" s="83" t="str">
        <f>HYPERLINK("https://www.youtube.com/shorts/qku6RAs0B3k?feature=share")</f>
        <v>https://www.youtube.com/shorts/qku6RAs0B3k?feature=share</v>
      </c>
      <c r="S194" s="79" t="s">
        <v>450</v>
      </c>
      <c r="T194" s="85" t="s">
        <v>478</v>
      </c>
      <c r="U194" s="83" t="str">
        <f>HYPERLINK("https://pbs.twimg.com/media/E7T3xyJWQAYfYP3.jpg")</f>
        <v>https://pbs.twimg.com/media/E7T3xyJWQAYfYP3.jpg</v>
      </c>
      <c r="V194" s="83" t="str">
        <f>HYPERLINK("https://pbs.twimg.com/media/E7T3xyJWQAYfYP3.jpg")</f>
        <v>https://pbs.twimg.com/media/E7T3xyJWQAYfYP3.jpg</v>
      </c>
      <c r="W194" s="81">
        <v>44406.628391203703</v>
      </c>
      <c r="X194" s="87">
        <v>44406</v>
      </c>
      <c r="Y194" s="85" t="s">
        <v>574</v>
      </c>
      <c r="Z194" s="83" t="str">
        <f>HYPERLINK("https://twitter.com/ms_tabu/status/1420762259693973506")</f>
        <v>https://twitter.com/ms_tabu/status/1420762259693973506</v>
      </c>
      <c r="AA194" s="79"/>
      <c r="AB194" s="79"/>
      <c r="AC194" s="85" t="s">
        <v>753</v>
      </c>
      <c r="AD194" s="79"/>
      <c r="AE194" s="79" t="b">
        <v>0</v>
      </c>
      <c r="AF194" s="79">
        <v>0</v>
      </c>
      <c r="AG194" s="85" t="s">
        <v>867</v>
      </c>
      <c r="AH194" s="79" t="b">
        <v>0</v>
      </c>
      <c r="AI194" s="79" t="s">
        <v>874</v>
      </c>
      <c r="AJ194" s="79"/>
      <c r="AK194" s="85" t="s">
        <v>867</v>
      </c>
      <c r="AL194" s="79" t="b">
        <v>0</v>
      </c>
      <c r="AM194" s="79">
        <v>3</v>
      </c>
      <c r="AN194" s="85" t="s">
        <v>789</v>
      </c>
      <c r="AO194" s="85" t="s">
        <v>887</v>
      </c>
      <c r="AP194" s="79" t="b">
        <v>0</v>
      </c>
      <c r="AQ194" s="85" t="s">
        <v>789</v>
      </c>
      <c r="AR194" s="79" t="s">
        <v>177</v>
      </c>
      <c r="AS194" s="79">
        <v>0</v>
      </c>
      <c r="AT194" s="79">
        <v>0</v>
      </c>
      <c r="AU194" s="79"/>
      <c r="AV194" s="79"/>
      <c r="AW194" s="79"/>
      <c r="AX194" s="79"/>
      <c r="AY194" s="79"/>
      <c r="AZ194" s="79"/>
      <c r="BA194" s="79"/>
      <c r="BB194" s="79"/>
      <c r="BC194">
        <v>2</v>
      </c>
      <c r="BD194" s="78" t="str">
        <f>REPLACE(INDEX(GroupVertices[Group], MATCH(Edges[[#This Row],[Vertex 1]],GroupVertices[Vertex],0)),1,1,"")</f>
        <v>3</v>
      </c>
      <c r="BE194" s="78" t="str">
        <f>REPLACE(INDEX(GroupVertices[Group], MATCH(Edges[[#This Row],[Vertex 2]],GroupVertices[Vertex],0)),1,1,"")</f>
        <v>3</v>
      </c>
    </row>
    <row r="195" spans="1:57" x14ac:dyDescent="0.25">
      <c r="A195" s="64" t="s">
        <v>245</v>
      </c>
      <c r="B195" s="64" t="s">
        <v>245</v>
      </c>
      <c r="C195" s="65" t="s">
        <v>2100</v>
      </c>
      <c r="D195" s="66">
        <v>3.7</v>
      </c>
      <c r="E195" s="67"/>
      <c r="F195" s="68">
        <v>38</v>
      </c>
      <c r="G195" s="65"/>
      <c r="H195" s="69"/>
      <c r="I195" s="70"/>
      <c r="J195" s="70"/>
      <c r="K195" s="35" t="s">
        <v>65</v>
      </c>
      <c r="L195" s="77">
        <v>195</v>
      </c>
      <c r="M19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95" s="72"/>
      <c r="O195" s="79" t="s">
        <v>338</v>
      </c>
      <c r="P195" s="81">
        <v>44405.000763888886</v>
      </c>
      <c r="Q195" s="79" t="s">
        <v>359</v>
      </c>
      <c r="R195" s="79"/>
      <c r="S195" s="79"/>
      <c r="T195" s="85" t="s">
        <v>473</v>
      </c>
      <c r="U195" s="83" t="str">
        <f>HYPERLINK("https://pbs.twimg.com/ext_tw_video_thumb/1165283058448252928/pu/img/pTNEY01XgvTHzPju.jpg")</f>
        <v>https://pbs.twimg.com/ext_tw_video_thumb/1165283058448252928/pu/img/pTNEY01XgvTHzPju.jpg</v>
      </c>
      <c r="V195" s="83" t="str">
        <f>HYPERLINK("https://pbs.twimg.com/ext_tw_video_thumb/1165283058448252928/pu/img/pTNEY01XgvTHzPju.jpg")</f>
        <v>https://pbs.twimg.com/ext_tw_video_thumb/1165283058448252928/pu/img/pTNEY01XgvTHzPju.jpg</v>
      </c>
      <c r="W195" s="81">
        <v>44405.000763888886</v>
      </c>
      <c r="X195" s="87">
        <v>44405</v>
      </c>
      <c r="Y195" s="85" t="s">
        <v>539</v>
      </c>
      <c r="Z195" s="83" t="str">
        <f>HYPERLINK("https://twitter.com/aaron_cortes/status/1420172426143469570")</f>
        <v>https://twitter.com/aaron_cortes/status/1420172426143469570</v>
      </c>
      <c r="AA195" s="79"/>
      <c r="AB195" s="79"/>
      <c r="AC195" s="85" t="s">
        <v>717</v>
      </c>
      <c r="AD195" s="79"/>
      <c r="AE195" s="79" t="b">
        <v>0</v>
      </c>
      <c r="AF195" s="79">
        <v>0</v>
      </c>
      <c r="AG195" s="85" t="s">
        <v>867</v>
      </c>
      <c r="AH195" s="79" t="b">
        <v>0</v>
      </c>
      <c r="AI195" s="79" t="s">
        <v>874</v>
      </c>
      <c r="AJ195" s="79"/>
      <c r="AK195" s="85" t="s">
        <v>867</v>
      </c>
      <c r="AL195" s="79" t="b">
        <v>0</v>
      </c>
      <c r="AM195" s="79">
        <v>3</v>
      </c>
      <c r="AN195" s="85" t="s">
        <v>716</v>
      </c>
      <c r="AO195" s="85" t="s">
        <v>883</v>
      </c>
      <c r="AP195" s="79" t="b">
        <v>0</v>
      </c>
      <c r="AQ195" s="85" t="s">
        <v>716</v>
      </c>
      <c r="AR195" s="79" t="s">
        <v>177</v>
      </c>
      <c r="AS195" s="79">
        <v>0</v>
      </c>
      <c r="AT195" s="79">
        <v>0</v>
      </c>
      <c r="AU195" s="79"/>
      <c r="AV195" s="79"/>
      <c r="AW195" s="79"/>
      <c r="AX195" s="79"/>
      <c r="AY195" s="79"/>
      <c r="AZ195" s="79"/>
      <c r="BA195" s="79"/>
      <c r="BB195" s="79"/>
      <c r="BC195">
        <v>2</v>
      </c>
      <c r="BD195" s="78" t="str">
        <f>REPLACE(INDEX(GroupVertices[Group], MATCH(Edges[[#This Row],[Vertex 1]],GroupVertices[Vertex],0)),1,1,"")</f>
        <v>4</v>
      </c>
      <c r="BE195" s="78" t="str">
        <f>REPLACE(INDEX(GroupVertices[Group], MATCH(Edges[[#This Row],[Vertex 2]],GroupVertices[Vertex],0)),1,1,"")</f>
        <v>4</v>
      </c>
    </row>
    <row r="196" spans="1:57" x14ac:dyDescent="0.25">
      <c r="A196" s="64" t="s">
        <v>245</v>
      </c>
      <c r="B196" s="64" t="s">
        <v>245</v>
      </c>
      <c r="C196" s="65" t="s">
        <v>2100</v>
      </c>
      <c r="D196" s="66">
        <v>3.7</v>
      </c>
      <c r="E196" s="67"/>
      <c r="F196" s="68">
        <v>38</v>
      </c>
      <c r="G196" s="65"/>
      <c r="H196" s="69"/>
      <c r="I196" s="70"/>
      <c r="J196" s="70"/>
      <c r="K196" s="35" t="s">
        <v>65</v>
      </c>
      <c r="L196" s="77">
        <v>196</v>
      </c>
      <c r="M19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96" s="72"/>
      <c r="O196" s="79" t="s">
        <v>338</v>
      </c>
      <c r="P196" s="81">
        <v>44405.008206018516</v>
      </c>
      <c r="Q196" s="79" t="s">
        <v>360</v>
      </c>
      <c r="R196" s="79"/>
      <c r="S196" s="79"/>
      <c r="T196" s="85" t="s">
        <v>474</v>
      </c>
      <c r="U196" s="83" t="str">
        <f>HYPERLINK("https://pbs.twimg.com/media/EQ1_Rq-WsAE6FpH.jpg")</f>
        <v>https://pbs.twimg.com/media/EQ1_Rq-WsAE6FpH.jpg</v>
      </c>
      <c r="V196" s="83" t="str">
        <f>HYPERLINK("https://pbs.twimg.com/media/EQ1_Rq-WsAE6FpH.jpg")</f>
        <v>https://pbs.twimg.com/media/EQ1_Rq-WsAE6FpH.jpg</v>
      </c>
      <c r="W196" s="81">
        <v>44405.008206018516</v>
      </c>
      <c r="X196" s="87">
        <v>44405</v>
      </c>
      <c r="Y196" s="85" t="s">
        <v>540</v>
      </c>
      <c r="Z196" s="83" t="str">
        <f>HYPERLINK("https://twitter.com/aaron_cortes/status/1420175121726255107")</f>
        <v>https://twitter.com/aaron_cortes/status/1420175121726255107</v>
      </c>
      <c r="AA196" s="79"/>
      <c r="AB196" s="79"/>
      <c r="AC196" s="85" t="s">
        <v>719</v>
      </c>
      <c r="AD196" s="79"/>
      <c r="AE196" s="79" t="b">
        <v>0</v>
      </c>
      <c r="AF196" s="79">
        <v>0</v>
      </c>
      <c r="AG196" s="85" t="s">
        <v>867</v>
      </c>
      <c r="AH196" s="79" t="b">
        <v>0</v>
      </c>
      <c r="AI196" s="79" t="s">
        <v>874</v>
      </c>
      <c r="AJ196" s="79"/>
      <c r="AK196" s="85" t="s">
        <v>867</v>
      </c>
      <c r="AL196" s="79" t="b">
        <v>0</v>
      </c>
      <c r="AM196" s="79">
        <v>7</v>
      </c>
      <c r="AN196" s="85" t="s">
        <v>718</v>
      </c>
      <c r="AO196" s="85" t="s">
        <v>883</v>
      </c>
      <c r="AP196" s="79" t="b">
        <v>0</v>
      </c>
      <c r="AQ196" s="85" t="s">
        <v>718</v>
      </c>
      <c r="AR196" s="79" t="s">
        <v>177</v>
      </c>
      <c r="AS196" s="79">
        <v>0</v>
      </c>
      <c r="AT196" s="79">
        <v>0</v>
      </c>
      <c r="AU196" s="79"/>
      <c r="AV196" s="79"/>
      <c r="AW196" s="79"/>
      <c r="AX196" s="79"/>
      <c r="AY196" s="79"/>
      <c r="AZ196" s="79"/>
      <c r="BA196" s="79"/>
      <c r="BB196" s="79"/>
      <c r="BC196">
        <v>2</v>
      </c>
      <c r="BD196" s="78" t="str">
        <f>REPLACE(INDEX(GroupVertices[Group], MATCH(Edges[[#This Row],[Vertex 1]],GroupVertices[Vertex],0)),1,1,"")</f>
        <v>4</v>
      </c>
      <c r="BE196" s="78" t="str">
        <f>REPLACE(INDEX(GroupVertices[Group], MATCH(Edges[[#This Row],[Vertex 2]],GroupVertices[Vertex],0)),1,1,"")</f>
        <v>4</v>
      </c>
    </row>
    <row r="197" spans="1:57" x14ac:dyDescent="0.25">
      <c r="A197" s="64" t="s">
        <v>258</v>
      </c>
      <c r="B197" s="64" t="s">
        <v>257</v>
      </c>
      <c r="C197" s="65" t="s">
        <v>2100</v>
      </c>
      <c r="D197" s="66">
        <v>3.7</v>
      </c>
      <c r="E197" s="67"/>
      <c r="F197" s="68">
        <v>38</v>
      </c>
      <c r="G197" s="65"/>
      <c r="H197" s="69"/>
      <c r="I197" s="70"/>
      <c r="J197" s="70"/>
      <c r="K197" s="35" t="s">
        <v>65</v>
      </c>
      <c r="L197" s="77">
        <v>197</v>
      </c>
      <c r="M19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97" s="72"/>
      <c r="O197" s="79" t="s">
        <v>338</v>
      </c>
      <c r="P197" s="81">
        <v>44405.530636574076</v>
      </c>
      <c r="Q197" s="79" t="s">
        <v>356</v>
      </c>
      <c r="R197" s="79"/>
      <c r="S197" s="79"/>
      <c r="T197" s="85" t="s">
        <v>461</v>
      </c>
      <c r="U197" s="83" t="str">
        <f>HYPERLINK("https://pbs.twimg.com/media/E7VCWcGXMAQx84B.jpg")</f>
        <v>https://pbs.twimg.com/media/E7VCWcGXMAQx84B.jpg</v>
      </c>
      <c r="V197" s="83" t="str">
        <f>HYPERLINK("https://pbs.twimg.com/media/E7VCWcGXMAQx84B.jpg")</f>
        <v>https://pbs.twimg.com/media/E7VCWcGXMAQx84B.jpg</v>
      </c>
      <c r="W197" s="81">
        <v>44405.530636574076</v>
      </c>
      <c r="X197" s="87">
        <v>44405</v>
      </c>
      <c r="Y197" s="85" t="s">
        <v>554</v>
      </c>
      <c r="Z197" s="83" t="str">
        <f>HYPERLINK("https://twitter.com/uncpsych/status/1420364444257820673")</f>
        <v>https://twitter.com/uncpsych/status/1420364444257820673</v>
      </c>
      <c r="AA197" s="79"/>
      <c r="AB197" s="79"/>
      <c r="AC197" s="85" t="s">
        <v>733</v>
      </c>
      <c r="AD197" s="79"/>
      <c r="AE197" s="79" t="b">
        <v>0</v>
      </c>
      <c r="AF197" s="79">
        <v>0</v>
      </c>
      <c r="AG197" s="85" t="s">
        <v>867</v>
      </c>
      <c r="AH197" s="79" t="b">
        <v>0</v>
      </c>
      <c r="AI197" s="79" t="s">
        <v>874</v>
      </c>
      <c r="AJ197" s="79"/>
      <c r="AK197" s="85" t="s">
        <v>867</v>
      </c>
      <c r="AL197" s="79" t="b">
        <v>0</v>
      </c>
      <c r="AM197" s="79">
        <v>21</v>
      </c>
      <c r="AN197" s="85" t="s">
        <v>736</v>
      </c>
      <c r="AO197" s="85" t="s">
        <v>882</v>
      </c>
      <c r="AP197" s="79" t="b">
        <v>0</v>
      </c>
      <c r="AQ197" s="85" t="s">
        <v>736</v>
      </c>
      <c r="AR197" s="79" t="s">
        <v>177</v>
      </c>
      <c r="AS197" s="79">
        <v>0</v>
      </c>
      <c r="AT197" s="79">
        <v>0</v>
      </c>
      <c r="AU197" s="79"/>
      <c r="AV197" s="79"/>
      <c r="AW197" s="79"/>
      <c r="AX197" s="79"/>
      <c r="AY197" s="79"/>
      <c r="AZ197" s="79"/>
      <c r="BA197" s="79"/>
      <c r="BB197" s="79"/>
      <c r="BC197">
        <v>2</v>
      </c>
      <c r="BD197" s="78" t="str">
        <f>REPLACE(INDEX(GroupVertices[Group], MATCH(Edges[[#This Row],[Vertex 1]],GroupVertices[Vertex],0)),1,1,"")</f>
        <v>2</v>
      </c>
      <c r="BE197" s="78" t="str">
        <f>REPLACE(INDEX(GroupVertices[Group], MATCH(Edges[[#This Row],[Vertex 2]],GroupVertices[Vertex],0)),1,1,"")</f>
        <v>2</v>
      </c>
    </row>
    <row r="198" spans="1:57" x14ac:dyDescent="0.25">
      <c r="A198" s="64" t="s">
        <v>258</v>
      </c>
      <c r="B198" s="64" t="s">
        <v>257</v>
      </c>
      <c r="C198" s="65" t="s">
        <v>2100</v>
      </c>
      <c r="D198" s="66">
        <v>3.7</v>
      </c>
      <c r="E198" s="67"/>
      <c r="F198" s="68">
        <v>38</v>
      </c>
      <c r="G198" s="65"/>
      <c r="H198" s="69"/>
      <c r="I198" s="70"/>
      <c r="J198" s="70"/>
      <c r="K198" s="35" t="s">
        <v>65</v>
      </c>
      <c r="L198" s="77">
        <v>198</v>
      </c>
      <c r="M19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98" s="72"/>
      <c r="O198" s="79" t="s">
        <v>337</v>
      </c>
      <c r="P198" s="81">
        <v>44405.530972222223</v>
      </c>
      <c r="Q198" s="79" t="s">
        <v>358</v>
      </c>
      <c r="R198" s="83" t="str">
        <f>HYPERLINK("https://twitter.com/_MABurnett/status/1420114213658402821")</f>
        <v>https://twitter.com/_MABurnett/status/1420114213658402821</v>
      </c>
      <c r="S198" s="79" t="s">
        <v>449</v>
      </c>
      <c r="T198" s="85" t="s">
        <v>461</v>
      </c>
      <c r="U198" s="79"/>
      <c r="V198" s="83" t="str">
        <f>HYPERLINK("https://pbs.twimg.com/profile_images/616240390400704513/E83Hn7QQ_normal.png")</f>
        <v>https://pbs.twimg.com/profile_images/616240390400704513/E83Hn7QQ_normal.png</v>
      </c>
      <c r="W198" s="81">
        <v>44405.530972222223</v>
      </c>
      <c r="X198" s="87">
        <v>44405</v>
      </c>
      <c r="Y198" s="85" t="s">
        <v>553</v>
      </c>
      <c r="Z198" s="83" t="str">
        <f>HYPERLINK("https://twitter.com/uncpsych/status/1420364565968130048")</f>
        <v>https://twitter.com/uncpsych/status/1420364565968130048</v>
      </c>
      <c r="AA198" s="79"/>
      <c r="AB198" s="79"/>
      <c r="AC198" s="85" t="s">
        <v>732</v>
      </c>
      <c r="AD198" s="79"/>
      <c r="AE198" s="79" t="b">
        <v>0</v>
      </c>
      <c r="AF198" s="79">
        <v>0</v>
      </c>
      <c r="AG198" s="85" t="s">
        <v>867</v>
      </c>
      <c r="AH198" s="79" t="b">
        <v>1</v>
      </c>
      <c r="AI198" s="79" t="s">
        <v>874</v>
      </c>
      <c r="AJ198" s="79"/>
      <c r="AK198" s="85" t="s">
        <v>736</v>
      </c>
      <c r="AL198" s="79" t="b">
        <v>0</v>
      </c>
      <c r="AM198" s="79">
        <v>5</v>
      </c>
      <c r="AN198" s="85" t="s">
        <v>730</v>
      </c>
      <c r="AO198" s="85" t="s">
        <v>882</v>
      </c>
      <c r="AP198" s="79" t="b">
        <v>0</v>
      </c>
      <c r="AQ198" s="85" t="s">
        <v>730</v>
      </c>
      <c r="AR198" s="79" t="s">
        <v>177</v>
      </c>
      <c r="AS198" s="79">
        <v>0</v>
      </c>
      <c r="AT198" s="79">
        <v>0</v>
      </c>
      <c r="AU198" s="79"/>
      <c r="AV198" s="79"/>
      <c r="AW198" s="79"/>
      <c r="AX198" s="79"/>
      <c r="AY198" s="79"/>
      <c r="AZ198" s="79"/>
      <c r="BA198" s="79"/>
      <c r="BB198" s="79"/>
      <c r="BC198">
        <v>2</v>
      </c>
      <c r="BD198" s="78" t="str">
        <f>REPLACE(INDEX(GroupVertices[Group], MATCH(Edges[[#This Row],[Vertex 1]],GroupVertices[Vertex],0)),1,1,"")</f>
        <v>2</v>
      </c>
      <c r="BE198" s="78" t="str">
        <f>REPLACE(INDEX(GroupVertices[Group], MATCH(Edges[[#This Row],[Vertex 2]],GroupVertices[Vertex],0)),1,1,"")</f>
        <v>2</v>
      </c>
    </row>
    <row r="199" spans="1:57" x14ac:dyDescent="0.25">
      <c r="A199" s="64" t="s">
        <v>265</v>
      </c>
      <c r="B199" s="64" t="s">
        <v>323</v>
      </c>
      <c r="C199" s="65" t="s">
        <v>2101</v>
      </c>
      <c r="D199" s="66">
        <v>3</v>
      </c>
      <c r="E199" s="67"/>
      <c r="F199" s="68">
        <v>40</v>
      </c>
      <c r="G199" s="65"/>
      <c r="H199" s="69"/>
      <c r="I199" s="70"/>
      <c r="J199" s="70"/>
      <c r="K199" s="35" t="s">
        <v>65</v>
      </c>
      <c r="L199" s="77">
        <v>199</v>
      </c>
      <c r="M19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199" s="72"/>
      <c r="O199" s="79" t="s">
        <v>337</v>
      </c>
      <c r="P199" s="81">
        <v>44406.629988425928</v>
      </c>
      <c r="Q199" s="79" t="s">
        <v>367</v>
      </c>
      <c r="R199" s="83" t="str">
        <f>HYPERLINK("https://www.youtube.com/shorts/qku6RAs0B3k?feature=share")</f>
        <v>https://www.youtube.com/shorts/qku6RAs0B3k?feature=share</v>
      </c>
      <c r="S199" s="79" t="s">
        <v>450</v>
      </c>
      <c r="T199" s="85" t="s">
        <v>478</v>
      </c>
      <c r="U199" s="83" t="str">
        <f>HYPERLINK("https://pbs.twimg.com/media/E7T3xyJWQAYfYP3.jpg")</f>
        <v>https://pbs.twimg.com/media/E7T3xyJWQAYfYP3.jpg</v>
      </c>
      <c r="V199" s="83" t="str">
        <f>HYPERLINK("https://pbs.twimg.com/media/E7T3xyJWQAYfYP3.jpg")</f>
        <v>https://pbs.twimg.com/media/E7T3xyJWQAYfYP3.jpg</v>
      </c>
      <c r="W199" s="81">
        <v>44406.629988425928</v>
      </c>
      <c r="X199" s="87">
        <v>44406</v>
      </c>
      <c r="Y199" s="85" t="s">
        <v>564</v>
      </c>
      <c r="Z199" s="83" t="str">
        <f>HYPERLINK("https://twitter.com/tabuwinslow/status/1420762838113587200")</f>
        <v>https://twitter.com/tabuwinslow/status/1420762838113587200</v>
      </c>
      <c r="AA199" s="79"/>
      <c r="AB199" s="79"/>
      <c r="AC199" s="85" t="s">
        <v>743</v>
      </c>
      <c r="AD199" s="79"/>
      <c r="AE199" s="79" t="b">
        <v>0</v>
      </c>
      <c r="AF199" s="79">
        <v>0</v>
      </c>
      <c r="AG199" s="85" t="s">
        <v>867</v>
      </c>
      <c r="AH199" s="79" t="b">
        <v>0</v>
      </c>
      <c r="AI199" s="79" t="s">
        <v>874</v>
      </c>
      <c r="AJ199" s="79"/>
      <c r="AK199" s="85" t="s">
        <v>867</v>
      </c>
      <c r="AL199" s="79" t="b">
        <v>0</v>
      </c>
      <c r="AM199" s="79">
        <v>3</v>
      </c>
      <c r="AN199" s="85" t="s">
        <v>789</v>
      </c>
      <c r="AO199" s="85" t="s">
        <v>887</v>
      </c>
      <c r="AP199" s="79" t="b">
        <v>0</v>
      </c>
      <c r="AQ199" s="85" t="s">
        <v>789</v>
      </c>
      <c r="AR199" s="79" t="s">
        <v>177</v>
      </c>
      <c r="AS199" s="79">
        <v>0</v>
      </c>
      <c r="AT199" s="79">
        <v>0</v>
      </c>
      <c r="AU199" s="79"/>
      <c r="AV199" s="79"/>
      <c r="AW199" s="79"/>
      <c r="AX199" s="79"/>
      <c r="AY199" s="79"/>
      <c r="AZ199" s="79"/>
      <c r="BA199" s="79"/>
      <c r="BB199" s="79"/>
      <c r="BC199">
        <v>1</v>
      </c>
      <c r="BD199" s="78" t="str">
        <f>REPLACE(INDEX(GroupVertices[Group], MATCH(Edges[[#This Row],[Vertex 1]],GroupVertices[Vertex],0)),1,1,"")</f>
        <v>3</v>
      </c>
      <c r="BE199" s="78" t="str">
        <f>REPLACE(INDEX(GroupVertices[Group], MATCH(Edges[[#This Row],[Vertex 2]],GroupVertices[Vertex],0)),1,1,"")</f>
        <v>3</v>
      </c>
    </row>
    <row r="200" spans="1:57" x14ac:dyDescent="0.25">
      <c r="A200" s="64" t="s">
        <v>266</v>
      </c>
      <c r="B200" s="64" t="s">
        <v>323</v>
      </c>
      <c r="C200" s="65" t="s">
        <v>2101</v>
      </c>
      <c r="D200" s="66">
        <v>3</v>
      </c>
      <c r="E200" s="67"/>
      <c r="F200" s="68">
        <v>40</v>
      </c>
      <c r="G200" s="65"/>
      <c r="H200" s="69"/>
      <c r="I200" s="70"/>
      <c r="J200" s="70"/>
      <c r="K200" s="35" t="s">
        <v>65</v>
      </c>
      <c r="L200" s="77">
        <v>200</v>
      </c>
      <c r="M20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00" s="72"/>
      <c r="O200" s="79" t="s">
        <v>337</v>
      </c>
      <c r="P200" s="81">
        <v>44406.631354166668</v>
      </c>
      <c r="Q200" s="79" t="s">
        <v>367</v>
      </c>
      <c r="R200" s="83" t="str">
        <f>HYPERLINK("https://www.youtube.com/shorts/qku6RAs0B3k?feature=share")</f>
        <v>https://www.youtube.com/shorts/qku6RAs0B3k?feature=share</v>
      </c>
      <c r="S200" s="79" t="s">
        <v>450</v>
      </c>
      <c r="T200" s="85" t="s">
        <v>478</v>
      </c>
      <c r="U200" s="83" t="str">
        <f>HYPERLINK("https://pbs.twimg.com/media/E7T3xyJWQAYfYP3.jpg")</f>
        <v>https://pbs.twimg.com/media/E7T3xyJWQAYfYP3.jpg</v>
      </c>
      <c r="V200" s="83" t="str">
        <f>HYPERLINK("https://pbs.twimg.com/media/E7T3xyJWQAYfYP3.jpg")</f>
        <v>https://pbs.twimg.com/media/E7T3xyJWQAYfYP3.jpg</v>
      </c>
      <c r="W200" s="81">
        <v>44406.631354166668</v>
      </c>
      <c r="X200" s="87">
        <v>44406</v>
      </c>
      <c r="Y200" s="85" t="s">
        <v>569</v>
      </c>
      <c r="Z200" s="83" t="str">
        <f>HYPERLINK("https://twitter.com/letsplayballan1/status/1420763333368688643")</f>
        <v>https://twitter.com/letsplayballan1/status/1420763333368688643</v>
      </c>
      <c r="AA200" s="79"/>
      <c r="AB200" s="79"/>
      <c r="AC200" s="85" t="s">
        <v>748</v>
      </c>
      <c r="AD200" s="79"/>
      <c r="AE200" s="79" t="b">
        <v>0</v>
      </c>
      <c r="AF200" s="79">
        <v>0</v>
      </c>
      <c r="AG200" s="85" t="s">
        <v>867</v>
      </c>
      <c r="AH200" s="79" t="b">
        <v>0</v>
      </c>
      <c r="AI200" s="79" t="s">
        <v>874</v>
      </c>
      <c r="AJ200" s="79"/>
      <c r="AK200" s="85" t="s">
        <v>867</v>
      </c>
      <c r="AL200" s="79" t="b">
        <v>0</v>
      </c>
      <c r="AM200" s="79">
        <v>3</v>
      </c>
      <c r="AN200" s="85" t="s">
        <v>789</v>
      </c>
      <c r="AO200" s="85" t="s">
        <v>887</v>
      </c>
      <c r="AP200" s="79" t="b">
        <v>0</v>
      </c>
      <c r="AQ200" s="85" t="s">
        <v>789</v>
      </c>
      <c r="AR200" s="79" t="s">
        <v>177</v>
      </c>
      <c r="AS200" s="79">
        <v>0</v>
      </c>
      <c r="AT200" s="79">
        <v>0</v>
      </c>
      <c r="AU200" s="79"/>
      <c r="AV200" s="79"/>
      <c r="AW200" s="79"/>
      <c r="AX200" s="79"/>
      <c r="AY200" s="79"/>
      <c r="AZ200" s="79"/>
      <c r="BA200" s="79"/>
      <c r="BB200" s="79"/>
      <c r="BC200">
        <v>1</v>
      </c>
      <c r="BD200" s="78" t="str">
        <f>REPLACE(INDEX(GroupVertices[Group], MATCH(Edges[[#This Row],[Vertex 1]],GroupVertices[Vertex],0)),1,1,"")</f>
        <v>3</v>
      </c>
      <c r="BE200" s="78" t="str">
        <f>REPLACE(INDEX(GroupVertices[Group], MATCH(Edges[[#This Row],[Vertex 2]],GroupVertices[Vertex],0)),1,1,"")</f>
        <v>3</v>
      </c>
    </row>
    <row r="201" spans="1:57" x14ac:dyDescent="0.25">
      <c r="A201" s="64" t="s">
        <v>265</v>
      </c>
      <c r="B201" s="64" t="s">
        <v>321</v>
      </c>
      <c r="C201" s="65" t="s">
        <v>2101</v>
      </c>
      <c r="D201" s="66">
        <v>3</v>
      </c>
      <c r="E201" s="67"/>
      <c r="F201" s="68">
        <v>40</v>
      </c>
      <c r="G201" s="65"/>
      <c r="H201" s="69"/>
      <c r="I201" s="70"/>
      <c r="J201" s="70"/>
      <c r="K201" s="35" t="s">
        <v>65</v>
      </c>
      <c r="L201" s="77">
        <v>201</v>
      </c>
      <c r="M20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01" s="72"/>
      <c r="O201" s="79" t="s">
        <v>337</v>
      </c>
      <c r="P201" s="81">
        <v>44406.629803240743</v>
      </c>
      <c r="Q201" s="79" t="s">
        <v>366</v>
      </c>
      <c r="R201" s="79"/>
      <c r="S201" s="79"/>
      <c r="T201" s="85" t="s">
        <v>461</v>
      </c>
      <c r="U201" s="83" t="str">
        <f t="shared" ref="U201:V203" si="2">HYPERLINK("https://pbs.twimg.com/media/E7eO9zIVUAEjK-g.jpg")</f>
        <v>https://pbs.twimg.com/media/E7eO9zIVUAEjK-g.jpg</v>
      </c>
      <c r="V201" s="83" t="str">
        <f t="shared" si="2"/>
        <v>https://pbs.twimg.com/media/E7eO9zIVUAEjK-g.jpg</v>
      </c>
      <c r="W201" s="81">
        <v>44406.629803240743</v>
      </c>
      <c r="X201" s="87">
        <v>44406</v>
      </c>
      <c r="Y201" s="85" t="s">
        <v>563</v>
      </c>
      <c r="Z201" s="83" t="str">
        <f>HYPERLINK("https://twitter.com/tabuwinslow/status/1420762771801530374")</f>
        <v>https://twitter.com/tabuwinslow/status/1420762771801530374</v>
      </c>
      <c r="AA201" s="79"/>
      <c r="AB201" s="79"/>
      <c r="AC201" s="85" t="s">
        <v>742</v>
      </c>
      <c r="AD201" s="79"/>
      <c r="AE201" s="79" t="b">
        <v>0</v>
      </c>
      <c r="AF201" s="79">
        <v>0</v>
      </c>
      <c r="AG201" s="85" t="s">
        <v>867</v>
      </c>
      <c r="AH201" s="79" t="b">
        <v>0</v>
      </c>
      <c r="AI201" s="79" t="s">
        <v>874</v>
      </c>
      <c r="AJ201" s="79"/>
      <c r="AK201" s="85" t="s">
        <v>867</v>
      </c>
      <c r="AL201" s="79" t="b">
        <v>0</v>
      </c>
      <c r="AM201" s="79">
        <v>4</v>
      </c>
      <c r="AN201" s="85" t="s">
        <v>799</v>
      </c>
      <c r="AO201" s="85" t="s">
        <v>887</v>
      </c>
      <c r="AP201" s="79" t="b">
        <v>0</v>
      </c>
      <c r="AQ201" s="85" t="s">
        <v>799</v>
      </c>
      <c r="AR201" s="79" t="s">
        <v>177</v>
      </c>
      <c r="AS201" s="79">
        <v>0</v>
      </c>
      <c r="AT201" s="79">
        <v>0</v>
      </c>
      <c r="AU201" s="79"/>
      <c r="AV201" s="79"/>
      <c r="AW201" s="79"/>
      <c r="AX201" s="79"/>
      <c r="AY201" s="79"/>
      <c r="AZ201" s="79"/>
      <c r="BA201" s="79"/>
      <c r="BB201" s="79"/>
      <c r="BC201">
        <v>1</v>
      </c>
      <c r="BD201" s="78" t="str">
        <f>REPLACE(INDEX(GroupVertices[Group], MATCH(Edges[[#This Row],[Vertex 1]],GroupVertices[Vertex],0)),1,1,"")</f>
        <v>3</v>
      </c>
      <c r="BE201" s="78" t="str">
        <f>REPLACE(INDEX(GroupVertices[Group], MATCH(Edges[[#This Row],[Vertex 2]],GroupVertices[Vertex],0)),1,1,"")</f>
        <v>3</v>
      </c>
    </row>
    <row r="202" spans="1:57" x14ac:dyDescent="0.25">
      <c r="A202" s="64" t="s">
        <v>266</v>
      </c>
      <c r="B202" s="64" t="s">
        <v>321</v>
      </c>
      <c r="C202" s="65" t="s">
        <v>2101</v>
      </c>
      <c r="D202" s="66">
        <v>3</v>
      </c>
      <c r="E202" s="67"/>
      <c r="F202" s="68">
        <v>40</v>
      </c>
      <c r="G202" s="65"/>
      <c r="H202" s="69"/>
      <c r="I202" s="70"/>
      <c r="J202" s="70"/>
      <c r="K202" s="35" t="s">
        <v>65</v>
      </c>
      <c r="L202" s="77">
        <v>202</v>
      </c>
      <c r="M20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02" s="72"/>
      <c r="O202" s="79" t="s">
        <v>337</v>
      </c>
      <c r="P202" s="81">
        <v>44406.631203703706</v>
      </c>
      <c r="Q202" s="79" t="s">
        <v>366</v>
      </c>
      <c r="R202" s="79"/>
      <c r="S202" s="79"/>
      <c r="T202" s="85" t="s">
        <v>461</v>
      </c>
      <c r="U202" s="83" t="str">
        <f t="shared" si="2"/>
        <v>https://pbs.twimg.com/media/E7eO9zIVUAEjK-g.jpg</v>
      </c>
      <c r="V202" s="83" t="str">
        <f t="shared" si="2"/>
        <v>https://pbs.twimg.com/media/E7eO9zIVUAEjK-g.jpg</v>
      </c>
      <c r="W202" s="81">
        <v>44406.631203703706</v>
      </c>
      <c r="X202" s="87">
        <v>44406</v>
      </c>
      <c r="Y202" s="85" t="s">
        <v>568</v>
      </c>
      <c r="Z202" s="83" t="str">
        <f>HYPERLINK("https://twitter.com/letsplayballan1/status/1420763276665933824")</f>
        <v>https://twitter.com/letsplayballan1/status/1420763276665933824</v>
      </c>
      <c r="AA202" s="79"/>
      <c r="AB202" s="79"/>
      <c r="AC202" s="85" t="s">
        <v>747</v>
      </c>
      <c r="AD202" s="79"/>
      <c r="AE202" s="79" t="b">
        <v>0</v>
      </c>
      <c r="AF202" s="79">
        <v>0</v>
      </c>
      <c r="AG202" s="85" t="s">
        <v>867</v>
      </c>
      <c r="AH202" s="79" t="b">
        <v>0</v>
      </c>
      <c r="AI202" s="79" t="s">
        <v>874</v>
      </c>
      <c r="AJ202" s="79"/>
      <c r="AK202" s="85" t="s">
        <v>867</v>
      </c>
      <c r="AL202" s="79" t="b">
        <v>0</v>
      </c>
      <c r="AM202" s="79">
        <v>4</v>
      </c>
      <c r="AN202" s="85" t="s">
        <v>799</v>
      </c>
      <c r="AO202" s="85" t="s">
        <v>887</v>
      </c>
      <c r="AP202" s="79" t="b">
        <v>0</v>
      </c>
      <c r="AQ202" s="85" t="s">
        <v>799</v>
      </c>
      <c r="AR202" s="79" t="s">
        <v>177</v>
      </c>
      <c r="AS202" s="79">
        <v>0</v>
      </c>
      <c r="AT202" s="79">
        <v>0</v>
      </c>
      <c r="AU202" s="79"/>
      <c r="AV202" s="79"/>
      <c r="AW202" s="79"/>
      <c r="AX202" s="79"/>
      <c r="AY202" s="79"/>
      <c r="AZ202" s="79"/>
      <c r="BA202" s="79"/>
      <c r="BB202" s="79"/>
      <c r="BC202">
        <v>1</v>
      </c>
      <c r="BD202" s="78" t="str">
        <f>REPLACE(INDEX(GroupVertices[Group], MATCH(Edges[[#This Row],[Vertex 1]],GroupVertices[Vertex],0)),1,1,"")</f>
        <v>3</v>
      </c>
      <c r="BE202" s="78" t="str">
        <f>REPLACE(INDEX(GroupVertices[Group], MATCH(Edges[[#This Row],[Vertex 2]],GroupVertices[Vertex],0)),1,1,"")</f>
        <v>3</v>
      </c>
    </row>
    <row r="203" spans="1:57" x14ac:dyDescent="0.25">
      <c r="A203" s="64" t="s">
        <v>267</v>
      </c>
      <c r="B203" s="64" t="s">
        <v>321</v>
      </c>
      <c r="C203" s="65" t="s">
        <v>2101</v>
      </c>
      <c r="D203" s="66">
        <v>3</v>
      </c>
      <c r="E203" s="67"/>
      <c r="F203" s="68">
        <v>40</v>
      </c>
      <c r="G203" s="65"/>
      <c r="H203" s="69"/>
      <c r="I203" s="70"/>
      <c r="J203" s="70"/>
      <c r="K203" s="35" t="s">
        <v>65</v>
      </c>
      <c r="L203" s="77">
        <v>203</v>
      </c>
      <c r="M20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03" s="72"/>
      <c r="O203" s="79" t="s">
        <v>337</v>
      </c>
      <c r="P203" s="81">
        <v>44406.638159722221</v>
      </c>
      <c r="Q203" s="79" t="s">
        <v>366</v>
      </c>
      <c r="R203" s="79"/>
      <c r="S203" s="79"/>
      <c r="T203" s="85" t="s">
        <v>461</v>
      </c>
      <c r="U203" s="83" t="str">
        <f t="shared" si="2"/>
        <v>https://pbs.twimg.com/media/E7eO9zIVUAEjK-g.jpg</v>
      </c>
      <c r="V203" s="83" t="str">
        <f t="shared" si="2"/>
        <v>https://pbs.twimg.com/media/E7eO9zIVUAEjK-g.jpg</v>
      </c>
      <c r="W203" s="81">
        <v>44406.638159722221</v>
      </c>
      <c r="X203" s="87">
        <v>44406</v>
      </c>
      <c r="Y203" s="85" t="s">
        <v>578</v>
      </c>
      <c r="Z203" s="83" t="str">
        <f>HYPERLINK("https://twitter.com/ms_tabu/status/1420765797316714501")</f>
        <v>https://twitter.com/ms_tabu/status/1420765797316714501</v>
      </c>
      <c r="AA203" s="79"/>
      <c r="AB203" s="79"/>
      <c r="AC203" s="85" t="s">
        <v>757</v>
      </c>
      <c r="AD203" s="79"/>
      <c r="AE203" s="79" t="b">
        <v>0</v>
      </c>
      <c r="AF203" s="79">
        <v>0</v>
      </c>
      <c r="AG203" s="85" t="s">
        <v>867</v>
      </c>
      <c r="AH203" s="79" t="b">
        <v>0</v>
      </c>
      <c r="AI203" s="79" t="s">
        <v>874</v>
      </c>
      <c r="AJ203" s="79"/>
      <c r="AK203" s="85" t="s">
        <v>867</v>
      </c>
      <c r="AL203" s="79" t="b">
        <v>0</v>
      </c>
      <c r="AM203" s="79">
        <v>4</v>
      </c>
      <c r="AN203" s="85" t="s">
        <v>799</v>
      </c>
      <c r="AO203" s="85" t="s">
        <v>887</v>
      </c>
      <c r="AP203" s="79" t="b">
        <v>0</v>
      </c>
      <c r="AQ203" s="85" t="s">
        <v>799</v>
      </c>
      <c r="AR203" s="79" t="s">
        <v>177</v>
      </c>
      <c r="AS203" s="79">
        <v>0</v>
      </c>
      <c r="AT203" s="79">
        <v>0</v>
      </c>
      <c r="AU203" s="79"/>
      <c r="AV203" s="79"/>
      <c r="AW203" s="79"/>
      <c r="AX203" s="79"/>
      <c r="AY203" s="79"/>
      <c r="AZ203" s="79"/>
      <c r="BA203" s="79"/>
      <c r="BB203" s="79"/>
      <c r="BC203">
        <v>1</v>
      </c>
      <c r="BD203" s="78" t="str">
        <f>REPLACE(INDEX(GroupVertices[Group], MATCH(Edges[[#This Row],[Vertex 1]],GroupVertices[Vertex],0)),1,1,"")</f>
        <v>3</v>
      </c>
      <c r="BE203" s="78" t="str">
        <f>REPLACE(INDEX(GroupVertices[Group], MATCH(Edges[[#This Row],[Vertex 2]],GroupVertices[Vertex],0)),1,1,"")</f>
        <v>3</v>
      </c>
    </row>
    <row r="204" spans="1:57" x14ac:dyDescent="0.25">
      <c r="A204" s="64" t="s">
        <v>299</v>
      </c>
      <c r="B204" s="64" t="s">
        <v>335</v>
      </c>
      <c r="C204" s="65" t="s">
        <v>2101</v>
      </c>
      <c r="D204" s="66">
        <v>3</v>
      </c>
      <c r="E204" s="67"/>
      <c r="F204" s="68">
        <v>40</v>
      </c>
      <c r="G204" s="65"/>
      <c r="H204" s="69"/>
      <c r="I204" s="70"/>
      <c r="J204" s="70"/>
      <c r="K204" s="35" t="s">
        <v>65</v>
      </c>
      <c r="L204" s="77">
        <v>204</v>
      </c>
      <c r="M20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04" s="72"/>
      <c r="O204" s="79" t="s">
        <v>339</v>
      </c>
      <c r="P204" s="81">
        <v>44407.733564814815</v>
      </c>
      <c r="Q204" s="79" t="s">
        <v>436</v>
      </c>
      <c r="R204" s="83" t="str">
        <f>HYPERLINK("https://twitter.com/coetalk/status/1421161509527474187")</f>
        <v>https://twitter.com/coetalk/status/1421161509527474187</v>
      </c>
      <c r="S204" s="79" t="s">
        <v>449</v>
      </c>
      <c r="T204" s="85" t="s">
        <v>461</v>
      </c>
      <c r="U204" s="79"/>
      <c r="V204" s="83" t="str">
        <f>HYPERLINK("https://pbs.twimg.com/profile_images/1323297412480262144/loo-7mMs_normal.jpg")</f>
        <v>https://pbs.twimg.com/profile_images/1323297412480262144/loo-7mMs_normal.jpg</v>
      </c>
      <c r="W204" s="81">
        <v>44407.733564814815</v>
      </c>
      <c r="X204" s="87">
        <v>44407</v>
      </c>
      <c r="Y204" s="85" t="s">
        <v>675</v>
      </c>
      <c r="Z204" s="83" t="str">
        <f>HYPERLINK("https://twitter.com/mycencalwestop/status/1421162760293867525")</f>
        <v>https://twitter.com/mycencalwestop/status/1421162760293867525</v>
      </c>
      <c r="AA204" s="79"/>
      <c r="AB204" s="79"/>
      <c r="AC204" s="85" t="s">
        <v>855</v>
      </c>
      <c r="AD204" s="79"/>
      <c r="AE204" s="79" t="b">
        <v>0</v>
      </c>
      <c r="AF204" s="79">
        <v>3</v>
      </c>
      <c r="AG204" s="85" t="s">
        <v>867</v>
      </c>
      <c r="AH204" s="79" t="b">
        <v>1</v>
      </c>
      <c r="AI204" s="79" t="s">
        <v>874</v>
      </c>
      <c r="AJ204" s="79"/>
      <c r="AK204" s="85" t="s">
        <v>836</v>
      </c>
      <c r="AL204" s="79" t="b">
        <v>0</v>
      </c>
      <c r="AM204" s="79">
        <v>1</v>
      </c>
      <c r="AN204" s="85" t="s">
        <v>867</v>
      </c>
      <c r="AO204" s="85" t="s">
        <v>889</v>
      </c>
      <c r="AP204" s="79" t="b">
        <v>0</v>
      </c>
      <c r="AQ204" s="85" t="s">
        <v>855</v>
      </c>
      <c r="AR204" s="79" t="s">
        <v>177</v>
      </c>
      <c r="AS204" s="79">
        <v>0</v>
      </c>
      <c r="AT204" s="79">
        <v>0</v>
      </c>
      <c r="AU204" s="79"/>
      <c r="AV204" s="79"/>
      <c r="AW204" s="79"/>
      <c r="AX204" s="79"/>
      <c r="AY204" s="79"/>
      <c r="AZ204" s="79"/>
      <c r="BA204" s="79"/>
      <c r="BB204" s="79"/>
      <c r="BC204">
        <v>1</v>
      </c>
      <c r="BD204" s="78" t="str">
        <f>REPLACE(INDEX(GroupVertices[Group], MATCH(Edges[[#This Row],[Vertex 1]],GroupVertices[Vertex],0)),1,1,"")</f>
        <v>1</v>
      </c>
      <c r="BE204" s="78" t="str">
        <f>REPLACE(INDEX(GroupVertices[Group], MATCH(Edges[[#This Row],[Vertex 2]],GroupVertices[Vertex],0)),1,1,"")</f>
        <v>1</v>
      </c>
    </row>
    <row r="205" spans="1:57" x14ac:dyDescent="0.25">
      <c r="A205" s="64" t="s">
        <v>287</v>
      </c>
      <c r="B205" s="64" t="s">
        <v>335</v>
      </c>
      <c r="C205" s="65" t="s">
        <v>2101</v>
      </c>
      <c r="D205" s="66">
        <v>3</v>
      </c>
      <c r="E205" s="67"/>
      <c r="F205" s="68">
        <v>40</v>
      </c>
      <c r="G205" s="65"/>
      <c r="H205" s="69"/>
      <c r="I205" s="70"/>
      <c r="J205" s="70"/>
      <c r="K205" s="35" t="s">
        <v>65</v>
      </c>
      <c r="L205" s="77">
        <v>205</v>
      </c>
      <c r="M20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05" s="72"/>
      <c r="O205" s="79" t="s">
        <v>337</v>
      </c>
      <c r="P205" s="81">
        <v>44407.746261574073</v>
      </c>
      <c r="Q205" s="79" t="s">
        <v>436</v>
      </c>
      <c r="R205" s="83" t="str">
        <f>HYPERLINK("https://twitter.com/coetalk/status/1421161509527474187")</f>
        <v>https://twitter.com/coetalk/status/1421161509527474187</v>
      </c>
      <c r="S205" s="79" t="s">
        <v>449</v>
      </c>
      <c r="T205" s="85" t="s">
        <v>461</v>
      </c>
      <c r="U205" s="79"/>
      <c r="V205" s="83" t="str">
        <f>HYPERLINK("https://pbs.twimg.com/profile_images/1311001884824604676/RVdli881_normal.png")</f>
        <v>https://pbs.twimg.com/profile_images/1311001884824604676/RVdli881_normal.png</v>
      </c>
      <c r="W205" s="81">
        <v>44407.746261574073</v>
      </c>
      <c r="X205" s="87">
        <v>44407</v>
      </c>
      <c r="Y205" s="85" t="s">
        <v>674</v>
      </c>
      <c r="Z205" s="83" t="str">
        <f>HYPERLINK("https://twitter.com/coetalk/status/1421167361252528137")</f>
        <v>https://twitter.com/coetalk/status/1421167361252528137</v>
      </c>
      <c r="AA205" s="79"/>
      <c r="AB205" s="79"/>
      <c r="AC205" s="85" t="s">
        <v>854</v>
      </c>
      <c r="AD205" s="79"/>
      <c r="AE205" s="79" t="b">
        <v>0</v>
      </c>
      <c r="AF205" s="79">
        <v>0</v>
      </c>
      <c r="AG205" s="85" t="s">
        <v>867</v>
      </c>
      <c r="AH205" s="79" t="b">
        <v>1</v>
      </c>
      <c r="AI205" s="79" t="s">
        <v>874</v>
      </c>
      <c r="AJ205" s="79"/>
      <c r="AK205" s="85" t="s">
        <v>836</v>
      </c>
      <c r="AL205" s="79" t="b">
        <v>0</v>
      </c>
      <c r="AM205" s="79">
        <v>1</v>
      </c>
      <c r="AN205" s="85" t="s">
        <v>855</v>
      </c>
      <c r="AO205" s="85" t="s">
        <v>883</v>
      </c>
      <c r="AP205" s="79" t="b">
        <v>0</v>
      </c>
      <c r="AQ205" s="85" t="s">
        <v>855</v>
      </c>
      <c r="AR205" s="79" t="s">
        <v>177</v>
      </c>
      <c r="AS205" s="79">
        <v>0</v>
      </c>
      <c r="AT205" s="79">
        <v>0</v>
      </c>
      <c r="AU205" s="79"/>
      <c r="AV205" s="79"/>
      <c r="AW205" s="79"/>
      <c r="AX205" s="79"/>
      <c r="AY205" s="79"/>
      <c r="AZ205" s="79"/>
      <c r="BA205" s="79"/>
      <c r="BB205" s="79"/>
      <c r="BC205">
        <v>1</v>
      </c>
      <c r="BD205" s="78" t="str">
        <f>REPLACE(INDEX(GroupVertices[Group], MATCH(Edges[[#This Row],[Vertex 1]],GroupVertices[Vertex],0)),1,1,"")</f>
        <v>1</v>
      </c>
      <c r="BE205" s="78" t="str">
        <f>REPLACE(INDEX(GroupVertices[Group], MATCH(Edges[[#This Row],[Vertex 2]],GroupVertices[Vertex],0)),1,1,"")</f>
        <v>1</v>
      </c>
    </row>
    <row r="206" spans="1:57" x14ac:dyDescent="0.25">
      <c r="A206" s="64" t="s">
        <v>235</v>
      </c>
      <c r="B206" s="64" t="s">
        <v>235</v>
      </c>
      <c r="C206" s="65" t="s">
        <v>2101</v>
      </c>
      <c r="D206" s="66">
        <v>3</v>
      </c>
      <c r="E206" s="67"/>
      <c r="F206" s="68">
        <v>40</v>
      </c>
      <c r="G206" s="65"/>
      <c r="H206" s="69"/>
      <c r="I206" s="70"/>
      <c r="J206" s="70"/>
      <c r="K206" s="35" t="s">
        <v>65</v>
      </c>
      <c r="L206" s="77">
        <v>206</v>
      </c>
      <c r="M20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06" s="72"/>
      <c r="O206" s="79" t="s">
        <v>177</v>
      </c>
      <c r="P206" s="81">
        <v>44404.841203703705</v>
      </c>
      <c r="Q206" s="79" t="s">
        <v>355</v>
      </c>
      <c r="R206" s="79"/>
      <c r="S206" s="79"/>
      <c r="T206" s="85" t="s">
        <v>472</v>
      </c>
      <c r="U206" s="83" t="str">
        <f>HYPERLINK("https://pbs.twimg.com/media/E7VCrqgXsAMPfkw.jpg")</f>
        <v>https://pbs.twimg.com/media/E7VCrqgXsAMPfkw.jpg</v>
      </c>
      <c r="V206" s="83" t="str">
        <f>HYPERLINK("https://pbs.twimg.com/media/E7VCrqgXsAMPfkw.jpg")</f>
        <v>https://pbs.twimg.com/media/E7VCrqgXsAMPfkw.jpg</v>
      </c>
      <c r="W206" s="81">
        <v>44404.841203703705</v>
      </c>
      <c r="X206" s="87">
        <v>44404</v>
      </c>
      <c r="Y206" s="85" t="s">
        <v>529</v>
      </c>
      <c r="Z206" s="83" t="str">
        <f>HYPERLINK("https://twitter.com/txwesub/status/1420114601472139264")</f>
        <v>https://twitter.com/txwesub/status/1420114601472139264</v>
      </c>
      <c r="AA206" s="79"/>
      <c r="AB206" s="79"/>
      <c r="AC206" s="85" t="s">
        <v>706</v>
      </c>
      <c r="AD206" s="79"/>
      <c r="AE206" s="79" t="b">
        <v>0</v>
      </c>
      <c r="AF206" s="79">
        <v>0</v>
      </c>
      <c r="AG206" s="85" t="s">
        <v>867</v>
      </c>
      <c r="AH206" s="79" t="b">
        <v>0</v>
      </c>
      <c r="AI206" s="79" t="s">
        <v>874</v>
      </c>
      <c r="AJ206" s="79"/>
      <c r="AK206" s="85" t="s">
        <v>867</v>
      </c>
      <c r="AL206" s="79" t="b">
        <v>0</v>
      </c>
      <c r="AM206" s="79">
        <v>0</v>
      </c>
      <c r="AN206" s="85" t="s">
        <v>867</v>
      </c>
      <c r="AO206" s="85" t="s">
        <v>882</v>
      </c>
      <c r="AP206" s="79" t="b">
        <v>0</v>
      </c>
      <c r="AQ206" s="85" t="s">
        <v>706</v>
      </c>
      <c r="AR206" s="79" t="s">
        <v>177</v>
      </c>
      <c r="AS206" s="79">
        <v>0</v>
      </c>
      <c r="AT206" s="79">
        <v>0</v>
      </c>
      <c r="AU206" s="79"/>
      <c r="AV206" s="79"/>
      <c r="AW206" s="79"/>
      <c r="AX206" s="79"/>
      <c r="AY206" s="79"/>
      <c r="AZ206" s="79"/>
      <c r="BA206" s="79"/>
      <c r="BB206" s="79"/>
      <c r="BC206">
        <v>1</v>
      </c>
      <c r="BD206" s="78" t="str">
        <f>REPLACE(INDEX(GroupVertices[Group], MATCH(Edges[[#This Row],[Vertex 1]],GroupVertices[Vertex],0)),1,1,"")</f>
        <v>5</v>
      </c>
      <c r="BE206" s="78" t="str">
        <f>REPLACE(INDEX(GroupVertices[Group], MATCH(Edges[[#This Row],[Vertex 2]],GroupVertices[Vertex],0)),1,1,"")</f>
        <v>5</v>
      </c>
    </row>
    <row r="207" spans="1:57" x14ac:dyDescent="0.25">
      <c r="A207" s="64" t="s">
        <v>259</v>
      </c>
      <c r="B207" s="64" t="s">
        <v>318</v>
      </c>
      <c r="C207" s="65" t="s">
        <v>2101</v>
      </c>
      <c r="D207" s="66">
        <v>3</v>
      </c>
      <c r="E207" s="67"/>
      <c r="F207" s="68">
        <v>40</v>
      </c>
      <c r="G207" s="65"/>
      <c r="H207" s="69"/>
      <c r="I207" s="70"/>
      <c r="J207" s="70"/>
      <c r="K207" s="35" t="s">
        <v>65</v>
      </c>
      <c r="L207" s="77">
        <v>207</v>
      </c>
      <c r="M20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07" s="72"/>
      <c r="O207" s="79" t="s">
        <v>339</v>
      </c>
      <c r="P207" s="81">
        <v>44405.562175925923</v>
      </c>
      <c r="Q207" s="79" t="s">
        <v>362</v>
      </c>
      <c r="R207" s="79"/>
      <c r="S207" s="79"/>
      <c r="T207" s="85" t="s">
        <v>476</v>
      </c>
      <c r="U207" s="83" t="str">
        <f>HYPERLINK("https://pbs.twimg.com/media/E7YwUeiXEAY8jJj.jpg")</f>
        <v>https://pbs.twimg.com/media/E7YwUeiXEAY8jJj.jpg</v>
      </c>
      <c r="V207" s="83" t="str">
        <f>HYPERLINK("https://pbs.twimg.com/media/E7YwUeiXEAY8jJj.jpg")</f>
        <v>https://pbs.twimg.com/media/E7YwUeiXEAY8jJj.jpg</v>
      </c>
      <c r="W207" s="81">
        <v>44405.562175925923</v>
      </c>
      <c r="X207" s="87">
        <v>44405</v>
      </c>
      <c r="Y207" s="85" t="s">
        <v>556</v>
      </c>
      <c r="Z207" s="83" t="str">
        <f>HYPERLINK("https://twitter.com/ub_trio_sjc/status/1420375875250442245")</f>
        <v>https://twitter.com/ub_trio_sjc/status/1420375875250442245</v>
      </c>
      <c r="AA207" s="79"/>
      <c r="AB207" s="79"/>
      <c r="AC207" s="85" t="s">
        <v>735</v>
      </c>
      <c r="AD207" s="79"/>
      <c r="AE207" s="79" t="b">
        <v>0</v>
      </c>
      <c r="AF207" s="79">
        <v>0</v>
      </c>
      <c r="AG207" s="85" t="s">
        <v>867</v>
      </c>
      <c r="AH207" s="79" t="b">
        <v>0</v>
      </c>
      <c r="AI207" s="79" t="s">
        <v>874</v>
      </c>
      <c r="AJ207" s="79"/>
      <c r="AK207" s="85" t="s">
        <v>867</v>
      </c>
      <c r="AL207" s="79" t="b">
        <v>0</v>
      </c>
      <c r="AM207" s="79">
        <v>0</v>
      </c>
      <c r="AN207" s="85" t="s">
        <v>867</v>
      </c>
      <c r="AO207" s="85" t="s">
        <v>887</v>
      </c>
      <c r="AP207" s="79" t="b">
        <v>0</v>
      </c>
      <c r="AQ207" s="85" t="s">
        <v>735</v>
      </c>
      <c r="AR207" s="79" t="s">
        <v>177</v>
      </c>
      <c r="AS207" s="79">
        <v>0</v>
      </c>
      <c r="AT207" s="79">
        <v>0</v>
      </c>
      <c r="AU207" s="79"/>
      <c r="AV207" s="79"/>
      <c r="AW207" s="79"/>
      <c r="AX207" s="79"/>
      <c r="AY207" s="79"/>
      <c r="AZ207" s="79"/>
      <c r="BA207" s="79"/>
      <c r="BB207" s="79"/>
      <c r="BC207">
        <v>1</v>
      </c>
      <c r="BD207" s="78" t="str">
        <f>REPLACE(INDEX(GroupVertices[Group], MATCH(Edges[[#This Row],[Vertex 1]],GroupVertices[Vertex],0)),1,1,"")</f>
        <v>10</v>
      </c>
      <c r="BE207" s="78" t="str">
        <f>REPLACE(INDEX(GroupVertices[Group], MATCH(Edges[[#This Row],[Vertex 2]],GroupVertices[Vertex],0)),1,1,"")</f>
        <v>10</v>
      </c>
    </row>
    <row r="208" spans="1:57" x14ac:dyDescent="0.25">
      <c r="A208" s="64" t="s">
        <v>223</v>
      </c>
      <c r="B208" s="64" t="s">
        <v>223</v>
      </c>
      <c r="C208" s="65" t="s">
        <v>2101</v>
      </c>
      <c r="D208" s="66">
        <v>3</v>
      </c>
      <c r="E208" s="67"/>
      <c r="F208" s="68">
        <v>40</v>
      </c>
      <c r="G208" s="65"/>
      <c r="H208" s="69"/>
      <c r="I208" s="70"/>
      <c r="J208" s="70"/>
      <c r="K208" s="35" t="s">
        <v>65</v>
      </c>
      <c r="L208" s="77">
        <v>208</v>
      </c>
      <c r="M20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08" s="72"/>
      <c r="O208" s="79" t="s">
        <v>177</v>
      </c>
      <c r="P208" s="81">
        <v>44403.750173611108</v>
      </c>
      <c r="Q208" s="79" t="s">
        <v>346</v>
      </c>
      <c r="R208" s="79"/>
      <c r="S208" s="79"/>
      <c r="T208" s="85" t="s">
        <v>461</v>
      </c>
      <c r="U208" s="83" t="str">
        <f>HYPERLINK("https://pbs.twimg.com/media/E7PbHPkX0AMYcaV.jpg")</f>
        <v>https://pbs.twimg.com/media/E7PbHPkX0AMYcaV.jpg</v>
      </c>
      <c r="V208" s="83" t="str">
        <f>HYPERLINK("https://pbs.twimg.com/media/E7PbHPkX0AMYcaV.jpg")</f>
        <v>https://pbs.twimg.com/media/E7PbHPkX0AMYcaV.jpg</v>
      </c>
      <c r="W208" s="81">
        <v>44403.750173611108</v>
      </c>
      <c r="X208" s="87">
        <v>44403</v>
      </c>
      <c r="Y208" s="85" t="s">
        <v>517</v>
      </c>
      <c r="Z208" s="83" t="str">
        <f>HYPERLINK("https://twitter.com/tseoc_psu/status/1419719227439816705")</f>
        <v>https://twitter.com/tseoc_psu/status/1419719227439816705</v>
      </c>
      <c r="AA208" s="79"/>
      <c r="AB208" s="79"/>
      <c r="AC208" s="85" t="s">
        <v>693</v>
      </c>
      <c r="AD208" s="79"/>
      <c r="AE208" s="79" t="b">
        <v>0</v>
      </c>
      <c r="AF208" s="79">
        <v>0</v>
      </c>
      <c r="AG208" s="85" t="s">
        <v>867</v>
      </c>
      <c r="AH208" s="79" t="b">
        <v>0</v>
      </c>
      <c r="AI208" s="79" t="s">
        <v>874</v>
      </c>
      <c r="AJ208" s="79"/>
      <c r="AK208" s="85" t="s">
        <v>867</v>
      </c>
      <c r="AL208" s="79" t="b">
        <v>0</v>
      </c>
      <c r="AM208" s="79">
        <v>0</v>
      </c>
      <c r="AN208" s="85" t="s">
        <v>867</v>
      </c>
      <c r="AO208" s="85" t="s">
        <v>885</v>
      </c>
      <c r="AP208" s="79" t="b">
        <v>0</v>
      </c>
      <c r="AQ208" s="85" t="s">
        <v>693</v>
      </c>
      <c r="AR208" s="79" t="s">
        <v>177</v>
      </c>
      <c r="AS208" s="79">
        <v>0</v>
      </c>
      <c r="AT208" s="79">
        <v>0</v>
      </c>
      <c r="AU208" s="79"/>
      <c r="AV208" s="79"/>
      <c r="AW208" s="79"/>
      <c r="AX208" s="79"/>
      <c r="AY208" s="79"/>
      <c r="AZ208" s="79"/>
      <c r="BA208" s="79"/>
      <c r="BB208" s="79"/>
      <c r="BC208">
        <v>1</v>
      </c>
      <c r="BD208" s="78" t="str">
        <f>REPLACE(INDEX(GroupVertices[Group], MATCH(Edges[[#This Row],[Vertex 1]],GroupVertices[Vertex],0)),1,1,"")</f>
        <v>5</v>
      </c>
      <c r="BE208" s="78" t="str">
        <f>REPLACE(INDEX(GroupVertices[Group], MATCH(Edges[[#This Row],[Vertex 2]],GroupVertices[Vertex],0)),1,1,"")</f>
        <v>5</v>
      </c>
    </row>
    <row r="209" spans="1:57" x14ac:dyDescent="0.25">
      <c r="A209" s="64" t="s">
        <v>245</v>
      </c>
      <c r="B209" s="64" t="s">
        <v>309</v>
      </c>
      <c r="C209" s="65" t="s">
        <v>2101</v>
      </c>
      <c r="D209" s="66">
        <v>3</v>
      </c>
      <c r="E209" s="67"/>
      <c r="F209" s="68">
        <v>40</v>
      </c>
      <c r="G209" s="65"/>
      <c r="H209" s="69"/>
      <c r="I209" s="70"/>
      <c r="J209" s="70"/>
      <c r="K209" s="35" t="s">
        <v>65</v>
      </c>
      <c r="L209" s="77">
        <v>209</v>
      </c>
      <c r="M20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09" s="72"/>
      <c r="O209" s="79" t="s">
        <v>337</v>
      </c>
      <c r="P209" s="81">
        <v>44405.000763888886</v>
      </c>
      <c r="Q209" s="79" t="s">
        <v>359</v>
      </c>
      <c r="R209" s="79"/>
      <c r="S209" s="79"/>
      <c r="T209" s="85" t="s">
        <v>473</v>
      </c>
      <c r="U209" s="83" t="str">
        <f>HYPERLINK("https://pbs.twimg.com/ext_tw_video_thumb/1165283058448252928/pu/img/pTNEY01XgvTHzPju.jpg")</f>
        <v>https://pbs.twimg.com/ext_tw_video_thumb/1165283058448252928/pu/img/pTNEY01XgvTHzPju.jpg</v>
      </c>
      <c r="V209" s="83" t="str">
        <f>HYPERLINK("https://pbs.twimg.com/ext_tw_video_thumb/1165283058448252928/pu/img/pTNEY01XgvTHzPju.jpg")</f>
        <v>https://pbs.twimg.com/ext_tw_video_thumb/1165283058448252928/pu/img/pTNEY01XgvTHzPju.jpg</v>
      </c>
      <c r="W209" s="81">
        <v>44405.000763888886</v>
      </c>
      <c r="X209" s="87">
        <v>44405</v>
      </c>
      <c r="Y209" s="85" t="s">
        <v>539</v>
      </c>
      <c r="Z209" s="83" t="str">
        <f>HYPERLINK("https://twitter.com/aaron_cortes/status/1420172426143469570")</f>
        <v>https://twitter.com/aaron_cortes/status/1420172426143469570</v>
      </c>
      <c r="AA209" s="79"/>
      <c r="AB209" s="79"/>
      <c r="AC209" s="85" t="s">
        <v>717</v>
      </c>
      <c r="AD209" s="79"/>
      <c r="AE209" s="79" t="b">
        <v>0</v>
      </c>
      <c r="AF209" s="79">
        <v>0</v>
      </c>
      <c r="AG209" s="85" t="s">
        <v>867</v>
      </c>
      <c r="AH209" s="79" t="b">
        <v>0</v>
      </c>
      <c r="AI209" s="79" t="s">
        <v>874</v>
      </c>
      <c r="AJ209" s="79"/>
      <c r="AK209" s="85" t="s">
        <v>867</v>
      </c>
      <c r="AL209" s="79" t="b">
        <v>0</v>
      </c>
      <c r="AM209" s="79">
        <v>3</v>
      </c>
      <c r="AN209" s="85" t="s">
        <v>716</v>
      </c>
      <c r="AO209" s="85" t="s">
        <v>883</v>
      </c>
      <c r="AP209" s="79" t="b">
        <v>0</v>
      </c>
      <c r="AQ209" s="85" t="s">
        <v>716</v>
      </c>
      <c r="AR209" s="79" t="s">
        <v>177</v>
      </c>
      <c r="AS209" s="79">
        <v>0</v>
      </c>
      <c r="AT209" s="79">
        <v>0</v>
      </c>
      <c r="AU209" s="79"/>
      <c r="AV209" s="79"/>
      <c r="AW209" s="79"/>
      <c r="AX209" s="79"/>
      <c r="AY209" s="79"/>
      <c r="AZ209" s="79"/>
      <c r="BA209" s="79"/>
      <c r="BB209" s="79"/>
      <c r="BC209">
        <v>1</v>
      </c>
      <c r="BD209" s="78" t="str">
        <f>REPLACE(INDEX(GroupVertices[Group], MATCH(Edges[[#This Row],[Vertex 1]],GroupVertices[Vertex],0)),1,1,"")</f>
        <v>4</v>
      </c>
      <c r="BE209" s="78" t="str">
        <f>REPLACE(INDEX(GroupVertices[Group], MATCH(Edges[[#This Row],[Vertex 2]],GroupVertices[Vertex],0)),1,1,"")</f>
        <v>4</v>
      </c>
    </row>
    <row r="210" spans="1:57" x14ac:dyDescent="0.25">
      <c r="A210" s="64" t="s">
        <v>229</v>
      </c>
      <c r="B210" s="64" t="s">
        <v>229</v>
      </c>
      <c r="C210" s="65" t="s">
        <v>2101</v>
      </c>
      <c r="D210" s="66">
        <v>3</v>
      </c>
      <c r="E210" s="67"/>
      <c r="F210" s="68">
        <v>40</v>
      </c>
      <c r="G210" s="65"/>
      <c r="H210" s="69"/>
      <c r="I210" s="70"/>
      <c r="J210" s="70"/>
      <c r="K210" s="35" t="s">
        <v>65</v>
      </c>
      <c r="L210" s="77">
        <v>210</v>
      </c>
      <c r="M21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10" s="72"/>
      <c r="O210" s="79" t="s">
        <v>177</v>
      </c>
      <c r="P210" s="81">
        <v>44403.847916666666</v>
      </c>
      <c r="Q210" s="79" t="s">
        <v>350</v>
      </c>
      <c r="R210" s="79"/>
      <c r="S210" s="79"/>
      <c r="T210" s="85" t="s">
        <v>467</v>
      </c>
      <c r="U210" s="83" t="str">
        <f>HYPERLINK("https://pbs.twimg.com/media/E7P7VAlXMAQHTSU.jpg")</f>
        <v>https://pbs.twimg.com/media/E7P7VAlXMAQHTSU.jpg</v>
      </c>
      <c r="V210" s="83" t="str">
        <f>HYPERLINK("https://pbs.twimg.com/media/E7P7VAlXMAQHTSU.jpg")</f>
        <v>https://pbs.twimg.com/media/E7P7VAlXMAQHTSU.jpg</v>
      </c>
      <c r="W210" s="81">
        <v>44403.847916666666</v>
      </c>
      <c r="X210" s="87">
        <v>44403</v>
      </c>
      <c r="Y210" s="85" t="s">
        <v>523</v>
      </c>
      <c r="Z210" s="83" t="str">
        <f>HYPERLINK("https://twitter.com/triosssmur/status/1419754647707865092")</f>
        <v>https://twitter.com/triosssmur/status/1419754647707865092</v>
      </c>
      <c r="AA210" s="79"/>
      <c r="AB210" s="79"/>
      <c r="AC210" s="85" t="s">
        <v>699</v>
      </c>
      <c r="AD210" s="79"/>
      <c r="AE210" s="79" t="b">
        <v>0</v>
      </c>
      <c r="AF210" s="79">
        <v>1</v>
      </c>
      <c r="AG210" s="85" t="s">
        <v>867</v>
      </c>
      <c r="AH210" s="79" t="b">
        <v>0</v>
      </c>
      <c r="AI210" s="79" t="s">
        <v>874</v>
      </c>
      <c r="AJ210" s="79"/>
      <c r="AK210" s="85" t="s">
        <v>867</v>
      </c>
      <c r="AL210" s="79" t="b">
        <v>0</v>
      </c>
      <c r="AM210" s="79">
        <v>1</v>
      </c>
      <c r="AN210" s="85" t="s">
        <v>867</v>
      </c>
      <c r="AO210" s="85" t="s">
        <v>888</v>
      </c>
      <c r="AP210" s="79" t="b">
        <v>0</v>
      </c>
      <c r="AQ210" s="85" t="s">
        <v>699</v>
      </c>
      <c r="AR210" s="79" t="s">
        <v>177</v>
      </c>
      <c r="AS210" s="79">
        <v>0</v>
      </c>
      <c r="AT210" s="79">
        <v>0</v>
      </c>
      <c r="AU210" s="79"/>
      <c r="AV210" s="79"/>
      <c r="AW210" s="79"/>
      <c r="AX210" s="79"/>
      <c r="AY210" s="79"/>
      <c r="AZ210" s="79"/>
      <c r="BA210" s="79"/>
      <c r="BB210" s="79"/>
      <c r="BC210">
        <v>1</v>
      </c>
      <c r="BD210" s="78" t="str">
        <f>REPLACE(INDEX(GroupVertices[Group], MATCH(Edges[[#This Row],[Vertex 1]],GroupVertices[Vertex],0)),1,1,"")</f>
        <v>17</v>
      </c>
      <c r="BE210" s="78" t="str">
        <f>REPLACE(INDEX(GroupVertices[Group], MATCH(Edges[[#This Row],[Vertex 2]],GroupVertices[Vertex],0)),1,1,"")</f>
        <v>17</v>
      </c>
    </row>
    <row r="211" spans="1:57" x14ac:dyDescent="0.25">
      <c r="A211" s="64" t="s">
        <v>230</v>
      </c>
      <c r="B211" s="64" t="s">
        <v>229</v>
      </c>
      <c r="C211" s="65" t="s">
        <v>2101</v>
      </c>
      <c r="D211" s="66">
        <v>3</v>
      </c>
      <c r="E211" s="67"/>
      <c r="F211" s="68">
        <v>40</v>
      </c>
      <c r="G211" s="65"/>
      <c r="H211" s="69"/>
      <c r="I211" s="70"/>
      <c r="J211" s="70"/>
      <c r="K211" s="35" t="s">
        <v>65</v>
      </c>
      <c r="L211" s="77">
        <v>211</v>
      </c>
      <c r="M21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11" s="72"/>
      <c r="O211" s="79" t="s">
        <v>338</v>
      </c>
      <c r="P211" s="81">
        <v>44404.597905092596</v>
      </c>
      <c r="Q211" s="79" t="s">
        <v>350</v>
      </c>
      <c r="R211" s="79"/>
      <c r="S211" s="79"/>
      <c r="T211" s="85" t="s">
        <v>467</v>
      </c>
      <c r="U211" s="83" t="str">
        <f>HYPERLINK("https://pbs.twimg.com/media/E7P7VAlXMAQHTSU.jpg")</f>
        <v>https://pbs.twimg.com/media/E7P7VAlXMAQHTSU.jpg</v>
      </c>
      <c r="V211" s="83" t="str">
        <f>HYPERLINK("https://pbs.twimg.com/media/E7P7VAlXMAQHTSU.jpg")</f>
        <v>https://pbs.twimg.com/media/E7P7VAlXMAQHTSU.jpg</v>
      </c>
      <c r="W211" s="81">
        <v>44404.597905092596</v>
      </c>
      <c r="X211" s="87">
        <v>44404</v>
      </c>
      <c r="Y211" s="85" t="s">
        <v>524</v>
      </c>
      <c r="Z211" s="83" t="str">
        <f>HYPERLINK("https://twitter.com/muhlibrary/status/1420026436602245131")</f>
        <v>https://twitter.com/muhlibrary/status/1420026436602245131</v>
      </c>
      <c r="AA211" s="79"/>
      <c r="AB211" s="79"/>
      <c r="AC211" s="85" t="s">
        <v>700</v>
      </c>
      <c r="AD211" s="79"/>
      <c r="AE211" s="79" t="b">
        <v>0</v>
      </c>
      <c r="AF211" s="79">
        <v>0</v>
      </c>
      <c r="AG211" s="85" t="s">
        <v>867</v>
      </c>
      <c r="AH211" s="79" t="b">
        <v>0</v>
      </c>
      <c r="AI211" s="79" t="s">
        <v>874</v>
      </c>
      <c r="AJ211" s="79"/>
      <c r="AK211" s="85" t="s">
        <v>867</v>
      </c>
      <c r="AL211" s="79" t="b">
        <v>0</v>
      </c>
      <c r="AM211" s="79">
        <v>1</v>
      </c>
      <c r="AN211" s="85" t="s">
        <v>699</v>
      </c>
      <c r="AO211" s="85" t="s">
        <v>889</v>
      </c>
      <c r="AP211" s="79" t="b">
        <v>0</v>
      </c>
      <c r="AQ211" s="85" t="s">
        <v>699</v>
      </c>
      <c r="AR211" s="79" t="s">
        <v>177</v>
      </c>
      <c r="AS211" s="79">
        <v>0</v>
      </c>
      <c r="AT211" s="79">
        <v>0</v>
      </c>
      <c r="AU211" s="79"/>
      <c r="AV211" s="79"/>
      <c r="AW211" s="79"/>
      <c r="AX211" s="79"/>
      <c r="AY211" s="79"/>
      <c r="AZ211" s="79"/>
      <c r="BA211" s="79"/>
      <c r="BB211" s="79"/>
      <c r="BC211">
        <v>1</v>
      </c>
      <c r="BD211" s="78" t="str">
        <f>REPLACE(INDEX(GroupVertices[Group], MATCH(Edges[[#This Row],[Vertex 1]],GroupVertices[Vertex],0)),1,1,"")</f>
        <v>17</v>
      </c>
      <c r="BE211" s="78" t="str">
        <f>REPLACE(INDEX(GroupVertices[Group], MATCH(Edges[[#This Row],[Vertex 2]],GroupVertices[Vertex],0)),1,1,"")</f>
        <v>17</v>
      </c>
    </row>
    <row r="212" spans="1:57" x14ac:dyDescent="0.25">
      <c r="A212" s="64" t="s">
        <v>226</v>
      </c>
      <c r="B212" s="64" t="s">
        <v>226</v>
      </c>
      <c r="C212" s="65" t="s">
        <v>2101</v>
      </c>
      <c r="D212" s="66">
        <v>3</v>
      </c>
      <c r="E212" s="67"/>
      <c r="F212" s="68">
        <v>40</v>
      </c>
      <c r="G212" s="65"/>
      <c r="H212" s="69"/>
      <c r="I212" s="70"/>
      <c r="J212" s="70"/>
      <c r="K212" s="35" t="s">
        <v>65</v>
      </c>
      <c r="L212" s="77">
        <v>212</v>
      </c>
      <c r="M21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12" s="72"/>
      <c r="O212" s="79" t="s">
        <v>177</v>
      </c>
      <c r="P212" s="81">
        <v>44404.096550925926</v>
      </c>
      <c r="Q212" s="79" t="s">
        <v>349</v>
      </c>
      <c r="R212" s="83" t="str">
        <f>HYPERLINK("https://twitter.com/AtlTechCollege/status/1419761172425973767")</f>
        <v>https://twitter.com/AtlTechCollege/status/1419761172425973767</v>
      </c>
      <c r="S212" s="79" t="s">
        <v>449</v>
      </c>
      <c r="T212" s="85" t="s">
        <v>466</v>
      </c>
      <c r="U212" s="79"/>
      <c r="V212" s="83" t="str">
        <f>HYPERLINK("https://pbs.twimg.com/profile_images/1286419127394086912/BI7i855s_normal.jpg")</f>
        <v>https://pbs.twimg.com/profile_images/1286419127394086912/BI7i855s_normal.jpg</v>
      </c>
      <c r="W212" s="81">
        <v>44404.096550925926</v>
      </c>
      <c r="X212" s="87">
        <v>44404</v>
      </c>
      <c r="Y212" s="85" t="s">
        <v>520</v>
      </c>
      <c r="Z212" s="83" t="str">
        <f>HYPERLINK("https://twitter.com/trioperks/status/1419844751839399936")</f>
        <v>https://twitter.com/trioperks/status/1419844751839399936</v>
      </c>
      <c r="AA212" s="79"/>
      <c r="AB212" s="79"/>
      <c r="AC212" s="85" t="s">
        <v>696</v>
      </c>
      <c r="AD212" s="79"/>
      <c r="AE212" s="79" t="b">
        <v>0</v>
      </c>
      <c r="AF212" s="79">
        <v>2</v>
      </c>
      <c r="AG212" s="85" t="s">
        <v>867</v>
      </c>
      <c r="AH212" s="79" t="b">
        <v>1</v>
      </c>
      <c r="AI212" s="79" t="s">
        <v>875</v>
      </c>
      <c r="AJ212" s="79"/>
      <c r="AK212" s="85" t="s">
        <v>880</v>
      </c>
      <c r="AL212" s="79" t="b">
        <v>0</v>
      </c>
      <c r="AM212" s="79">
        <v>0</v>
      </c>
      <c r="AN212" s="85" t="s">
        <v>867</v>
      </c>
      <c r="AO212" s="85" t="s">
        <v>887</v>
      </c>
      <c r="AP212" s="79" t="b">
        <v>0</v>
      </c>
      <c r="AQ212" s="85" t="s">
        <v>696</v>
      </c>
      <c r="AR212" s="79" t="s">
        <v>177</v>
      </c>
      <c r="AS212" s="79">
        <v>0</v>
      </c>
      <c r="AT212" s="79">
        <v>0</v>
      </c>
      <c r="AU212" s="79"/>
      <c r="AV212" s="79"/>
      <c r="AW212" s="79"/>
      <c r="AX212" s="79"/>
      <c r="AY212" s="79"/>
      <c r="AZ212" s="79"/>
      <c r="BA212" s="79"/>
      <c r="BB212" s="79"/>
      <c r="BC212">
        <v>1</v>
      </c>
      <c r="BD212" s="78" t="str">
        <f>REPLACE(INDEX(GroupVertices[Group], MATCH(Edges[[#This Row],[Vertex 1]],GroupVertices[Vertex],0)),1,1,"")</f>
        <v>5</v>
      </c>
      <c r="BE212" s="78" t="str">
        <f>REPLACE(INDEX(GroupVertices[Group], MATCH(Edges[[#This Row],[Vertex 2]],GroupVertices[Vertex],0)),1,1,"")</f>
        <v>5</v>
      </c>
    </row>
    <row r="213" spans="1:57" x14ac:dyDescent="0.25">
      <c r="A213" s="64" t="s">
        <v>261</v>
      </c>
      <c r="B213" s="64" t="s">
        <v>319</v>
      </c>
      <c r="C213" s="65" t="s">
        <v>2101</v>
      </c>
      <c r="D213" s="66">
        <v>3</v>
      </c>
      <c r="E213" s="67"/>
      <c r="F213" s="68">
        <v>40</v>
      </c>
      <c r="G213" s="65"/>
      <c r="H213" s="69"/>
      <c r="I213" s="70"/>
      <c r="J213" s="70"/>
      <c r="K213" s="35" t="s">
        <v>65</v>
      </c>
      <c r="L213" s="77">
        <v>213</v>
      </c>
      <c r="M21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13" s="72"/>
      <c r="O213" s="79" t="s">
        <v>339</v>
      </c>
      <c r="P213" s="81">
        <v>44404.678043981483</v>
      </c>
      <c r="Q213" s="79" t="s">
        <v>364</v>
      </c>
      <c r="R213" s="83" t="str">
        <f>HYPERLINK("https://www.youtube.com/watch?v=a9yZSmT6fwM&amp;feature=youtu.be")</f>
        <v>https://www.youtube.com/watch?v=a9yZSmT6fwM&amp;feature=youtu.be</v>
      </c>
      <c r="S213" s="79" t="s">
        <v>450</v>
      </c>
      <c r="T213" s="85" t="s">
        <v>477</v>
      </c>
      <c r="U213" s="79"/>
      <c r="V213" s="83" t="str">
        <f>HYPERLINK("https://pbs.twimg.com/profile_images/1409551882087960582/EN_K-fIZ_normal.jpg")</f>
        <v>https://pbs.twimg.com/profile_images/1409551882087960582/EN_K-fIZ_normal.jpg</v>
      </c>
      <c r="W213" s="81">
        <v>44404.678043981483</v>
      </c>
      <c r="X213" s="87">
        <v>44404</v>
      </c>
      <c r="Y213" s="85" t="s">
        <v>559</v>
      </c>
      <c r="Z213" s="83" t="str">
        <f>HYPERLINK("https://twitter.com/aeeetrio/status/1420055476759408653")</f>
        <v>https://twitter.com/aeeetrio/status/1420055476759408653</v>
      </c>
      <c r="AA213" s="79"/>
      <c r="AB213" s="79"/>
      <c r="AC213" s="85" t="s">
        <v>738</v>
      </c>
      <c r="AD213" s="79"/>
      <c r="AE213" s="79" t="b">
        <v>0</v>
      </c>
      <c r="AF213" s="79">
        <v>0</v>
      </c>
      <c r="AG213" s="85" t="s">
        <v>867</v>
      </c>
      <c r="AH213" s="79" t="b">
        <v>0</v>
      </c>
      <c r="AI213" s="79" t="s">
        <v>874</v>
      </c>
      <c r="AJ213" s="79"/>
      <c r="AK213" s="85" t="s">
        <v>867</v>
      </c>
      <c r="AL213" s="79" t="b">
        <v>0</v>
      </c>
      <c r="AM213" s="79">
        <v>0</v>
      </c>
      <c r="AN213" s="85" t="s">
        <v>867</v>
      </c>
      <c r="AO213" s="85" t="s">
        <v>882</v>
      </c>
      <c r="AP213" s="79" t="b">
        <v>0</v>
      </c>
      <c r="AQ213" s="85" t="s">
        <v>738</v>
      </c>
      <c r="AR213" s="79" t="s">
        <v>177</v>
      </c>
      <c r="AS213" s="79">
        <v>0</v>
      </c>
      <c r="AT213" s="79">
        <v>0</v>
      </c>
      <c r="AU213" s="79"/>
      <c r="AV213" s="79"/>
      <c r="AW213" s="79"/>
      <c r="AX213" s="79"/>
      <c r="AY213" s="79"/>
      <c r="AZ213" s="79"/>
      <c r="BA213" s="79"/>
      <c r="BB213" s="79"/>
      <c r="BC213">
        <v>1</v>
      </c>
      <c r="BD213" s="78" t="str">
        <f>REPLACE(INDEX(GroupVertices[Group], MATCH(Edges[[#This Row],[Vertex 1]],GroupVertices[Vertex],0)),1,1,"")</f>
        <v>8</v>
      </c>
      <c r="BE213" s="78" t="str">
        <f>REPLACE(INDEX(GroupVertices[Group], MATCH(Edges[[#This Row],[Vertex 2]],GroupVertices[Vertex],0)),1,1,"")</f>
        <v>8</v>
      </c>
    </row>
    <row r="214" spans="1:57" x14ac:dyDescent="0.25">
      <c r="A214" s="64" t="s">
        <v>227</v>
      </c>
      <c r="B214" s="64" t="s">
        <v>303</v>
      </c>
      <c r="C214" s="65" t="s">
        <v>2101</v>
      </c>
      <c r="D214" s="66">
        <v>3</v>
      </c>
      <c r="E214" s="67"/>
      <c r="F214" s="68">
        <v>40</v>
      </c>
      <c r="G214" s="65"/>
      <c r="H214" s="69"/>
      <c r="I214" s="70"/>
      <c r="J214" s="70"/>
      <c r="K214" s="35" t="s">
        <v>65</v>
      </c>
      <c r="L214" s="77">
        <v>214</v>
      </c>
      <c r="M21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14" s="72"/>
      <c r="O214" s="79" t="s">
        <v>339</v>
      </c>
      <c r="P214" s="81">
        <v>44404.006516203706</v>
      </c>
      <c r="Q214" s="79" t="s">
        <v>348</v>
      </c>
      <c r="R214" s="79"/>
      <c r="S214" s="79"/>
      <c r="T214" s="85" t="s">
        <v>465</v>
      </c>
      <c r="U214" s="83" t="str">
        <f t="shared" ref="U214:V216" si="3">HYPERLINK("https://pbs.twimg.com/media/E7QvmeIVIAA-Iqk.jpg")</f>
        <v>https://pbs.twimg.com/media/E7QvmeIVIAA-Iqk.jpg</v>
      </c>
      <c r="V214" s="83" t="str">
        <f t="shared" si="3"/>
        <v>https://pbs.twimg.com/media/E7QvmeIVIAA-Iqk.jpg</v>
      </c>
      <c r="W214" s="81">
        <v>44404.006516203706</v>
      </c>
      <c r="X214" s="87">
        <v>44404</v>
      </c>
      <c r="Y214" s="85" t="s">
        <v>521</v>
      </c>
      <c r="Z214" s="83" t="str">
        <f>HYPERLINK("https://twitter.com/strwisescholar/status/1419812122494595075")</f>
        <v>https://twitter.com/strwisescholar/status/1419812122494595075</v>
      </c>
      <c r="AA214" s="79"/>
      <c r="AB214" s="79"/>
      <c r="AC214" s="85" t="s">
        <v>697</v>
      </c>
      <c r="AD214" s="79"/>
      <c r="AE214" s="79" t="b">
        <v>0</v>
      </c>
      <c r="AF214" s="79">
        <v>67</v>
      </c>
      <c r="AG214" s="85" t="s">
        <v>867</v>
      </c>
      <c r="AH214" s="79" t="b">
        <v>0</v>
      </c>
      <c r="AI214" s="79" t="s">
        <v>874</v>
      </c>
      <c r="AJ214" s="79"/>
      <c r="AK214" s="85" t="s">
        <v>867</v>
      </c>
      <c r="AL214" s="79" t="b">
        <v>0</v>
      </c>
      <c r="AM214" s="79">
        <v>2</v>
      </c>
      <c r="AN214" s="85" t="s">
        <v>867</v>
      </c>
      <c r="AO214" s="85" t="s">
        <v>887</v>
      </c>
      <c r="AP214" s="79" t="b">
        <v>0</v>
      </c>
      <c r="AQ214" s="85" t="s">
        <v>697</v>
      </c>
      <c r="AR214" s="79" t="s">
        <v>177</v>
      </c>
      <c r="AS214" s="79">
        <v>0</v>
      </c>
      <c r="AT214" s="79">
        <v>0</v>
      </c>
      <c r="AU214" s="79"/>
      <c r="AV214" s="79"/>
      <c r="AW214" s="79"/>
      <c r="AX214" s="79"/>
      <c r="AY214" s="79"/>
      <c r="AZ214" s="79"/>
      <c r="BA214" s="79"/>
      <c r="BB214" s="79"/>
      <c r="BC214">
        <v>1</v>
      </c>
      <c r="BD214" s="78" t="str">
        <f>REPLACE(INDEX(GroupVertices[Group], MATCH(Edges[[#This Row],[Vertex 1]],GroupVertices[Vertex],0)),1,1,"")</f>
        <v>9</v>
      </c>
      <c r="BE214" s="78" t="str">
        <f>REPLACE(INDEX(GroupVertices[Group], MATCH(Edges[[#This Row],[Vertex 2]],GroupVertices[Vertex],0)),1,1,"")</f>
        <v>9</v>
      </c>
    </row>
    <row r="215" spans="1:57" x14ac:dyDescent="0.25">
      <c r="A215" s="64" t="s">
        <v>225</v>
      </c>
      <c r="B215" s="64" t="s">
        <v>303</v>
      </c>
      <c r="C215" s="65" t="s">
        <v>2101</v>
      </c>
      <c r="D215" s="66">
        <v>3</v>
      </c>
      <c r="E215" s="67"/>
      <c r="F215" s="68">
        <v>40</v>
      </c>
      <c r="G215" s="65"/>
      <c r="H215" s="69"/>
      <c r="I215" s="70"/>
      <c r="J215" s="70"/>
      <c r="K215" s="35" t="s">
        <v>65</v>
      </c>
      <c r="L215" s="77">
        <v>215</v>
      </c>
      <c r="M21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15" s="72"/>
      <c r="O215" s="79" t="s">
        <v>337</v>
      </c>
      <c r="P215" s="81">
        <v>44404.084085648145</v>
      </c>
      <c r="Q215" s="79" t="s">
        <v>348</v>
      </c>
      <c r="R215" s="79"/>
      <c r="S215" s="79"/>
      <c r="T215" s="85" t="s">
        <v>465</v>
      </c>
      <c r="U215" s="83" t="str">
        <f t="shared" si="3"/>
        <v>https://pbs.twimg.com/media/E7QvmeIVIAA-Iqk.jpg</v>
      </c>
      <c r="V215" s="83" t="str">
        <f t="shared" si="3"/>
        <v>https://pbs.twimg.com/media/E7QvmeIVIAA-Iqk.jpg</v>
      </c>
      <c r="W215" s="81">
        <v>44404.084085648145</v>
      </c>
      <c r="X215" s="87">
        <v>44404</v>
      </c>
      <c r="Y215" s="85" t="s">
        <v>519</v>
      </c>
      <c r="Z215" s="83" t="str">
        <f>HYPERLINK("https://twitter.com/grodriguezlemus/status/1419840231428083712")</f>
        <v>https://twitter.com/grodriguezlemus/status/1419840231428083712</v>
      </c>
      <c r="AA215" s="79"/>
      <c r="AB215" s="79"/>
      <c r="AC215" s="85" t="s">
        <v>695</v>
      </c>
      <c r="AD215" s="79"/>
      <c r="AE215" s="79" t="b">
        <v>0</v>
      </c>
      <c r="AF215" s="79">
        <v>0</v>
      </c>
      <c r="AG215" s="85" t="s">
        <v>867</v>
      </c>
      <c r="AH215" s="79" t="b">
        <v>0</v>
      </c>
      <c r="AI215" s="79" t="s">
        <v>874</v>
      </c>
      <c r="AJ215" s="79"/>
      <c r="AK215" s="85" t="s">
        <v>867</v>
      </c>
      <c r="AL215" s="79" t="b">
        <v>0</v>
      </c>
      <c r="AM215" s="79">
        <v>2</v>
      </c>
      <c r="AN215" s="85" t="s">
        <v>697</v>
      </c>
      <c r="AO215" s="85" t="s">
        <v>883</v>
      </c>
      <c r="AP215" s="79" t="b">
        <v>0</v>
      </c>
      <c r="AQ215" s="85" t="s">
        <v>697</v>
      </c>
      <c r="AR215" s="79" t="s">
        <v>177</v>
      </c>
      <c r="AS215" s="79">
        <v>0</v>
      </c>
      <c r="AT215" s="79">
        <v>0</v>
      </c>
      <c r="AU215" s="79"/>
      <c r="AV215" s="79"/>
      <c r="AW215" s="79"/>
      <c r="AX215" s="79"/>
      <c r="AY215" s="79"/>
      <c r="AZ215" s="79"/>
      <c r="BA215" s="79"/>
      <c r="BB215" s="79"/>
      <c r="BC215">
        <v>1</v>
      </c>
      <c r="BD215" s="78" t="str">
        <f>REPLACE(INDEX(GroupVertices[Group], MATCH(Edges[[#This Row],[Vertex 1]],GroupVertices[Vertex],0)),1,1,"")</f>
        <v>9</v>
      </c>
      <c r="BE215" s="78" t="str">
        <f>REPLACE(INDEX(GroupVertices[Group], MATCH(Edges[[#This Row],[Vertex 2]],GroupVertices[Vertex],0)),1,1,"")</f>
        <v>9</v>
      </c>
    </row>
    <row r="216" spans="1:57" x14ac:dyDescent="0.25">
      <c r="A216" s="64" t="s">
        <v>228</v>
      </c>
      <c r="B216" s="64" t="s">
        <v>303</v>
      </c>
      <c r="C216" s="65" t="s">
        <v>2101</v>
      </c>
      <c r="D216" s="66">
        <v>3</v>
      </c>
      <c r="E216" s="67"/>
      <c r="F216" s="68">
        <v>40</v>
      </c>
      <c r="G216" s="65"/>
      <c r="H216" s="69"/>
      <c r="I216" s="70"/>
      <c r="J216" s="70"/>
      <c r="K216" s="35" t="s">
        <v>65</v>
      </c>
      <c r="L216" s="77">
        <v>216</v>
      </c>
      <c r="M21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16" s="72"/>
      <c r="O216" s="79" t="s">
        <v>337</v>
      </c>
      <c r="P216" s="81">
        <v>44404.192395833335</v>
      </c>
      <c r="Q216" s="79" t="s">
        <v>348</v>
      </c>
      <c r="R216" s="79"/>
      <c r="S216" s="79"/>
      <c r="T216" s="85" t="s">
        <v>465</v>
      </c>
      <c r="U216" s="83" t="str">
        <f t="shared" si="3"/>
        <v>https://pbs.twimg.com/media/E7QvmeIVIAA-Iqk.jpg</v>
      </c>
      <c r="V216" s="83" t="str">
        <f t="shared" si="3"/>
        <v>https://pbs.twimg.com/media/E7QvmeIVIAA-Iqk.jpg</v>
      </c>
      <c r="W216" s="81">
        <v>44404.192395833335</v>
      </c>
      <c r="X216" s="87">
        <v>44404</v>
      </c>
      <c r="Y216" s="85" t="s">
        <v>522</v>
      </c>
      <c r="Z216" s="83" t="str">
        <f>HYPERLINK("https://twitter.com/adriela95/status/1419879481385177090")</f>
        <v>https://twitter.com/adriela95/status/1419879481385177090</v>
      </c>
      <c r="AA216" s="79"/>
      <c r="AB216" s="79"/>
      <c r="AC216" s="85" t="s">
        <v>698</v>
      </c>
      <c r="AD216" s="79"/>
      <c r="AE216" s="79" t="b">
        <v>0</v>
      </c>
      <c r="AF216" s="79">
        <v>0</v>
      </c>
      <c r="AG216" s="85" t="s">
        <v>867</v>
      </c>
      <c r="AH216" s="79" t="b">
        <v>0</v>
      </c>
      <c r="AI216" s="79" t="s">
        <v>874</v>
      </c>
      <c r="AJ216" s="79"/>
      <c r="AK216" s="85" t="s">
        <v>867</v>
      </c>
      <c r="AL216" s="79" t="b">
        <v>0</v>
      </c>
      <c r="AM216" s="79">
        <v>2</v>
      </c>
      <c r="AN216" s="85" t="s">
        <v>697</v>
      </c>
      <c r="AO216" s="85" t="s">
        <v>883</v>
      </c>
      <c r="AP216" s="79" t="b">
        <v>0</v>
      </c>
      <c r="AQ216" s="85" t="s">
        <v>697</v>
      </c>
      <c r="AR216" s="79" t="s">
        <v>177</v>
      </c>
      <c r="AS216" s="79">
        <v>0</v>
      </c>
      <c r="AT216" s="79">
        <v>0</v>
      </c>
      <c r="AU216" s="79"/>
      <c r="AV216" s="79"/>
      <c r="AW216" s="79"/>
      <c r="AX216" s="79"/>
      <c r="AY216" s="79"/>
      <c r="AZ216" s="79"/>
      <c r="BA216" s="79"/>
      <c r="BB216" s="79"/>
      <c r="BC216">
        <v>1</v>
      </c>
      <c r="BD216" s="78" t="str">
        <f>REPLACE(INDEX(GroupVertices[Group], MATCH(Edges[[#This Row],[Vertex 1]],GroupVertices[Vertex],0)),1,1,"")</f>
        <v>9</v>
      </c>
      <c r="BE216" s="78" t="str">
        <f>REPLACE(INDEX(GroupVertices[Group], MATCH(Edges[[#This Row],[Vertex 2]],GroupVertices[Vertex],0)),1,1,"")</f>
        <v>9</v>
      </c>
    </row>
    <row r="217" spans="1:57" x14ac:dyDescent="0.25">
      <c r="A217" s="64" t="s">
        <v>284</v>
      </c>
      <c r="B217" s="64" t="s">
        <v>284</v>
      </c>
      <c r="C217" s="65" t="s">
        <v>2101</v>
      </c>
      <c r="D217" s="66">
        <v>3</v>
      </c>
      <c r="E217" s="67"/>
      <c r="F217" s="68">
        <v>40</v>
      </c>
      <c r="G217" s="65"/>
      <c r="H217" s="69"/>
      <c r="I217" s="70"/>
      <c r="J217" s="70"/>
      <c r="K217" s="35" t="s">
        <v>65</v>
      </c>
      <c r="L217" s="77">
        <v>217</v>
      </c>
      <c r="M21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17" s="72"/>
      <c r="O217" s="79" t="s">
        <v>177</v>
      </c>
      <c r="P217" s="81">
        <v>44407.656597222223</v>
      </c>
      <c r="Q217" s="79" t="s">
        <v>377</v>
      </c>
      <c r="R217" s="83" t="str">
        <f>HYPERLINK("https://successprints.shop/")</f>
        <v>https://successprints.shop/</v>
      </c>
      <c r="S217" s="79" t="s">
        <v>451</v>
      </c>
      <c r="T217" s="85" t="s">
        <v>483</v>
      </c>
      <c r="U217" s="83" t="str">
        <f>HYPERLINK("https://pbs.twimg.com/media/E7jioWZVoAgYW8D.jpg")</f>
        <v>https://pbs.twimg.com/media/E7jioWZVoAgYW8D.jpg</v>
      </c>
      <c r="V217" s="83" t="str">
        <f>HYPERLINK("https://pbs.twimg.com/media/E7jioWZVoAgYW8D.jpg")</f>
        <v>https://pbs.twimg.com/media/E7jioWZVoAgYW8D.jpg</v>
      </c>
      <c r="W217" s="81">
        <v>44407.656597222223</v>
      </c>
      <c r="X217" s="87">
        <v>44407</v>
      </c>
      <c r="Y217" s="85" t="s">
        <v>598</v>
      </c>
      <c r="Z217" s="83" t="str">
        <f>HYPERLINK("https://twitter.com/success_prints/status/1421134868637884422")</f>
        <v>https://twitter.com/success_prints/status/1421134868637884422</v>
      </c>
      <c r="AA217" s="79"/>
      <c r="AB217" s="79"/>
      <c r="AC217" s="85" t="s">
        <v>778</v>
      </c>
      <c r="AD217" s="79"/>
      <c r="AE217" s="79" t="b">
        <v>0</v>
      </c>
      <c r="AF217" s="79">
        <v>2</v>
      </c>
      <c r="AG217" s="85" t="s">
        <v>867</v>
      </c>
      <c r="AH217" s="79" t="b">
        <v>0</v>
      </c>
      <c r="AI217" s="79" t="s">
        <v>874</v>
      </c>
      <c r="AJ217" s="79"/>
      <c r="AK217" s="85" t="s">
        <v>867</v>
      </c>
      <c r="AL217" s="79" t="b">
        <v>0</v>
      </c>
      <c r="AM217" s="79">
        <v>0</v>
      </c>
      <c r="AN217" s="85" t="s">
        <v>867</v>
      </c>
      <c r="AO217" s="85" t="s">
        <v>883</v>
      </c>
      <c r="AP217" s="79" t="b">
        <v>0</v>
      </c>
      <c r="AQ217" s="85" t="s">
        <v>778</v>
      </c>
      <c r="AR217" s="79" t="s">
        <v>177</v>
      </c>
      <c r="AS217" s="79">
        <v>0</v>
      </c>
      <c r="AT217" s="79">
        <v>0</v>
      </c>
      <c r="AU217" s="79"/>
      <c r="AV217" s="79"/>
      <c r="AW217" s="79"/>
      <c r="AX217" s="79"/>
      <c r="AY217" s="79"/>
      <c r="AZ217" s="79"/>
      <c r="BA217" s="79"/>
      <c r="BB217" s="79"/>
      <c r="BC217">
        <v>1</v>
      </c>
      <c r="BD217" s="78" t="str">
        <f>REPLACE(INDEX(GroupVertices[Group], MATCH(Edges[[#This Row],[Vertex 1]],GroupVertices[Vertex],0)),1,1,"")</f>
        <v>15</v>
      </c>
      <c r="BE217" s="78" t="str">
        <f>REPLACE(INDEX(GroupVertices[Group], MATCH(Edges[[#This Row],[Vertex 2]],GroupVertices[Vertex],0)),1,1,"")</f>
        <v>15</v>
      </c>
    </row>
    <row r="218" spans="1:57" x14ac:dyDescent="0.25">
      <c r="A218" s="64" t="s">
        <v>225</v>
      </c>
      <c r="B218" s="64" t="s">
        <v>227</v>
      </c>
      <c r="C218" s="65" t="s">
        <v>2101</v>
      </c>
      <c r="D218" s="66">
        <v>3</v>
      </c>
      <c r="E218" s="67"/>
      <c r="F218" s="68">
        <v>40</v>
      </c>
      <c r="G218" s="65"/>
      <c r="H218" s="69"/>
      <c r="I218" s="70"/>
      <c r="J218" s="70"/>
      <c r="K218" s="35" t="s">
        <v>65</v>
      </c>
      <c r="L218" s="77">
        <v>218</v>
      </c>
      <c r="M21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18" s="72"/>
      <c r="O218" s="79" t="s">
        <v>338</v>
      </c>
      <c r="P218" s="81">
        <v>44404.084085648145</v>
      </c>
      <c r="Q218" s="79" t="s">
        <v>348</v>
      </c>
      <c r="R218" s="79"/>
      <c r="S218" s="79"/>
      <c r="T218" s="85" t="s">
        <v>465</v>
      </c>
      <c r="U218" s="83" t="str">
        <f>HYPERLINK("https://pbs.twimg.com/media/E7QvmeIVIAA-Iqk.jpg")</f>
        <v>https://pbs.twimg.com/media/E7QvmeIVIAA-Iqk.jpg</v>
      </c>
      <c r="V218" s="83" t="str">
        <f>HYPERLINK("https://pbs.twimg.com/media/E7QvmeIVIAA-Iqk.jpg")</f>
        <v>https://pbs.twimg.com/media/E7QvmeIVIAA-Iqk.jpg</v>
      </c>
      <c r="W218" s="81">
        <v>44404.084085648145</v>
      </c>
      <c r="X218" s="87">
        <v>44404</v>
      </c>
      <c r="Y218" s="85" t="s">
        <v>519</v>
      </c>
      <c r="Z218" s="83" t="str">
        <f>HYPERLINK("https://twitter.com/grodriguezlemus/status/1419840231428083712")</f>
        <v>https://twitter.com/grodriguezlemus/status/1419840231428083712</v>
      </c>
      <c r="AA218" s="79"/>
      <c r="AB218" s="79"/>
      <c r="AC218" s="85" t="s">
        <v>695</v>
      </c>
      <c r="AD218" s="79"/>
      <c r="AE218" s="79" t="b">
        <v>0</v>
      </c>
      <c r="AF218" s="79">
        <v>0</v>
      </c>
      <c r="AG218" s="85" t="s">
        <v>867</v>
      </c>
      <c r="AH218" s="79" t="b">
        <v>0</v>
      </c>
      <c r="AI218" s="79" t="s">
        <v>874</v>
      </c>
      <c r="AJ218" s="79"/>
      <c r="AK218" s="85" t="s">
        <v>867</v>
      </c>
      <c r="AL218" s="79" t="b">
        <v>0</v>
      </c>
      <c r="AM218" s="79">
        <v>2</v>
      </c>
      <c r="AN218" s="85" t="s">
        <v>697</v>
      </c>
      <c r="AO218" s="85" t="s">
        <v>883</v>
      </c>
      <c r="AP218" s="79" t="b">
        <v>0</v>
      </c>
      <c r="AQ218" s="85" t="s">
        <v>697</v>
      </c>
      <c r="AR218" s="79" t="s">
        <v>177</v>
      </c>
      <c r="AS218" s="79">
        <v>0</v>
      </c>
      <c r="AT218" s="79">
        <v>0</v>
      </c>
      <c r="AU218" s="79"/>
      <c r="AV218" s="79"/>
      <c r="AW218" s="79"/>
      <c r="AX218" s="79"/>
      <c r="AY218" s="79"/>
      <c r="AZ218" s="79"/>
      <c r="BA218" s="79"/>
      <c r="BB218" s="79"/>
      <c r="BC218">
        <v>1</v>
      </c>
      <c r="BD218" s="78" t="str">
        <f>REPLACE(INDEX(GroupVertices[Group], MATCH(Edges[[#This Row],[Vertex 1]],GroupVertices[Vertex],0)),1,1,"")</f>
        <v>9</v>
      </c>
      <c r="BE218" s="78" t="str">
        <f>REPLACE(INDEX(GroupVertices[Group], MATCH(Edges[[#This Row],[Vertex 2]],GroupVertices[Vertex],0)),1,1,"")</f>
        <v>9</v>
      </c>
    </row>
    <row r="219" spans="1:57" x14ac:dyDescent="0.25">
      <c r="A219" s="64" t="s">
        <v>228</v>
      </c>
      <c r="B219" s="64" t="s">
        <v>227</v>
      </c>
      <c r="C219" s="65" t="s">
        <v>2101</v>
      </c>
      <c r="D219" s="66">
        <v>3</v>
      </c>
      <c r="E219" s="67"/>
      <c r="F219" s="68">
        <v>40</v>
      </c>
      <c r="G219" s="65"/>
      <c r="H219" s="69"/>
      <c r="I219" s="70"/>
      <c r="J219" s="70"/>
      <c r="K219" s="35" t="s">
        <v>65</v>
      </c>
      <c r="L219" s="77">
        <v>219</v>
      </c>
      <c r="M21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19" s="72"/>
      <c r="O219" s="79" t="s">
        <v>338</v>
      </c>
      <c r="P219" s="81">
        <v>44404.192395833335</v>
      </c>
      <c r="Q219" s="79" t="s">
        <v>348</v>
      </c>
      <c r="R219" s="79"/>
      <c r="S219" s="79"/>
      <c r="T219" s="85" t="s">
        <v>465</v>
      </c>
      <c r="U219" s="83" t="str">
        <f>HYPERLINK("https://pbs.twimg.com/media/E7QvmeIVIAA-Iqk.jpg")</f>
        <v>https://pbs.twimg.com/media/E7QvmeIVIAA-Iqk.jpg</v>
      </c>
      <c r="V219" s="83" t="str">
        <f>HYPERLINK("https://pbs.twimg.com/media/E7QvmeIVIAA-Iqk.jpg")</f>
        <v>https://pbs.twimg.com/media/E7QvmeIVIAA-Iqk.jpg</v>
      </c>
      <c r="W219" s="81">
        <v>44404.192395833335</v>
      </c>
      <c r="X219" s="87">
        <v>44404</v>
      </c>
      <c r="Y219" s="85" t="s">
        <v>522</v>
      </c>
      <c r="Z219" s="83" t="str">
        <f>HYPERLINK("https://twitter.com/adriela95/status/1419879481385177090")</f>
        <v>https://twitter.com/adriela95/status/1419879481385177090</v>
      </c>
      <c r="AA219" s="79"/>
      <c r="AB219" s="79"/>
      <c r="AC219" s="85" t="s">
        <v>698</v>
      </c>
      <c r="AD219" s="79"/>
      <c r="AE219" s="79" t="b">
        <v>0</v>
      </c>
      <c r="AF219" s="79">
        <v>0</v>
      </c>
      <c r="AG219" s="85" t="s">
        <v>867</v>
      </c>
      <c r="AH219" s="79" t="b">
        <v>0</v>
      </c>
      <c r="AI219" s="79" t="s">
        <v>874</v>
      </c>
      <c r="AJ219" s="79"/>
      <c r="AK219" s="85" t="s">
        <v>867</v>
      </c>
      <c r="AL219" s="79" t="b">
        <v>0</v>
      </c>
      <c r="AM219" s="79">
        <v>2</v>
      </c>
      <c r="AN219" s="85" t="s">
        <v>697</v>
      </c>
      <c r="AO219" s="85" t="s">
        <v>883</v>
      </c>
      <c r="AP219" s="79" t="b">
        <v>0</v>
      </c>
      <c r="AQ219" s="85" t="s">
        <v>697</v>
      </c>
      <c r="AR219" s="79" t="s">
        <v>177</v>
      </c>
      <c r="AS219" s="79">
        <v>0</v>
      </c>
      <c r="AT219" s="79">
        <v>0</v>
      </c>
      <c r="AU219" s="79"/>
      <c r="AV219" s="79"/>
      <c r="AW219" s="79"/>
      <c r="AX219" s="79"/>
      <c r="AY219" s="79"/>
      <c r="AZ219" s="79"/>
      <c r="BA219" s="79"/>
      <c r="BB219" s="79"/>
      <c r="BC219">
        <v>1</v>
      </c>
      <c r="BD219" s="78" t="str">
        <f>REPLACE(INDEX(GroupVertices[Group], MATCH(Edges[[#This Row],[Vertex 1]],GroupVertices[Vertex],0)),1,1,"")</f>
        <v>9</v>
      </c>
      <c r="BE219" s="78" t="str">
        <f>REPLACE(INDEX(GroupVertices[Group], MATCH(Edges[[#This Row],[Vertex 2]],GroupVertices[Vertex],0)),1,1,"")</f>
        <v>9</v>
      </c>
    </row>
    <row r="220" spans="1:57" x14ac:dyDescent="0.25">
      <c r="A220" s="64" t="s">
        <v>233</v>
      </c>
      <c r="B220" s="64" t="s">
        <v>305</v>
      </c>
      <c r="C220" s="65" t="s">
        <v>2101</v>
      </c>
      <c r="D220" s="66">
        <v>3</v>
      </c>
      <c r="E220" s="67"/>
      <c r="F220" s="68">
        <v>40</v>
      </c>
      <c r="G220" s="65"/>
      <c r="H220" s="69"/>
      <c r="I220" s="70"/>
      <c r="J220" s="70"/>
      <c r="K220" s="35" t="s">
        <v>65</v>
      </c>
      <c r="L220" s="77">
        <v>220</v>
      </c>
      <c r="M22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20" s="72"/>
      <c r="O220" s="79" t="s">
        <v>337</v>
      </c>
      <c r="P220" s="81">
        <v>44404.652627314812</v>
      </c>
      <c r="Q220" s="79" t="s">
        <v>352</v>
      </c>
      <c r="R220" s="79"/>
      <c r="S220" s="79"/>
      <c r="T220" s="85" t="s">
        <v>469</v>
      </c>
      <c r="U220" s="83" t="str">
        <f>HYPERLINK("https://pbs.twimg.com/media/E4HAellVcAI99lO.jpg")</f>
        <v>https://pbs.twimg.com/media/E4HAellVcAI99lO.jpg</v>
      </c>
      <c r="V220" s="83" t="str">
        <f>HYPERLINK("https://pbs.twimg.com/media/E4HAellVcAI99lO.jpg")</f>
        <v>https://pbs.twimg.com/media/E4HAellVcAI99lO.jpg</v>
      </c>
      <c r="W220" s="81">
        <v>44404.652627314812</v>
      </c>
      <c r="X220" s="87">
        <v>44404</v>
      </c>
      <c r="Y220" s="85" t="s">
        <v>526</v>
      </c>
      <c r="Z220" s="83" t="str">
        <f>HYPERLINK("https://twitter.com/swasaptrio/status/1420046266835275781")</f>
        <v>https://twitter.com/swasaptrio/status/1420046266835275781</v>
      </c>
      <c r="AA220" s="79"/>
      <c r="AB220" s="79"/>
      <c r="AC220" s="85" t="s">
        <v>703</v>
      </c>
      <c r="AD220" s="79"/>
      <c r="AE220" s="79" t="b">
        <v>0</v>
      </c>
      <c r="AF220" s="79">
        <v>0</v>
      </c>
      <c r="AG220" s="85" t="s">
        <v>867</v>
      </c>
      <c r="AH220" s="79" t="b">
        <v>0</v>
      </c>
      <c r="AI220" s="79" t="s">
        <v>874</v>
      </c>
      <c r="AJ220" s="79"/>
      <c r="AK220" s="85" t="s">
        <v>867</v>
      </c>
      <c r="AL220" s="79" t="b">
        <v>0</v>
      </c>
      <c r="AM220" s="79">
        <v>2</v>
      </c>
      <c r="AN220" s="85" t="s">
        <v>702</v>
      </c>
      <c r="AO220" s="85" t="s">
        <v>882</v>
      </c>
      <c r="AP220" s="79" t="b">
        <v>0</v>
      </c>
      <c r="AQ220" s="85" t="s">
        <v>702</v>
      </c>
      <c r="AR220" s="79" t="s">
        <v>177</v>
      </c>
      <c r="AS220" s="79">
        <v>0</v>
      </c>
      <c r="AT220" s="79">
        <v>0</v>
      </c>
      <c r="AU220" s="79"/>
      <c r="AV220" s="79"/>
      <c r="AW220" s="79"/>
      <c r="AX220" s="79"/>
      <c r="AY220" s="79"/>
      <c r="AZ220" s="79"/>
      <c r="BA220" s="79"/>
      <c r="BB220" s="79"/>
      <c r="BC220">
        <v>1</v>
      </c>
      <c r="BD220" s="78" t="str">
        <f>REPLACE(INDEX(GroupVertices[Group], MATCH(Edges[[#This Row],[Vertex 1]],GroupVertices[Vertex],0)),1,1,"")</f>
        <v>6</v>
      </c>
      <c r="BE220" s="78" t="str">
        <f>REPLACE(INDEX(GroupVertices[Group], MATCH(Edges[[#This Row],[Vertex 2]],GroupVertices[Vertex],0)),1,1,"")</f>
        <v>6</v>
      </c>
    </row>
    <row r="221" spans="1:57" x14ac:dyDescent="0.25">
      <c r="A221" s="64" t="s">
        <v>261</v>
      </c>
      <c r="B221" s="64" t="s">
        <v>327</v>
      </c>
      <c r="C221" s="65" t="s">
        <v>2101</v>
      </c>
      <c r="D221" s="66">
        <v>3</v>
      </c>
      <c r="E221" s="67"/>
      <c r="F221" s="68">
        <v>40</v>
      </c>
      <c r="G221" s="65"/>
      <c r="H221" s="69"/>
      <c r="I221" s="70"/>
      <c r="J221" s="70"/>
      <c r="K221" s="35" t="s">
        <v>65</v>
      </c>
      <c r="L221" s="77">
        <v>221</v>
      </c>
      <c r="M22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21" s="72"/>
      <c r="O221" s="79" t="s">
        <v>339</v>
      </c>
      <c r="P221" s="81">
        <v>44404.740162037036</v>
      </c>
      <c r="Q221" s="79" t="s">
        <v>374</v>
      </c>
      <c r="R221" s="79"/>
      <c r="S221" s="79"/>
      <c r="T221" s="85" t="s">
        <v>480</v>
      </c>
      <c r="U221" s="79"/>
      <c r="V221" s="83" t="str">
        <f>HYPERLINK("https://pbs.twimg.com/profile_images/1409551882087960582/EN_K-fIZ_normal.jpg")</f>
        <v>https://pbs.twimg.com/profile_images/1409551882087960582/EN_K-fIZ_normal.jpg</v>
      </c>
      <c r="W221" s="81">
        <v>44404.740162037036</v>
      </c>
      <c r="X221" s="87">
        <v>44404</v>
      </c>
      <c r="Y221" s="85" t="s">
        <v>590</v>
      </c>
      <c r="Z221" s="83" t="str">
        <f>HYPERLINK("https://twitter.com/aeeetrio/status/1420077987823865861")</f>
        <v>https://twitter.com/aeeetrio/status/1420077987823865861</v>
      </c>
      <c r="AA221" s="79"/>
      <c r="AB221" s="79"/>
      <c r="AC221" s="85" t="s">
        <v>770</v>
      </c>
      <c r="AD221" s="79"/>
      <c r="AE221" s="79" t="b">
        <v>0</v>
      </c>
      <c r="AF221" s="79">
        <v>2</v>
      </c>
      <c r="AG221" s="85" t="s">
        <v>867</v>
      </c>
      <c r="AH221" s="79" t="b">
        <v>0</v>
      </c>
      <c r="AI221" s="79" t="s">
        <v>874</v>
      </c>
      <c r="AJ221" s="79"/>
      <c r="AK221" s="85" t="s">
        <v>867</v>
      </c>
      <c r="AL221" s="79" t="b">
        <v>0</v>
      </c>
      <c r="AM221" s="79">
        <v>1</v>
      </c>
      <c r="AN221" s="85" t="s">
        <v>867</v>
      </c>
      <c r="AO221" s="85" t="s">
        <v>882</v>
      </c>
      <c r="AP221" s="79" t="b">
        <v>0</v>
      </c>
      <c r="AQ221" s="85" t="s">
        <v>770</v>
      </c>
      <c r="AR221" s="79" t="s">
        <v>177</v>
      </c>
      <c r="AS221" s="79">
        <v>0</v>
      </c>
      <c r="AT221" s="79">
        <v>0</v>
      </c>
      <c r="AU221" s="79"/>
      <c r="AV221" s="79"/>
      <c r="AW221" s="79"/>
      <c r="AX221" s="79"/>
      <c r="AY221" s="79"/>
      <c r="AZ221" s="79"/>
      <c r="BA221" s="79"/>
      <c r="BB221" s="79"/>
      <c r="BC221">
        <v>1</v>
      </c>
      <c r="BD221" s="78" t="str">
        <f>REPLACE(INDEX(GroupVertices[Group], MATCH(Edges[[#This Row],[Vertex 1]],GroupVertices[Vertex],0)),1,1,"")</f>
        <v>8</v>
      </c>
      <c r="BE221" s="78" t="str">
        <f>REPLACE(INDEX(GroupVertices[Group], MATCH(Edges[[#This Row],[Vertex 2]],GroupVertices[Vertex],0)),1,1,"")</f>
        <v>8</v>
      </c>
    </row>
    <row r="222" spans="1:57" x14ac:dyDescent="0.25">
      <c r="A222" s="64" t="s">
        <v>279</v>
      </c>
      <c r="B222" s="64" t="s">
        <v>327</v>
      </c>
      <c r="C222" s="65" t="s">
        <v>2101</v>
      </c>
      <c r="D222" s="66">
        <v>3</v>
      </c>
      <c r="E222" s="67"/>
      <c r="F222" s="68">
        <v>40</v>
      </c>
      <c r="G222" s="65"/>
      <c r="H222" s="69"/>
      <c r="I222" s="70"/>
      <c r="J222" s="70"/>
      <c r="K222" s="35" t="s">
        <v>65</v>
      </c>
      <c r="L222" s="77">
        <v>222</v>
      </c>
      <c r="M22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22" s="72"/>
      <c r="O222" s="79" t="s">
        <v>337</v>
      </c>
      <c r="P222" s="81">
        <v>44406.963402777779</v>
      </c>
      <c r="Q222" s="79" t="s">
        <v>374</v>
      </c>
      <c r="R222" s="79"/>
      <c r="S222" s="79"/>
      <c r="T222" s="85" t="s">
        <v>480</v>
      </c>
      <c r="U222" s="79"/>
      <c r="V222" s="83" t="str">
        <f>HYPERLINK("https://pbs.twimg.com/profile_images/1394673346823000065/USX0VQdW_normal.jpg")</f>
        <v>https://pbs.twimg.com/profile_images/1394673346823000065/USX0VQdW_normal.jpg</v>
      </c>
      <c r="W222" s="81">
        <v>44406.963402777779</v>
      </c>
      <c r="X222" s="87">
        <v>44406</v>
      </c>
      <c r="Y222" s="85" t="s">
        <v>591</v>
      </c>
      <c r="Z222" s="83" t="str">
        <f>HYPERLINK("https://twitter.com/jackashawiley/status/1420883663588319241")</f>
        <v>https://twitter.com/jackashawiley/status/1420883663588319241</v>
      </c>
      <c r="AA222" s="79"/>
      <c r="AB222" s="79"/>
      <c r="AC222" s="85" t="s">
        <v>771</v>
      </c>
      <c r="AD222" s="79"/>
      <c r="AE222" s="79" t="b">
        <v>0</v>
      </c>
      <c r="AF222" s="79">
        <v>0</v>
      </c>
      <c r="AG222" s="85" t="s">
        <v>867</v>
      </c>
      <c r="AH222" s="79" t="b">
        <v>0</v>
      </c>
      <c r="AI222" s="79" t="s">
        <v>874</v>
      </c>
      <c r="AJ222" s="79"/>
      <c r="AK222" s="85" t="s">
        <v>867</v>
      </c>
      <c r="AL222" s="79" t="b">
        <v>0</v>
      </c>
      <c r="AM222" s="79">
        <v>1</v>
      </c>
      <c r="AN222" s="85" t="s">
        <v>770</v>
      </c>
      <c r="AO222" s="85" t="s">
        <v>882</v>
      </c>
      <c r="AP222" s="79" t="b">
        <v>0</v>
      </c>
      <c r="AQ222" s="85" t="s">
        <v>770</v>
      </c>
      <c r="AR222" s="79" t="s">
        <v>177</v>
      </c>
      <c r="AS222" s="79">
        <v>0</v>
      </c>
      <c r="AT222" s="79">
        <v>0</v>
      </c>
      <c r="AU222" s="79"/>
      <c r="AV222" s="79"/>
      <c r="AW222" s="79"/>
      <c r="AX222" s="79"/>
      <c r="AY222" s="79"/>
      <c r="AZ222" s="79"/>
      <c r="BA222" s="79"/>
      <c r="BB222" s="79"/>
      <c r="BC222">
        <v>1</v>
      </c>
      <c r="BD222" s="78" t="str">
        <f>REPLACE(INDEX(GroupVertices[Group], MATCH(Edges[[#This Row],[Vertex 1]],GroupVertices[Vertex],0)),1,1,"")</f>
        <v>8</v>
      </c>
      <c r="BE222" s="78" t="str">
        <f>REPLACE(INDEX(GroupVertices[Group], MATCH(Edges[[#This Row],[Vertex 2]],GroupVertices[Vertex],0)),1,1,"")</f>
        <v>8</v>
      </c>
    </row>
    <row r="223" spans="1:57" x14ac:dyDescent="0.25">
      <c r="A223" s="64" t="s">
        <v>261</v>
      </c>
      <c r="B223" s="64" t="s">
        <v>326</v>
      </c>
      <c r="C223" s="65" t="s">
        <v>2101</v>
      </c>
      <c r="D223" s="66">
        <v>3</v>
      </c>
      <c r="E223" s="67"/>
      <c r="F223" s="68">
        <v>40</v>
      </c>
      <c r="G223" s="65"/>
      <c r="H223" s="69"/>
      <c r="I223" s="70"/>
      <c r="J223" s="70"/>
      <c r="K223" s="35" t="s">
        <v>65</v>
      </c>
      <c r="L223" s="77">
        <v>223</v>
      </c>
      <c r="M22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23" s="72"/>
      <c r="O223" s="79" t="s">
        <v>339</v>
      </c>
      <c r="P223" s="81">
        <v>44404.740162037036</v>
      </c>
      <c r="Q223" s="79" t="s">
        <v>374</v>
      </c>
      <c r="R223" s="79"/>
      <c r="S223" s="79"/>
      <c r="T223" s="85" t="s">
        <v>480</v>
      </c>
      <c r="U223" s="79"/>
      <c r="V223" s="83" t="str">
        <f>HYPERLINK("https://pbs.twimg.com/profile_images/1409551882087960582/EN_K-fIZ_normal.jpg")</f>
        <v>https://pbs.twimg.com/profile_images/1409551882087960582/EN_K-fIZ_normal.jpg</v>
      </c>
      <c r="W223" s="81">
        <v>44404.740162037036</v>
      </c>
      <c r="X223" s="87">
        <v>44404</v>
      </c>
      <c r="Y223" s="85" t="s">
        <v>590</v>
      </c>
      <c r="Z223" s="83" t="str">
        <f>HYPERLINK("https://twitter.com/aeeetrio/status/1420077987823865861")</f>
        <v>https://twitter.com/aeeetrio/status/1420077987823865861</v>
      </c>
      <c r="AA223" s="79"/>
      <c r="AB223" s="79"/>
      <c r="AC223" s="85" t="s">
        <v>770</v>
      </c>
      <c r="AD223" s="79"/>
      <c r="AE223" s="79" t="b">
        <v>0</v>
      </c>
      <c r="AF223" s="79">
        <v>2</v>
      </c>
      <c r="AG223" s="85" t="s">
        <v>867</v>
      </c>
      <c r="AH223" s="79" t="b">
        <v>0</v>
      </c>
      <c r="AI223" s="79" t="s">
        <v>874</v>
      </c>
      <c r="AJ223" s="79"/>
      <c r="AK223" s="85" t="s">
        <v>867</v>
      </c>
      <c r="AL223" s="79" t="b">
        <v>0</v>
      </c>
      <c r="AM223" s="79">
        <v>1</v>
      </c>
      <c r="AN223" s="85" t="s">
        <v>867</v>
      </c>
      <c r="AO223" s="85" t="s">
        <v>882</v>
      </c>
      <c r="AP223" s="79" t="b">
        <v>0</v>
      </c>
      <c r="AQ223" s="85" t="s">
        <v>770</v>
      </c>
      <c r="AR223" s="79" t="s">
        <v>177</v>
      </c>
      <c r="AS223" s="79">
        <v>0</v>
      </c>
      <c r="AT223" s="79">
        <v>0</v>
      </c>
      <c r="AU223" s="79"/>
      <c r="AV223" s="79"/>
      <c r="AW223" s="79"/>
      <c r="AX223" s="79"/>
      <c r="AY223" s="79"/>
      <c r="AZ223" s="79"/>
      <c r="BA223" s="79"/>
      <c r="BB223" s="79"/>
      <c r="BC223">
        <v>1</v>
      </c>
      <c r="BD223" s="78" t="str">
        <f>REPLACE(INDEX(GroupVertices[Group], MATCH(Edges[[#This Row],[Vertex 1]],GroupVertices[Vertex],0)),1,1,"")</f>
        <v>8</v>
      </c>
      <c r="BE223" s="78" t="str">
        <f>REPLACE(INDEX(GroupVertices[Group], MATCH(Edges[[#This Row],[Vertex 2]],GroupVertices[Vertex],0)),1,1,"")</f>
        <v>8</v>
      </c>
    </row>
    <row r="224" spans="1:57" x14ac:dyDescent="0.25">
      <c r="A224" s="64" t="s">
        <v>279</v>
      </c>
      <c r="B224" s="64" t="s">
        <v>326</v>
      </c>
      <c r="C224" s="65" t="s">
        <v>2101</v>
      </c>
      <c r="D224" s="66">
        <v>3</v>
      </c>
      <c r="E224" s="67"/>
      <c r="F224" s="68">
        <v>40</v>
      </c>
      <c r="G224" s="65"/>
      <c r="H224" s="69"/>
      <c r="I224" s="70"/>
      <c r="J224" s="70"/>
      <c r="K224" s="35" t="s">
        <v>65</v>
      </c>
      <c r="L224" s="77">
        <v>224</v>
      </c>
      <c r="M22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24" s="72"/>
      <c r="O224" s="79" t="s">
        <v>337</v>
      </c>
      <c r="P224" s="81">
        <v>44406.963402777779</v>
      </c>
      <c r="Q224" s="79" t="s">
        <v>374</v>
      </c>
      <c r="R224" s="79"/>
      <c r="S224" s="79"/>
      <c r="T224" s="85" t="s">
        <v>480</v>
      </c>
      <c r="U224" s="79"/>
      <c r="V224" s="83" t="str">
        <f>HYPERLINK("https://pbs.twimg.com/profile_images/1394673346823000065/USX0VQdW_normal.jpg")</f>
        <v>https://pbs.twimg.com/profile_images/1394673346823000065/USX0VQdW_normal.jpg</v>
      </c>
      <c r="W224" s="81">
        <v>44406.963402777779</v>
      </c>
      <c r="X224" s="87">
        <v>44406</v>
      </c>
      <c r="Y224" s="85" t="s">
        <v>591</v>
      </c>
      <c r="Z224" s="83" t="str">
        <f>HYPERLINK("https://twitter.com/jackashawiley/status/1420883663588319241")</f>
        <v>https://twitter.com/jackashawiley/status/1420883663588319241</v>
      </c>
      <c r="AA224" s="79"/>
      <c r="AB224" s="79"/>
      <c r="AC224" s="85" t="s">
        <v>771</v>
      </c>
      <c r="AD224" s="79"/>
      <c r="AE224" s="79" t="b">
        <v>0</v>
      </c>
      <c r="AF224" s="79">
        <v>0</v>
      </c>
      <c r="AG224" s="85" t="s">
        <v>867</v>
      </c>
      <c r="AH224" s="79" t="b">
        <v>0</v>
      </c>
      <c r="AI224" s="79" t="s">
        <v>874</v>
      </c>
      <c r="AJ224" s="79"/>
      <c r="AK224" s="85" t="s">
        <v>867</v>
      </c>
      <c r="AL224" s="79" t="b">
        <v>0</v>
      </c>
      <c r="AM224" s="79">
        <v>1</v>
      </c>
      <c r="AN224" s="85" t="s">
        <v>770</v>
      </c>
      <c r="AO224" s="85" t="s">
        <v>882</v>
      </c>
      <c r="AP224" s="79" t="b">
        <v>0</v>
      </c>
      <c r="AQ224" s="85" t="s">
        <v>770</v>
      </c>
      <c r="AR224" s="79" t="s">
        <v>177</v>
      </c>
      <c r="AS224" s="79">
        <v>0</v>
      </c>
      <c r="AT224" s="79">
        <v>0</v>
      </c>
      <c r="AU224" s="79"/>
      <c r="AV224" s="79"/>
      <c r="AW224" s="79"/>
      <c r="AX224" s="79"/>
      <c r="AY224" s="79"/>
      <c r="AZ224" s="79"/>
      <c r="BA224" s="79"/>
      <c r="BB224" s="79"/>
      <c r="BC224">
        <v>1</v>
      </c>
      <c r="BD224" s="78" t="str">
        <f>REPLACE(INDEX(GroupVertices[Group], MATCH(Edges[[#This Row],[Vertex 1]],GroupVertices[Vertex],0)),1,1,"")</f>
        <v>8</v>
      </c>
      <c r="BE224" s="78" t="str">
        <f>REPLACE(INDEX(GroupVertices[Group], MATCH(Edges[[#This Row],[Vertex 2]],GroupVertices[Vertex],0)),1,1,"")</f>
        <v>8</v>
      </c>
    </row>
    <row r="225" spans="1:57" x14ac:dyDescent="0.25">
      <c r="A225" s="64" t="s">
        <v>234</v>
      </c>
      <c r="B225" s="64" t="s">
        <v>298</v>
      </c>
      <c r="C225" s="65" t="s">
        <v>2101</v>
      </c>
      <c r="D225" s="66">
        <v>3</v>
      </c>
      <c r="E225" s="67"/>
      <c r="F225" s="68">
        <v>40</v>
      </c>
      <c r="G225" s="65"/>
      <c r="H225" s="69"/>
      <c r="I225" s="70"/>
      <c r="J225" s="70"/>
      <c r="K225" s="35" t="s">
        <v>65</v>
      </c>
      <c r="L225" s="77">
        <v>225</v>
      </c>
      <c r="M22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25" s="72"/>
      <c r="O225" s="79" t="s">
        <v>339</v>
      </c>
      <c r="P225" s="81">
        <v>44404.84003472222</v>
      </c>
      <c r="Q225" s="79" t="s">
        <v>354</v>
      </c>
      <c r="R225" s="79"/>
      <c r="S225" s="79"/>
      <c r="T225" s="85" t="s">
        <v>471</v>
      </c>
      <c r="U225" s="83" t="str">
        <f>HYPERLINK("https://pbs.twimg.com/media/E7VBXq_XMAAMbtc.jpg")</f>
        <v>https://pbs.twimg.com/media/E7VBXq_XMAAMbtc.jpg</v>
      </c>
      <c r="V225" s="83" t="str">
        <f>HYPERLINK("https://pbs.twimg.com/media/E7VBXq_XMAAMbtc.jpg")</f>
        <v>https://pbs.twimg.com/media/E7VBXq_XMAAMbtc.jpg</v>
      </c>
      <c r="W225" s="81">
        <v>44404.84003472222</v>
      </c>
      <c r="X225" s="87">
        <v>44404</v>
      </c>
      <c r="Y225" s="85" t="s">
        <v>528</v>
      </c>
      <c r="Z225" s="83" t="str">
        <f>HYPERLINK("https://twitter.com/sssivytechfw/status/1420114179822862342")</f>
        <v>https://twitter.com/sssivytechfw/status/1420114179822862342</v>
      </c>
      <c r="AA225" s="79"/>
      <c r="AB225" s="79"/>
      <c r="AC225" s="85" t="s">
        <v>705</v>
      </c>
      <c r="AD225" s="79"/>
      <c r="AE225" s="79" t="b">
        <v>0</v>
      </c>
      <c r="AF225" s="79">
        <v>1</v>
      </c>
      <c r="AG225" s="85" t="s">
        <v>867</v>
      </c>
      <c r="AH225" s="79" t="b">
        <v>0</v>
      </c>
      <c r="AI225" s="79" t="s">
        <v>874</v>
      </c>
      <c r="AJ225" s="79"/>
      <c r="AK225" s="85" t="s">
        <v>867</v>
      </c>
      <c r="AL225" s="79" t="b">
        <v>0</v>
      </c>
      <c r="AM225" s="79">
        <v>0</v>
      </c>
      <c r="AN225" s="85" t="s">
        <v>867</v>
      </c>
      <c r="AO225" s="85" t="s">
        <v>882</v>
      </c>
      <c r="AP225" s="79" t="b">
        <v>0</v>
      </c>
      <c r="AQ225" s="85" t="s">
        <v>705</v>
      </c>
      <c r="AR225" s="79" t="s">
        <v>177</v>
      </c>
      <c r="AS225" s="79">
        <v>0</v>
      </c>
      <c r="AT225" s="79">
        <v>0</v>
      </c>
      <c r="AU225" s="79"/>
      <c r="AV225" s="79"/>
      <c r="AW225" s="79"/>
      <c r="AX225" s="79"/>
      <c r="AY225" s="79"/>
      <c r="AZ225" s="79"/>
      <c r="BA225" s="79"/>
      <c r="BB225" s="79"/>
      <c r="BC225">
        <v>1</v>
      </c>
      <c r="BD225" s="78" t="str">
        <f>REPLACE(INDEX(GroupVertices[Group], MATCH(Edges[[#This Row],[Vertex 1]],GroupVertices[Vertex],0)),1,1,"")</f>
        <v>1</v>
      </c>
      <c r="BE225" s="78" t="str">
        <f>REPLACE(INDEX(GroupVertices[Group], MATCH(Edges[[#This Row],[Vertex 2]],GroupVertices[Vertex],0)),1,1,"")</f>
        <v>1</v>
      </c>
    </row>
    <row r="226" spans="1:57" x14ac:dyDescent="0.25">
      <c r="A226" s="64" t="s">
        <v>288</v>
      </c>
      <c r="B226" s="64" t="s">
        <v>298</v>
      </c>
      <c r="C226" s="65" t="s">
        <v>2101</v>
      </c>
      <c r="D226" s="66">
        <v>3</v>
      </c>
      <c r="E226" s="67"/>
      <c r="F226" s="68">
        <v>40</v>
      </c>
      <c r="G226" s="65"/>
      <c r="H226" s="69"/>
      <c r="I226" s="70"/>
      <c r="J226" s="70"/>
      <c r="K226" s="35" t="s">
        <v>65</v>
      </c>
      <c r="L226" s="77">
        <v>226</v>
      </c>
      <c r="M22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26" s="72"/>
      <c r="O226" s="79" t="s">
        <v>339</v>
      </c>
      <c r="P226" s="81">
        <v>44406.811898148146</v>
      </c>
      <c r="Q226" s="79" t="s">
        <v>384</v>
      </c>
      <c r="R226" s="83" t="str">
        <f>HYPERLINK("https://twitter.com/SSSIvyTechFW/status/1420826156031414278")</f>
        <v>https://twitter.com/SSSIvyTechFW/status/1420826156031414278</v>
      </c>
      <c r="S226" s="79" t="s">
        <v>449</v>
      </c>
      <c r="T226" s="85" t="s">
        <v>461</v>
      </c>
      <c r="U226" s="79"/>
      <c r="V226" s="83" t="str">
        <f>HYPERLINK("https://pbs.twimg.com/profile_images/519942229318594561/V929JwX6_normal.jpeg")</f>
        <v>https://pbs.twimg.com/profile_images/519942229318594561/V929JwX6_normal.jpeg</v>
      </c>
      <c r="W226" s="81">
        <v>44406.811898148146</v>
      </c>
      <c r="X226" s="87">
        <v>44406</v>
      </c>
      <c r="Y226" s="85" t="s">
        <v>607</v>
      </c>
      <c r="Z226" s="83" t="str">
        <f>HYPERLINK("https://twitter.com/indianatrio/status/1420828757791805440")</f>
        <v>https://twitter.com/indianatrio/status/1420828757791805440</v>
      </c>
      <c r="AA226" s="79"/>
      <c r="AB226" s="79"/>
      <c r="AC226" s="85" t="s">
        <v>787</v>
      </c>
      <c r="AD226" s="79"/>
      <c r="AE226" s="79" t="b">
        <v>0</v>
      </c>
      <c r="AF226" s="79">
        <v>0</v>
      </c>
      <c r="AG226" s="85" t="s">
        <v>867</v>
      </c>
      <c r="AH226" s="79" t="b">
        <v>1</v>
      </c>
      <c r="AI226" s="79" t="s">
        <v>874</v>
      </c>
      <c r="AJ226" s="79"/>
      <c r="AK226" s="85" t="s">
        <v>881</v>
      </c>
      <c r="AL226" s="79" t="b">
        <v>0</v>
      </c>
      <c r="AM226" s="79">
        <v>1</v>
      </c>
      <c r="AN226" s="85" t="s">
        <v>867</v>
      </c>
      <c r="AO226" s="85" t="s">
        <v>882</v>
      </c>
      <c r="AP226" s="79" t="b">
        <v>0</v>
      </c>
      <c r="AQ226" s="85" t="s">
        <v>787</v>
      </c>
      <c r="AR226" s="79" t="s">
        <v>177</v>
      </c>
      <c r="AS226" s="79">
        <v>0</v>
      </c>
      <c r="AT226" s="79">
        <v>0</v>
      </c>
      <c r="AU226" s="79"/>
      <c r="AV226" s="79"/>
      <c r="AW226" s="79"/>
      <c r="AX226" s="79"/>
      <c r="AY226" s="79"/>
      <c r="AZ226" s="79"/>
      <c r="BA226" s="79"/>
      <c r="BB226" s="79"/>
      <c r="BC226">
        <v>1</v>
      </c>
      <c r="BD226" s="78" t="str">
        <f>REPLACE(INDEX(GroupVertices[Group], MATCH(Edges[[#This Row],[Vertex 1]],GroupVertices[Vertex],0)),1,1,"")</f>
        <v>1</v>
      </c>
      <c r="BE226" s="78" t="str">
        <f>REPLACE(INDEX(GroupVertices[Group], MATCH(Edges[[#This Row],[Vertex 2]],GroupVertices[Vertex],0)),1,1,"")</f>
        <v>1</v>
      </c>
    </row>
    <row r="227" spans="1:57" x14ac:dyDescent="0.25">
      <c r="A227" s="64" t="s">
        <v>269</v>
      </c>
      <c r="B227" s="64" t="s">
        <v>298</v>
      </c>
      <c r="C227" s="65" t="s">
        <v>2101</v>
      </c>
      <c r="D227" s="66">
        <v>3</v>
      </c>
      <c r="E227" s="67"/>
      <c r="F227" s="68">
        <v>40</v>
      </c>
      <c r="G227" s="65"/>
      <c r="H227" s="69"/>
      <c r="I227" s="70"/>
      <c r="J227" s="70"/>
      <c r="K227" s="35" t="s">
        <v>65</v>
      </c>
      <c r="L227" s="77">
        <v>227</v>
      </c>
      <c r="M22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27" s="72"/>
      <c r="O227" s="79" t="s">
        <v>338</v>
      </c>
      <c r="P227" s="81">
        <v>44406.929270833331</v>
      </c>
      <c r="Q227" s="79" t="s">
        <v>373</v>
      </c>
      <c r="R227" s="79"/>
      <c r="S227" s="79"/>
      <c r="T227" s="85" t="s">
        <v>461</v>
      </c>
      <c r="U227" s="83" t="str">
        <f t="shared" ref="U227:V238" si="4">HYPERLINK("https://pbs.twimg.com/media/E7fhzF6XsAAoddH.jpg")</f>
        <v>https://pbs.twimg.com/media/E7fhzF6XsAAoddH.jpg</v>
      </c>
      <c r="V227" s="83" t="str">
        <f t="shared" si="4"/>
        <v>https://pbs.twimg.com/media/E7fhzF6XsAAoddH.jpg</v>
      </c>
      <c r="W227" s="81">
        <v>44406.929270833331</v>
      </c>
      <c r="X227" s="87">
        <v>44406</v>
      </c>
      <c r="Y227" s="85" t="s">
        <v>580</v>
      </c>
      <c r="Z227" s="83" t="str">
        <f>HYPERLINK("https://twitter.com/barneskhalid321/status/1420871295147913224")</f>
        <v>https://twitter.com/barneskhalid321/status/1420871295147913224</v>
      </c>
      <c r="AA227" s="79"/>
      <c r="AB227" s="79"/>
      <c r="AC227" s="85" t="s">
        <v>759</v>
      </c>
      <c r="AD227" s="79"/>
      <c r="AE227" s="79" t="b">
        <v>0</v>
      </c>
      <c r="AF227" s="79">
        <v>0</v>
      </c>
      <c r="AG227" s="85" t="s">
        <v>867</v>
      </c>
      <c r="AH227" s="79" t="b">
        <v>0</v>
      </c>
      <c r="AI227" s="79" t="s">
        <v>874</v>
      </c>
      <c r="AJ227" s="79"/>
      <c r="AK227" s="85" t="s">
        <v>867</v>
      </c>
      <c r="AL227" s="79" t="b">
        <v>0</v>
      </c>
      <c r="AM227" s="79">
        <v>14</v>
      </c>
      <c r="AN227" s="85" t="s">
        <v>851</v>
      </c>
      <c r="AO227" s="85" t="s">
        <v>887</v>
      </c>
      <c r="AP227" s="79" t="b">
        <v>0</v>
      </c>
      <c r="AQ227" s="85" t="s">
        <v>851</v>
      </c>
      <c r="AR227" s="79" t="s">
        <v>177</v>
      </c>
      <c r="AS227" s="79">
        <v>0</v>
      </c>
      <c r="AT227" s="79">
        <v>0</v>
      </c>
      <c r="AU227" s="79"/>
      <c r="AV227" s="79"/>
      <c r="AW227" s="79"/>
      <c r="AX227" s="79"/>
      <c r="AY227" s="79"/>
      <c r="AZ227" s="79"/>
      <c r="BA227" s="79"/>
      <c r="BB227" s="79"/>
      <c r="BC227">
        <v>1</v>
      </c>
      <c r="BD227" s="78" t="str">
        <f>REPLACE(INDEX(GroupVertices[Group], MATCH(Edges[[#This Row],[Vertex 1]],GroupVertices[Vertex],0)),1,1,"")</f>
        <v>1</v>
      </c>
      <c r="BE227" s="78" t="str">
        <f>REPLACE(INDEX(GroupVertices[Group], MATCH(Edges[[#This Row],[Vertex 2]],GroupVertices[Vertex],0)),1,1,"")</f>
        <v>1</v>
      </c>
    </row>
    <row r="228" spans="1:57" x14ac:dyDescent="0.25">
      <c r="A228" s="64" t="s">
        <v>270</v>
      </c>
      <c r="B228" s="64" t="s">
        <v>298</v>
      </c>
      <c r="C228" s="65" t="s">
        <v>2101</v>
      </c>
      <c r="D228" s="66">
        <v>3</v>
      </c>
      <c r="E228" s="67"/>
      <c r="F228" s="68">
        <v>40</v>
      </c>
      <c r="G228" s="65"/>
      <c r="H228" s="69"/>
      <c r="I228" s="70"/>
      <c r="J228" s="70"/>
      <c r="K228" s="35" t="s">
        <v>65</v>
      </c>
      <c r="L228" s="77">
        <v>228</v>
      </c>
      <c r="M22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28" s="72"/>
      <c r="O228" s="79" t="s">
        <v>338</v>
      </c>
      <c r="P228" s="81">
        <v>44406.929386574076</v>
      </c>
      <c r="Q228" s="79" t="s">
        <v>373</v>
      </c>
      <c r="R228" s="79"/>
      <c r="S228" s="79"/>
      <c r="T228" s="85" t="s">
        <v>461</v>
      </c>
      <c r="U228" s="83" t="str">
        <f t="shared" si="4"/>
        <v>https://pbs.twimg.com/media/E7fhzF6XsAAoddH.jpg</v>
      </c>
      <c r="V228" s="83" t="str">
        <f t="shared" si="4"/>
        <v>https://pbs.twimg.com/media/E7fhzF6XsAAoddH.jpg</v>
      </c>
      <c r="W228" s="81">
        <v>44406.929386574076</v>
      </c>
      <c r="X228" s="87">
        <v>44406</v>
      </c>
      <c r="Y228" s="85" t="s">
        <v>581</v>
      </c>
      <c r="Z228" s="83" t="str">
        <f>HYPERLINK("https://twitter.com/mizbosslady82/status/1420871336847683588")</f>
        <v>https://twitter.com/mizbosslady82/status/1420871336847683588</v>
      </c>
      <c r="AA228" s="79"/>
      <c r="AB228" s="79"/>
      <c r="AC228" s="85" t="s">
        <v>760</v>
      </c>
      <c r="AD228" s="79"/>
      <c r="AE228" s="79" t="b">
        <v>0</v>
      </c>
      <c r="AF228" s="79">
        <v>0</v>
      </c>
      <c r="AG228" s="85" t="s">
        <v>867</v>
      </c>
      <c r="AH228" s="79" t="b">
        <v>0</v>
      </c>
      <c r="AI228" s="79" t="s">
        <v>874</v>
      </c>
      <c r="AJ228" s="79"/>
      <c r="AK228" s="85" t="s">
        <v>867</v>
      </c>
      <c r="AL228" s="79" t="b">
        <v>0</v>
      </c>
      <c r="AM228" s="79">
        <v>14</v>
      </c>
      <c r="AN228" s="85" t="s">
        <v>851</v>
      </c>
      <c r="AO228" s="85" t="s">
        <v>883</v>
      </c>
      <c r="AP228" s="79" t="b">
        <v>0</v>
      </c>
      <c r="AQ228" s="85" t="s">
        <v>851</v>
      </c>
      <c r="AR228" s="79" t="s">
        <v>177</v>
      </c>
      <c r="AS228" s="79">
        <v>0</v>
      </c>
      <c r="AT228" s="79">
        <v>0</v>
      </c>
      <c r="AU228" s="79"/>
      <c r="AV228" s="79"/>
      <c r="AW228" s="79"/>
      <c r="AX228" s="79"/>
      <c r="AY228" s="79"/>
      <c r="AZ228" s="79"/>
      <c r="BA228" s="79"/>
      <c r="BB228" s="79"/>
      <c r="BC228">
        <v>1</v>
      </c>
      <c r="BD228" s="78" t="str">
        <f>REPLACE(INDEX(GroupVertices[Group], MATCH(Edges[[#This Row],[Vertex 1]],GroupVertices[Vertex],0)),1,1,"")</f>
        <v>1</v>
      </c>
      <c r="BE228" s="78" t="str">
        <f>REPLACE(INDEX(GroupVertices[Group], MATCH(Edges[[#This Row],[Vertex 2]],GroupVertices[Vertex],0)),1,1,"")</f>
        <v>1</v>
      </c>
    </row>
    <row r="229" spans="1:57" x14ac:dyDescent="0.25">
      <c r="A229" s="64" t="s">
        <v>271</v>
      </c>
      <c r="B229" s="64" t="s">
        <v>298</v>
      </c>
      <c r="C229" s="65" t="s">
        <v>2101</v>
      </c>
      <c r="D229" s="66">
        <v>3</v>
      </c>
      <c r="E229" s="67"/>
      <c r="F229" s="68">
        <v>40</v>
      </c>
      <c r="G229" s="65"/>
      <c r="H229" s="69"/>
      <c r="I229" s="70"/>
      <c r="J229" s="70"/>
      <c r="K229" s="35" t="s">
        <v>65</v>
      </c>
      <c r="L229" s="77">
        <v>229</v>
      </c>
      <c r="M22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29" s="72"/>
      <c r="O229" s="79" t="s">
        <v>338</v>
      </c>
      <c r="P229" s="81">
        <v>44406.931215277778</v>
      </c>
      <c r="Q229" s="79" t="s">
        <v>373</v>
      </c>
      <c r="R229" s="79"/>
      <c r="S229" s="79"/>
      <c r="T229" s="85" t="s">
        <v>461</v>
      </c>
      <c r="U229" s="83" t="str">
        <f t="shared" si="4"/>
        <v>https://pbs.twimg.com/media/E7fhzF6XsAAoddH.jpg</v>
      </c>
      <c r="V229" s="83" t="str">
        <f t="shared" si="4"/>
        <v>https://pbs.twimg.com/media/E7fhzF6XsAAoddH.jpg</v>
      </c>
      <c r="W229" s="81">
        <v>44406.931215277778</v>
      </c>
      <c r="X229" s="87">
        <v>44406</v>
      </c>
      <c r="Y229" s="85" t="s">
        <v>582</v>
      </c>
      <c r="Z229" s="83" t="str">
        <f>HYPERLINK("https://twitter.com/shirley10090505/status/1420871998654255107")</f>
        <v>https://twitter.com/shirley10090505/status/1420871998654255107</v>
      </c>
      <c r="AA229" s="79"/>
      <c r="AB229" s="79"/>
      <c r="AC229" s="85" t="s">
        <v>761</v>
      </c>
      <c r="AD229" s="79"/>
      <c r="AE229" s="79" t="b">
        <v>0</v>
      </c>
      <c r="AF229" s="79">
        <v>0</v>
      </c>
      <c r="AG229" s="85" t="s">
        <v>867</v>
      </c>
      <c r="AH229" s="79" t="b">
        <v>0</v>
      </c>
      <c r="AI229" s="79" t="s">
        <v>874</v>
      </c>
      <c r="AJ229" s="79"/>
      <c r="AK229" s="85" t="s">
        <v>867</v>
      </c>
      <c r="AL229" s="79" t="b">
        <v>0</v>
      </c>
      <c r="AM229" s="79">
        <v>14</v>
      </c>
      <c r="AN229" s="85" t="s">
        <v>851</v>
      </c>
      <c r="AO229" s="85" t="s">
        <v>883</v>
      </c>
      <c r="AP229" s="79" t="b">
        <v>0</v>
      </c>
      <c r="AQ229" s="85" t="s">
        <v>851</v>
      </c>
      <c r="AR229" s="79" t="s">
        <v>177</v>
      </c>
      <c r="AS229" s="79">
        <v>0</v>
      </c>
      <c r="AT229" s="79">
        <v>0</v>
      </c>
      <c r="AU229" s="79"/>
      <c r="AV229" s="79"/>
      <c r="AW229" s="79"/>
      <c r="AX229" s="79"/>
      <c r="AY229" s="79"/>
      <c r="AZ229" s="79"/>
      <c r="BA229" s="79"/>
      <c r="BB229" s="79"/>
      <c r="BC229">
        <v>1</v>
      </c>
      <c r="BD229" s="78" t="str">
        <f>REPLACE(INDEX(GroupVertices[Group], MATCH(Edges[[#This Row],[Vertex 1]],GroupVertices[Vertex],0)),1,1,"")</f>
        <v>1</v>
      </c>
      <c r="BE229" s="78" t="str">
        <f>REPLACE(INDEX(GroupVertices[Group], MATCH(Edges[[#This Row],[Vertex 2]],GroupVertices[Vertex],0)),1,1,"")</f>
        <v>1</v>
      </c>
    </row>
    <row r="230" spans="1:57" x14ac:dyDescent="0.25">
      <c r="A230" s="64" t="s">
        <v>272</v>
      </c>
      <c r="B230" s="64" t="s">
        <v>298</v>
      </c>
      <c r="C230" s="65" t="s">
        <v>2101</v>
      </c>
      <c r="D230" s="66">
        <v>3</v>
      </c>
      <c r="E230" s="67"/>
      <c r="F230" s="68">
        <v>40</v>
      </c>
      <c r="G230" s="65"/>
      <c r="H230" s="69"/>
      <c r="I230" s="70"/>
      <c r="J230" s="70"/>
      <c r="K230" s="35" t="s">
        <v>65</v>
      </c>
      <c r="L230" s="77">
        <v>230</v>
      </c>
      <c r="M23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30" s="72"/>
      <c r="O230" s="79" t="s">
        <v>338</v>
      </c>
      <c r="P230" s="81">
        <v>44406.932581018518</v>
      </c>
      <c r="Q230" s="79" t="s">
        <v>373</v>
      </c>
      <c r="R230" s="79"/>
      <c r="S230" s="79"/>
      <c r="T230" s="85" t="s">
        <v>461</v>
      </c>
      <c r="U230" s="83" t="str">
        <f t="shared" si="4"/>
        <v>https://pbs.twimg.com/media/E7fhzF6XsAAoddH.jpg</v>
      </c>
      <c r="V230" s="83" t="str">
        <f t="shared" si="4"/>
        <v>https://pbs.twimg.com/media/E7fhzF6XsAAoddH.jpg</v>
      </c>
      <c r="W230" s="81">
        <v>44406.932581018518</v>
      </c>
      <c r="X230" s="87">
        <v>44406</v>
      </c>
      <c r="Y230" s="85" t="s">
        <v>583</v>
      </c>
      <c r="Z230" s="83" t="str">
        <f>HYPERLINK("https://twitter.com/suemanning6/status/1420872494924304394")</f>
        <v>https://twitter.com/suemanning6/status/1420872494924304394</v>
      </c>
      <c r="AA230" s="79"/>
      <c r="AB230" s="79"/>
      <c r="AC230" s="85" t="s">
        <v>762</v>
      </c>
      <c r="AD230" s="79"/>
      <c r="AE230" s="79" t="b">
        <v>0</v>
      </c>
      <c r="AF230" s="79">
        <v>0</v>
      </c>
      <c r="AG230" s="85" t="s">
        <v>867</v>
      </c>
      <c r="AH230" s="79" t="b">
        <v>0</v>
      </c>
      <c r="AI230" s="79" t="s">
        <v>874</v>
      </c>
      <c r="AJ230" s="79"/>
      <c r="AK230" s="85" t="s">
        <v>867</v>
      </c>
      <c r="AL230" s="79" t="b">
        <v>0</v>
      </c>
      <c r="AM230" s="79">
        <v>14</v>
      </c>
      <c r="AN230" s="85" t="s">
        <v>851</v>
      </c>
      <c r="AO230" s="85" t="s">
        <v>882</v>
      </c>
      <c r="AP230" s="79" t="b">
        <v>0</v>
      </c>
      <c r="AQ230" s="85" t="s">
        <v>851</v>
      </c>
      <c r="AR230" s="79" t="s">
        <v>177</v>
      </c>
      <c r="AS230" s="79">
        <v>0</v>
      </c>
      <c r="AT230" s="79">
        <v>0</v>
      </c>
      <c r="AU230" s="79"/>
      <c r="AV230" s="79"/>
      <c r="AW230" s="79"/>
      <c r="AX230" s="79"/>
      <c r="AY230" s="79"/>
      <c r="AZ230" s="79"/>
      <c r="BA230" s="79"/>
      <c r="BB230" s="79"/>
      <c r="BC230">
        <v>1</v>
      </c>
      <c r="BD230" s="78" t="str">
        <f>REPLACE(INDEX(GroupVertices[Group], MATCH(Edges[[#This Row],[Vertex 1]],GroupVertices[Vertex],0)),1,1,"")</f>
        <v>1</v>
      </c>
      <c r="BE230" s="78" t="str">
        <f>REPLACE(INDEX(GroupVertices[Group], MATCH(Edges[[#This Row],[Vertex 2]],GroupVertices[Vertex],0)),1,1,"")</f>
        <v>1</v>
      </c>
    </row>
    <row r="231" spans="1:57" x14ac:dyDescent="0.25">
      <c r="A231" s="64" t="s">
        <v>273</v>
      </c>
      <c r="B231" s="64" t="s">
        <v>298</v>
      </c>
      <c r="C231" s="65" t="s">
        <v>2101</v>
      </c>
      <c r="D231" s="66">
        <v>3</v>
      </c>
      <c r="E231" s="67"/>
      <c r="F231" s="68">
        <v>40</v>
      </c>
      <c r="G231" s="65"/>
      <c r="H231" s="69"/>
      <c r="I231" s="70"/>
      <c r="J231" s="70"/>
      <c r="K231" s="35" t="s">
        <v>65</v>
      </c>
      <c r="L231" s="77">
        <v>231</v>
      </c>
      <c r="M23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31" s="72"/>
      <c r="O231" s="79" t="s">
        <v>338</v>
      </c>
      <c r="P231" s="81">
        <v>44406.934930555559</v>
      </c>
      <c r="Q231" s="79" t="s">
        <v>373</v>
      </c>
      <c r="R231" s="79"/>
      <c r="S231" s="79"/>
      <c r="T231" s="85" t="s">
        <v>461</v>
      </c>
      <c r="U231" s="83" t="str">
        <f t="shared" si="4"/>
        <v>https://pbs.twimg.com/media/E7fhzF6XsAAoddH.jpg</v>
      </c>
      <c r="V231" s="83" t="str">
        <f t="shared" si="4"/>
        <v>https://pbs.twimg.com/media/E7fhzF6XsAAoddH.jpg</v>
      </c>
      <c r="W231" s="81">
        <v>44406.934930555559</v>
      </c>
      <c r="X231" s="87">
        <v>44406</v>
      </c>
      <c r="Y231" s="85" t="s">
        <v>584</v>
      </c>
      <c r="Z231" s="83" t="str">
        <f>HYPERLINK("https://twitter.com/julieworley14/status/1420873344078028805")</f>
        <v>https://twitter.com/julieworley14/status/1420873344078028805</v>
      </c>
      <c r="AA231" s="79"/>
      <c r="AB231" s="79"/>
      <c r="AC231" s="85" t="s">
        <v>763</v>
      </c>
      <c r="AD231" s="79"/>
      <c r="AE231" s="79" t="b">
        <v>0</v>
      </c>
      <c r="AF231" s="79">
        <v>0</v>
      </c>
      <c r="AG231" s="85" t="s">
        <v>867</v>
      </c>
      <c r="AH231" s="79" t="b">
        <v>0</v>
      </c>
      <c r="AI231" s="79" t="s">
        <v>874</v>
      </c>
      <c r="AJ231" s="79"/>
      <c r="AK231" s="85" t="s">
        <v>867</v>
      </c>
      <c r="AL231" s="79" t="b">
        <v>0</v>
      </c>
      <c r="AM231" s="79">
        <v>14</v>
      </c>
      <c r="AN231" s="85" t="s">
        <v>851</v>
      </c>
      <c r="AO231" s="85" t="s">
        <v>882</v>
      </c>
      <c r="AP231" s="79" t="b">
        <v>0</v>
      </c>
      <c r="AQ231" s="85" t="s">
        <v>851</v>
      </c>
      <c r="AR231" s="79" t="s">
        <v>177</v>
      </c>
      <c r="AS231" s="79">
        <v>0</v>
      </c>
      <c r="AT231" s="79">
        <v>0</v>
      </c>
      <c r="AU231" s="79"/>
      <c r="AV231" s="79"/>
      <c r="AW231" s="79"/>
      <c r="AX231" s="79"/>
      <c r="AY231" s="79"/>
      <c r="AZ231" s="79"/>
      <c r="BA231" s="79"/>
      <c r="BB231" s="79"/>
      <c r="BC231">
        <v>1</v>
      </c>
      <c r="BD231" s="78" t="str">
        <f>REPLACE(INDEX(GroupVertices[Group], MATCH(Edges[[#This Row],[Vertex 1]],GroupVertices[Vertex],0)),1,1,"")</f>
        <v>1</v>
      </c>
      <c r="BE231" s="78" t="str">
        <f>REPLACE(INDEX(GroupVertices[Group], MATCH(Edges[[#This Row],[Vertex 2]],GroupVertices[Vertex],0)),1,1,"")</f>
        <v>1</v>
      </c>
    </row>
    <row r="232" spans="1:57" x14ac:dyDescent="0.25">
      <c r="A232" s="64" t="s">
        <v>275</v>
      </c>
      <c r="B232" s="64" t="s">
        <v>298</v>
      </c>
      <c r="C232" s="65" t="s">
        <v>2101</v>
      </c>
      <c r="D232" s="66">
        <v>3</v>
      </c>
      <c r="E232" s="67"/>
      <c r="F232" s="68">
        <v>40</v>
      </c>
      <c r="G232" s="65"/>
      <c r="H232" s="69"/>
      <c r="I232" s="70"/>
      <c r="J232" s="70"/>
      <c r="K232" s="35" t="s">
        <v>65</v>
      </c>
      <c r="L232" s="77">
        <v>232</v>
      </c>
      <c r="M23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32" s="72"/>
      <c r="O232" s="79" t="s">
        <v>338</v>
      </c>
      <c r="P232" s="81">
        <v>44406.94740740741</v>
      </c>
      <c r="Q232" s="79" t="s">
        <v>373</v>
      </c>
      <c r="R232" s="79"/>
      <c r="S232" s="79"/>
      <c r="T232" s="85" t="s">
        <v>461</v>
      </c>
      <c r="U232" s="83" t="str">
        <f t="shared" si="4"/>
        <v>https://pbs.twimg.com/media/E7fhzF6XsAAoddH.jpg</v>
      </c>
      <c r="V232" s="83" t="str">
        <f t="shared" si="4"/>
        <v>https://pbs.twimg.com/media/E7fhzF6XsAAoddH.jpg</v>
      </c>
      <c r="W232" s="81">
        <v>44406.94740740741</v>
      </c>
      <c r="X232" s="87">
        <v>44406</v>
      </c>
      <c r="Y232" s="85" t="s">
        <v>586</v>
      </c>
      <c r="Z232" s="83" t="str">
        <f>HYPERLINK("https://twitter.com/danadlaurens/status/1420877864895979523")</f>
        <v>https://twitter.com/danadlaurens/status/1420877864895979523</v>
      </c>
      <c r="AA232" s="79"/>
      <c r="AB232" s="79"/>
      <c r="AC232" s="85" t="s">
        <v>766</v>
      </c>
      <c r="AD232" s="79"/>
      <c r="AE232" s="79" t="b">
        <v>0</v>
      </c>
      <c r="AF232" s="79">
        <v>0</v>
      </c>
      <c r="AG232" s="85" t="s">
        <v>867</v>
      </c>
      <c r="AH232" s="79" t="b">
        <v>0</v>
      </c>
      <c r="AI232" s="79" t="s">
        <v>874</v>
      </c>
      <c r="AJ232" s="79"/>
      <c r="AK232" s="85" t="s">
        <v>867</v>
      </c>
      <c r="AL232" s="79" t="b">
        <v>0</v>
      </c>
      <c r="AM232" s="79">
        <v>14</v>
      </c>
      <c r="AN232" s="85" t="s">
        <v>851</v>
      </c>
      <c r="AO232" s="85" t="s">
        <v>883</v>
      </c>
      <c r="AP232" s="79" t="b">
        <v>0</v>
      </c>
      <c r="AQ232" s="85" t="s">
        <v>851</v>
      </c>
      <c r="AR232" s="79" t="s">
        <v>177</v>
      </c>
      <c r="AS232" s="79">
        <v>0</v>
      </c>
      <c r="AT232" s="79">
        <v>0</v>
      </c>
      <c r="AU232" s="79"/>
      <c r="AV232" s="79"/>
      <c r="AW232" s="79"/>
      <c r="AX232" s="79"/>
      <c r="AY232" s="79"/>
      <c r="AZ232" s="79"/>
      <c r="BA232" s="79"/>
      <c r="BB232" s="79"/>
      <c r="BC232">
        <v>1</v>
      </c>
      <c r="BD232" s="78" t="str">
        <f>REPLACE(INDEX(GroupVertices[Group], MATCH(Edges[[#This Row],[Vertex 1]],GroupVertices[Vertex],0)),1,1,"")</f>
        <v>1</v>
      </c>
      <c r="BE232" s="78" t="str">
        <f>REPLACE(INDEX(GroupVertices[Group], MATCH(Edges[[#This Row],[Vertex 2]],GroupVertices[Vertex],0)),1,1,"")</f>
        <v>1</v>
      </c>
    </row>
    <row r="233" spans="1:57" x14ac:dyDescent="0.25">
      <c r="A233" s="64" t="s">
        <v>277</v>
      </c>
      <c r="B233" s="64" t="s">
        <v>298</v>
      </c>
      <c r="C233" s="65" t="s">
        <v>2101</v>
      </c>
      <c r="D233" s="66">
        <v>3</v>
      </c>
      <c r="E233" s="67"/>
      <c r="F233" s="68">
        <v>40</v>
      </c>
      <c r="G233" s="65"/>
      <c r="H233" s="69"/>
      <c r="I233" s="70"/>
      <c r="J233" s="70"/>
      <c r="K233" s="35" t="s">
        <v>65</v>
      </c>
      <c r="L233" s="77">
        <v>233</v>
      </c>
      <c r="M23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33" s="72"/>
      <c r="O233" s="79" t="s">
        <v>338</v>
      </c>
      <c r="P233" s="81">
        <v>44406.952615740738</v>
      </c>
      <c r="Q233" s="79" t="s">
        <v>373</v>
      </c>
      <c r="R233" s="79"/>
      <c r="S233" s="79"/>
      <c r="T233" s="85" t="s">
        <v>461</v>
      </c>
      <c r="U233" s="83" t="str">
        <f t="shared" si="4"/>
        <v>https://pbs.twimg.com/media/E7fhzF6XsAAoddH.jpg</v>
      </c>
      <c r="V233" s="83" t="str">
        <f t="shared" si="4"/>
        <v>https://pbs.twimg.com/media/E7fhzF6XsAAoddH.jpg</v>
      </c>
      <c r="W233" s="81">
        <v>44406.952615740738</v>
      </c>
      <c r="X233" s="87">
        <v>44406</v>
      </c>
      <c r="Y233" s="85" t="s">
        <v>588</v>
      </c>
      <c r="Z233" s="83" t="str">
        <f>HYPERLINK("https://twitter.com/perla_51/status/1420879751233814529")</f>
        <v>https://twitter.com/perla_51/status/1420879751233814529</v>
      </c>
      <c r="AA233" s="79"/>
      <c r="AB233" s="79"/>
      <c r="AC233" s="85" t="s">
        <v>768</v>
      </c>
      <c r="AD233" s="79"/>
      <c r="AE233" s="79" t="b">
        <v>0</v>
      </c>
      <c r="AF233" s="79">
        <v>0</v>
      </c>
      <c r="AG233" s="85" t="s">
        <v>867</v>
      </c>
      <c r="AH233" s="79" t="b">
        <v>0</v>
      </c>
      <c r="AI233" s="79" t="s">
        <v>874</v>
      </c>
      <c r="AJ233" s="79"/>
      <c r="AK233" s="85" t="s">
        <v>867</v>
      </c>
      <c r="AL233" s="79" t="b">
        <v>0</v>
      </c>
      <c r="AM233" s="79">
        <v>14</v>
      </c>
      <c r="AN233" s="85" t="s">
        <v>851</v>
      </c>
      <c r="AO233" s="85" t="s">
        <v>887</v>
      </c>
      <c r="AP233" s="79" t="b">
        <v>0</v>
      </c>
      <c r="AQ233" s="85" t="s">
        <v>851</v>
      </c>
      <c r="AR233" s="79" t="s">
        <v>177</v>
      </c>
      <c r="AS233" s="79">
        <v>0</v>
      </c>
      <c r="AT233" s="79">
        <v>0</v>
      </c>
      <c r="AU233" s="79"/>
      <c r="AV233" s="79"/>
      <c r="AW233" s="79"/>
      <c r="AX233" s="79"/>
      <c r="AY233" s="79"/>
      <c r="AZ233" s="79"/>
      <c r="BA233" s="79"/>
      <c r="BB233" s="79"/>
      <c r="BC233">
        <v>1</v>
      </c>
      <c r="BD233" s="78" t="str">
        <f>REPLACE(INDEX(GroupVertices[Group], MATCH(Edges[[#This Row],[Vertex 1]],GroupVertices[Vertex],0)),1,1,"")</f>
        <v>1</v>
      </c>
      <c r="BE233" s="78" t="str">
        <f>REPLACE(INDEX(GroupVertices[Group], MATCH(Edges[[#This Row],[Vertex 2]],GroupVertices[Vertex],0)),1,1,"")</f>
        <v>1</v>
      </c>
    </row>
    <row r="234" spans="1:57" x14ac:dyDescent="0.25">
      <c r="A234" s="64" t="s">
        <v>280</v>
      </c>
      <c r="B234" s="64" t="s">
        <v>298</v>
      </c>
      <c r="C234" s="65" t="s">
        <v>2101</v>
      </c>
      <c r="D234" s="66">
        <v>3</v>
      </c>
      <c r="E234" s="67"/>
      <c r="F234" s="68">
        <v>40</v>
      </c>
      <c r="G234" s="65"/>
      <c r="H234" s="69"/>
      <c r="I234" s="70"/>
      <c r="J234" s="70"/>
      <c r="K234" s="35" t="s">
        <v>65</v>
      </c>
      <c r="L234" s="77">
        <v>234</v>
      </c>
      <c r="M23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34" s="72"/>
      <c r="O234" s="79" t="s">
        <v>338</v>
      </c>
      <c r="P234" s="81">
        <v>44406.966400462959</v>
      </c>
      <c r="Q234" s="79" t="s">
        <v>373</v>
      </c>
      <c r="R234" s="79"/>
      <c r="S234" s="79"/>
      <c r="T234" s="85" t="s">
        <v>461</v>
      </c>
      <c r="U234" s="83" t="str">
        <f t="shared" si="4"/>
        <v>https://pbs.twimg.com/media/E7fhzF6XsAAoddH.jpg</v>
      </c>
      <c r="V234" s="83" t="str">
        <f t="shared" si="4"/>
        <v>https://pbs.twimg.com/media/E7fhzF6XsAAoddH.jpg</v>
      </c>
      <c r="W234" s="81">
        <v>44406.966400462959</v>
      </c>
      <c r="X234" s="87">
        <v>44406</v>
      </c>
      <c r="Y234" s="85" t="s">
        <v>593</v>
      </c>
      <c r="Z234" s="83" t="str">
        <f>HYPERLINK("https://twitter.com/tlharnisch/status/1420884747157446657")</f>
        <v>https://twitter.com/tlharnisch/status/1420884747157446657</v>
      </c>
      <c r="AA234" s="79"/>
      <c r="AB234" s="79"/>
      <c r="AC234" s="85" t="s">
        <v>773</v>
      </c>
      <c r="AD234" s="79"/>
      <c r="AE234" s="79" t="b">
        <v>0</v>
      </c>
      <c r="AF234" s="79">
        <v>0</v>
      </c>
      <c r="AG234" s="85" t="s">
        <v>867</v>
      </c>
      <c r="AH234" s="79" t="b">
        <v>0</v>
      </c>
      <c r="AI234" s="79" t="s">
        <v>874</v>
      </c>
      <c r="AJ234" s="79"/>
      <c r="AK234" s="85" t="s">
        <v>867</v>
      </c>
      <c r="AL234" s="79" t="b">
        <v>0</v>
      </c>
      <c r="AM234" s="79">
        <v>14</v>
      </c>
      <c r="AN234" s="85" t="s">
        <v>851</v>
      </c>
      <c r="AO234" s="85" t="s">
        <v>882</v>
      </c>
      <c r="AP234" s="79" t="b">
        <v>0</v>
      </c>
      <c r="AQ234" s="85" t="s">
        <v>851</v>
      </c>
      <c r="AR234" s="79" t="s">
        <v>177</v>
      </c>
      <c r="AS234" s="79">
        <v>0</v>
      </c>
      <c r="AT234" s="79">
        <v>0</v>
      </c>
      <c r="AU234" s="79"/>
      <c r="AV234" s="79"/>
      <c r="AW234" s="79"/>
      <c r="AX234" s="79"/>
      <c r="AY234" s="79"/>
      <c r="AZ234" s="79"/>
      <c r="BA234" s="79"/>
      <c r="BB234" s="79"/>
      <c r="BC234">
        <v>1</v>
      </c>
      <c r="BD234" s="78" t="str">
        <f>REPLACE(INDEX(GroupVertices[Group], MATCH(Edges[[#This Row],[Vertex 1]],GroupVertices[Vertex],0)),1,1,"")</f>
        <v>1</v>
      </c>
      <c r="BE234" s="78" t="str">
        <f>REPLACE(INDEX(GroupVertices[Group], MATCH(Edges[[#This Row],[Vertex 2]],GroupVertices[Vertex],0)),1,1,"")</f>
        <v>1</v>
      </c>
    </row>
    <row r="235" spans="1:57" x14ac:dyDescent="0.25">
      <c r="A235" s="64" t="s">
        <v>299</v>
      </c>
      <c r="B235" s="64" t="s">
        <v>298</v>
      </c>
      <c r="C235" s="65" t="s">
        <v>2101</v>
      </c>
      <c r="D235" s="66">
        <v>3</v>
      </c>
      <c r="E235" s="67"/>
      <c r="F235" s="68">
        <v>40</v>
      </c>
      <c r="G235" s="65"/>
      <c r="H235" s="69"/>
      <c r="I235" s="70"/>
      <c r="J235" s="70"/>
      <c r="K235" s="35" t="s">
        <v>65</v>
      </c>
      <c r="L235" s="77">
        <v>235</v>
      </c>
      <c r="M23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35" s="72"/>
      <c r="O235" s="79" t="s">
        <v>338</v>
      </c>
      <c r="P235" s="81">
        <v>44407.57172453704</v>
      </c>
      <c r="Q235" s="79" t="s">
        <v>373</v>
      </c>
      <c r="R235" s="79"/>
      <c r="S235" s="79"/>
      <c r="T235" s="85" t="s">
        <v>461</v>
      </c>
      <c r="U235" s="83" t="str">
        <f t="shared" si="4"/>
        <v>https://pbs.twimg.com/media/E7fhzF6XsAAoddH.jpg</v>
      </c>
      <c r="V235" s="83" t="str">
        <f t="shared" si="4"/>
        <v>https://pbs.twimg.com/media/E7fhzF6XsAAoddH.jpg</v>
      </c>
      <c r="W235" s="81">
        <v>44407.57172453704</v>
      </c>
      <c r="X235" s="87">
        <v>44407</v>
      </c>
      <c r="Y235" s="85" t="s">
        <v>673</v>
      </c>
      <c r="Z235" s="83" t="str">
        <f>HYPERLINK("https://twitter.com/mycencalwestop/status/1421104111060013059")</f>
        <v>https://twitter.com/mycencalwestop/status/1421104111060013059</v>
      </c>
      <c r="AA235" s="79"/>
      <c r="AB235" s="79"/>
      <c r="AC235" s="85" t="s">
        <v>853</v>
      </c>
      <c r="AD235" s="79"/>
      <c r="AE235" s="79" t="b">
        <v>0</v>
      </c>
      <c r="AF235" s="79">
        <v>0</v>
      </c>
      <c r="AG235" s="85" t="s">
        <v>867</v>
      </c>
      <c r="AH235" s="79" t="b">
        <v>0</v>
      </c>
      <c r="AI235" s="79" t="s">
        <v>874</v>
      </c>
      <c r="AJ235" s="79"/>
      <c r="AK235" s="85" t="s">
        <v>867</v>
      </c>
      <c r="AL235" s="79" t="b">
        <v>0</v>
      </c>
      <c r="AM235" s="79">
        <v>14</v>
      </c>
      <c r="AN235" s="85" t="s">
        <v>851</v>
      </c>
      <c r="AO235" s="85" t="s">
        <v>889</v>
      </c>
      <c r="AP235" s="79" t="b">
        <v>0</v>
      </c>
      <c r="AQ235" s="85" t="s">
        <v>851</v>
      </c>
      <c r="AR235" s="79" t="s">
        <v>177</v>
      </c>
      <c r="AS235" s="79">
        <v>0</v>
      </c>
      <c r="AT235" s="79">
        <v>0</v>
      </c>
      <c r="AU235" s="79"/>
      <c r="AV235" s="79"/>
      <c r="AW235" s="79"/>
      <c r="AX235" s="79"/>
      <c r="AY235" s="79"/>
      <c r="AZ235" s="79"/>
      <c r="BA235" s="79"/>
      <c r="BB235" s="79"/>
      <c r="BC235">
        <v>1</v>
      </c>
      <c r="BD235" s="78" t="str">
        <f>REPLACE(INDEX(GroupVertices[Group], MATCH(Edges[[#This Row],[Vertex 1]],GroupVertices[Vertex],0)),1,1,"")</f>
        <v>1</v>
      </c>
      <c r="BE235" s="78" t="str">
        <f>REPLACE(INDEX(GroupVertices[Group], MATCH(Edges[[#This Row],[Vertex 2]],GroupVertices[Vertex],0)),1,1,"")</f>
        <v>1</v>
      </c>
    </row>
    <row r="236" spans="1:57" x14ac:dyDescent="0.25">
      <c r="A236" s="64" t="s">
        <v>283</v>
      </c>
      <c r="B236" s="64" t="s">
        <v>298</v>
      </c>
      <c r="C236" s="65" t="s">
        <v>2101</v>
      </c>
      <c r="D236" s="66">
        <v>3</v>
      </c>
      <c r="E236" s="67"/>
      <c r="F236" s="68">
        <v>40</v>
      </c>
      <c r="G236" s="65"/>
      <c r="H236" s="69"/>
      <c r="I236" s="70"/>
      <c r="J236" s="70"/>
      <c r="K236" s="35" t="s">
        <v>65</v>
      </c>
      <c r="L236" s="77">
        <v>236</v>
      </c>
      <c r="M23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36" s="72"/>
      <c r="O236" s="79" t="s">
        <v>338</v>
      </c>
      <c r="P236" s="81">
        <v>44407.646527777775</v>
      </c>
      <c r="Q236" s="79" t="s">
        <v>373</v>
      </c>
      <c r="R236" s="79"/>
      <c r="S236" s="79"/>
      <c r="T236" s="85" t="s">
        <v>461</v>
      </c>
      <c r="U236" s="83" t="str">
        <f t="shared" si="4"/>
        <v>https://pbs.twimg.com/media/E7fhzF6XsAAoddH.jpg</v>
      </c>
      <c r="V236" s="83" t="str">
        <f t="shared" si="4"/>
        <v>https://pbs.twimg.com/media/E7fhzF6XsAAoddH.jpg</v>
      </c>
      <c r="W236" s="81">
        <v>44407.646527777775</v>
      </c>
      <c r="X236" s="87">
        <v>44407</v>
      </c>
      <c r="Y236" s="85" t="s">
        <v>596</v>
      </c>
      <c r="Z236" s="83" t="str">
        <f>HYPERLINK("https://twitter.com/msn100ms46/status/1421131218402246657")</f>
        <v>https://twitter.com/msn100ms46/status/1421131218402246657</v>
      </c>
      <c r="AA236" s="79"/>
      <c r="AB236" s="79"/>
      <c r="AC236" s="85" t="s">
        <v>776</v>
      </c>
      <c r="AD236" s="79"/>
      <c r="AE236" s="79" t="b">
        <v>0</v>
      </c>
      <c r="AF236" s="79">
        <v>0</v>
      </c>
      <c r="AG236" s="85" t="s">
        <v>867</v>
      </c>
      <c r="AH236" s="79" t="b">
        <v>0</v>
      </c>
      <c r="AI236" s="79" t="s">
        <v>874</v>
      </c>
      <c r="AJ236" s="79"/>
      <c r="AK236" s="85" t="s">
        <v>867</v>
      </c>
      <c r="AL236" s="79" t="b">
        <v>0</v>
      </c>
      <c r="AM236" s="79">
        <v>14</v>
      </c>
      <c r="AN236" s="85" t="s">
        <v>851</v>
      </c>
      <c r="AO236" s="85" t="s">
        <v>883</v>
      </c>
      <c r="AP236" s="79" t="b">
        <v>0</v>
      </c>
      <c r="AQ236" s="85" t="s">
        <v>851</v>
      </c>
      <c r="AR236" s="79" t="s">
        <v>177</v>
      </c>
      <c r="AS236" s="79">
        <v>0</v>
      </c>
      <c r="AT236" s="79">
        <v>0</v>
      </c>
      <c r="AU236" s="79"/>
      <c r="AV236" s="79"/>
      <c r="AW236" s="79"/>
      <c r="AX236" s="79"/>
      <c r="AY236" s="79"/>
      <c r="AZ236" s="79"/>
      <c r="BA236" s="79"/>
      <c r="BB236" s="79"/>
      <c r="BC236">
        <v>1</v>
      </c>
      <c r="BD236" s="78" t="str">
        <f>REPLACE(INDEX(GroupVertices[Group], MATCH(Edges[[#This Row],[Vertex 1]],GroupVertices[Vertex],0)),1,1,"")</f>
        <v>1</v>
      </c>
      <c r="BE236" s="78" t="str">
        <f>REPLACE(INDEX(GroupVertices[Group], MATCH(Edges[[#This Row],[Vertex 2]],GroupVertices[Vertex],0)),1,1,"")</f>
        <v>1</v>
      </c>
    </row>
    <row r="237" spans="1:57" x14ac:dyDescent="0.25">
      <c r="A237" s="64" t="s">
        <v>290</v>
      </c>
      <c r="B237" s="64" t="s">
        <v>298</v>
      </c>
      <c r="C237" s="65" t="s">
        <v>2101</v>
      </c>
      <c r="D237" s="66">
        <v>3</v>
      </c>
      <c r="E237" s="67"/>
      <c r="F237" s="68">
        <v>40</v>
      </c>
      <c r="G237" s="65"/>
      <c r="H237" s="69"/>
      <c r="I237" s="70"/>
      <c r="J237" s="70"/>
      <c r="K237" s="35" t="s">
        <v>65</v>
      </c>
      <c r="L237" s="77">
        <v>237</v>
      </c>
      <c r="M23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37" s="72"/>
      <c r="O237" s="79" t="s">
        <v>338</v>
      </c>
      <c r="P237" s="81">
        <v>44407.769409722219</v>
      </c>
      <c r="Q237" s="79" t="s">
        <v>373</v>
      </c>
      <c r="R237" s="79"/>
      <c r="S237" s="79"/>
      <c r="T237" s="85" t="s">
        <v>461</v>
      </c>
      <c r="U237" s="83" t="str">
        <f t="shared" si="4"/>
        <v>https://pbs.twimg.com/media/E7fhzF6XsAAoddH.jpg</v>
      </c>
      <c r="V237" s="83" t="str">
        <f t="shared" si="4"/>
        <v>https://pbs.twimg.com/media/E7fhzF6XsAAoddH.jpg</v>
      </c>
      <c r="W237" s="81">
        <v>44407.769409722219</v>
      </c>
      <c r="X237" s="87">
        <v>44407</v>
      </c>
      <c r="Y237" s="85" t="s">
        <v>625</v>
      </c>
      <c r="Z237" s="83" t="str">
        <f>HYPERLINK("https://twitter.com/444sai/status/1421175748602126336")</f>
        <v>https://twitter.com/444sai/status/1421175748602126336</v>
      </c>
      <c r="AA237" s="79"/>
      <c r="AB237" s="79"/>
      <c r="AC237" s="85" t="s">
        <v>805</v>
      </c>
      <c r="AD237" s="79"/>
      <c r="AE237" s="79" t="b">
        <v>0</v>
      </c>
      <c r="AF237" s="79">
        <v>0</v>
      </c>
      <c r="AG237" s="85" t="s">
        <v>867</v>
      </c>
      <c r="AH237" s="79" t="b">
        <v>0</v>
      </c>
      <c r="AI237" s="79" t="s">
        <v>874</v>
      </c>
      <c r="AJ237" s="79"/>
      <c r="AK237" s="85" t="s">
        <v>867</v>
      </c>
      <c r="AL237" s="79" t="b">
        <v>0</v>
      </c>
      <c r="AM237" s="79">
        <v>14</v>
      </c>
      <c r="AN237" s="85" t="s">
        <v>851</v>
      </c>
      <c r="AO237" s="85" t="s">
        <v>883</v>
      </c>
      <c r="AP237" s="79" t="b">
        <v>0</v>
      </c>
      <c r="AQ237" s="85" t="s">
        <v>851</v>
      </c>
      <c r="AR237" s="79" t="s">
        <v>177</v>
      </c>
      <c r="AS237" s="79">
        <v>0</v>
      </c>
      <c r="AT237" s="79">
        <v>0</v>
      </c>
      <c r="AU237" s="79"/>
      <c r="AV237" s="79"/>
      <c r="AW237" s="79"/>
      <c r="AX237" s="79"/>
      <c r="AY237" s="79"/>
      <c r="AZ237" s="79"/>
      <c r="BA237" s="79"/>
      <c r="BB237" s="79"/>
      <c r="BC237">
        <v>1</v>
      </c>
      <c r="BD237" s="78" t="str">
        <f>REPLACE(INDEX(GroupVertices[Group], MATCH(Edges[[#This Row],[Vertex 1]],GroupVertices[Vertex],0)),1,1,"")</f>
        <v>1</v>
      </c>
      <c r="BE237" s="78" t="str">
        <f>REPLACE(INDEX(GroupVertices[Group], MATCH(Edges[[#This Row],[Vertex 2]],GroupVertices[Vertex],0)),1,1,"")</f>
        <v>1</v>
      </c>
    </row>
    <row r="238" spans="1:57" x14ac:dyDescent="0.25">
      <c r="A238" s="64" t="s">
        <v>293</v>
      </c>
      <c r="B238" s="64" t="s">
        <v>298</v>
      </c>
      <c r="C238" s="65" t="s">
        <v>2101</v>
      </c>
      <c r="D238" s="66">
        <v>3</v>
      </c>
      <c r="E238" s="67"/>
      <c r="F238" s="68">
        <v>40</v>
      </c>
      <c r="G238" s="65"/>
      <c r="H238" s="69"/>
      <c r="I238" s="70"/>
      <c r="J238" s="70"/>
      <c r="K238" s="35" t="s">
        <v>65</v>
      </c>
      <c r="L238" s="77">
        <v>238</v>
      </c>
      <c r="M23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38" s="72"/>
      <c r="O238" s="79" t="s">
        <v>338</v>
      </c>
      <c r="P238" s="81">
        <v>44407.894363425927</v>
      </c>
      <c r="Q238" s="79" t="s">
        <v>373</v>
      </c>
      <c r="R238" s="79"/>
      <c r="S238" s="79"/>
      <c r="T238" s="85" t="s">
        <v>461</v>
      </c>
      <c r="U238" s="83" t="str">
        <f t="shared" si="4"/>
        <v>https://pbs.twimg.com/media/E7fhzF6XsAAoddH.jpg</v>
      </c>
      <c r="V238" s="83" t="str">
        <f t="shared" si="4"/>
        <v>https://pbs.twimg.com/media/E7fhzF6XsAAoddH.jpg</v>
      </c>
      <c r="W238" s="81">
        <v>44407.894363425927</v>
      </c>
      <c r="X238" s="87">
        <v>44407</v>
      </c>
      <c r="Y238" s="85" t="s">
        <v>633</v>
      </c>
      <c r="Z238" s="83" t="str">
        <f>HYPERLINK("https://twitter.com/nikolasvision/status/1421221030736154625")</f>
        <v>https://twitter.com/nikolasvision/status/1421221030736154625</v>
      </c>
      <c r="AA238" s="79"/>
      <c r="AB238" s="79"/>
      <c r="AC238" s="85" t="s">
        <v>813</v>
      </c>
      <c r="AD238" s="79"/>
      <c r="AE238" s="79" t="b">
        <v>0</v>
      </c>
      <c r="AF238" s="79">
        <v>0</v>
      </c>
      <c r="AG238" s="85" t="s">
        <v>867</v>
      </c>
      <c r="AH238" s="79" t="b">
        <v>0</v>
      </c>
      <c r="AI238" s="79" t="s">
        <v>874</v>
      </c>
      <c r="AJ238" s="79"/>
      <c r="AK238" s="85" t="s">
        <v>867</v>
      </c>
      <c r="AL238" s="79" t="b">
        <v>0</v>
      </c>
      <c r="AM238" s="79">
        <v>14</v>
      </c>
      <c r="AN238" s="85" t="s">
        <v>851</v>
      </c>
      <c r="AO238" s="85" t="s">
        <v>882</v>
      </c>
      <c r="AP238" s="79" t="b">
        <v>0</v>
      </c>
      <c r="AQ238" s="85" t="s">
        <v>851</v>
      </c>
      <c r="AR238" s="79" t="s">
        <v>177</v>
      </c>
      <c r="AS238" s="79">
        <v>0</v>
      </c>
      <c r="AT238" s="79">
        <v>0</v>
      </c>
      <c r="AU238" s="79"/>
      <c r="AV238" s="79"/>
      <c r="AW238" s="79"/>
      <c r="AX238" s="79"/>
      <c r="AY238" s="79"/>
      <c r="AZ238" s="79"/>
      <c r="BA238" s="79"/>
      <c r="BB238" s="79"/>
      <c r="BC238">
        <v>1</v>
      </c>
      <c r="BD238" s="78" t="str">
        <f>REPLACE(INDEX(GroupVertices[Group], MATCH(Edges[[#This Row],[Vertex 1]],GroupVertices[Vertex],0)),1,1,"")</f>
        <v>1</v>
      </c>
      <c r="BE238" s="78" t="str">
        <f>REPLACE(INDEX(GroupVertices[Group], MATCH(Edges[[#This Row],[Vertex 2]],GroupVertices[Vertex],0)),1,1,"")</f>
        <v>1</v>
      </c>
    </row>
    <row r="239" spans="1:57" x14ac:dyDescent="0.25">
      <c r="A239" s="64" t="s">
        <v>233</v>
      </c>
      <c r="B239" s="64" t="s">
        <v>232</v>
      </c>
      <c r="C239" s="65" t="s">
        <v>2101</v>
      </c>
      <c r="D239" s="66">
        <v>3</v>
      </c>
      <c r="E239" s="67"/>
      <c r="F239" s="68">
        <v>40</v>
      </c>
      <c r="G239" s="65"/>
      <c r="H239" s="69"/>
      <c r="I239" s="70"/>
      <c r="J239" s="70"/>
      <c r="K239" s="35" t="s">
        <v>65</v>
      </c>
      <c r="L239" s="77">
        <v>239</v>
      </c>
      <c r="M23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39" s="72"/>
      <c r="O239" s="79" t="s">
        <v>338</v>
      </c>
      <c r="P239" s="81">
        <v>44404.652627314812</v>
      </c>
      <c r="Q239" s="79" t="s">
        <v>352</v>
      </c>
      <c r="R239" s="79"/>
      <c r="S239" s="79"/>
      <c r="T239" s="85" t="s">
        <v>469</v>
      </c>
      <c r="U239" s="83" t="str">
        <f>HYPERLINK("https://pbs.twimg.com/media/E4HAellVcAI99lO.jpg")</f>
        <v>https://pbs.twimg.com/media/E4HAellVcAI99lO.jpg</v>
      </c>
      <c r="V239" s="83" t="str">
        <f>HYPERLINK("https://pbs.twimg.com/media/E4HAellVcAI99lO.jpg")</f>
        <v>https://pbs.twimg.com/media/E4HAellVcAI99lO.jpg</v>
      </c>
      <c r="W239" s="81">
        <v>44404.652627314812</v>
      </c>
      <c r="X239" s="87">
        <v>44404</v>
      </c>
      <c r="Y239" s="85" t="s">
        <v>526</v>
      </c>
      <c r="Z239" s="83" t="str">
        <f>HYPERLINK("https://twitter.com/swasaptrio/status/1420046266835275781")</f>
        <v>https://twitter.com/swasaptrio/status/1420046266835275781</v>
      </c>
      <c r="AA239" s="79"/>
      <c r="AB239" s="79"/>
      <c r="AC239" s="85" t="s">
        <v>703</v>
      </c>
      <c r="AD239" s="79"/>
      <c r="AE239" s="79" t="b">
        <v>0</v>
      </c>
      <c r="AF239" s="79">
        <v>0</v>
      </c>
      <c r="AG239" s="85" t="s">
        <v>867</v>
      </c>
      <c r="AH239" s="79" t="b">
        <v>0</v>
      </c>
      <c r="AI239" s="79" t="s">
        <v>874</v>
      </c>
      <c r="AJ239" s="79"/>
      <c r="AK239" s="85" t="s">
        <v>867</v>
      </c>
      <c r="AL239" s="79" t="b">
        <v>0</v>
      </c>
      <c r="AM239" s="79">
        <v>2</v>
      </c>
      <c r="AN239" s="85" t="s">
        <v>702</v>
      </c>
      <c r="AO239" s="85" t="s">
        <v>882</v>
      </c>
      <c r="AP239" s="79" t="b">
        <v>0</v>
      </c>
      <c r="AQ239" s="85" t="s">
        <v>702</v>
      </c>
      <c r="AR239" s="79" t="s">
        <v>177</v>
      </c>
      <c r="AS239" s="79">
        <v>0</v>
      </c>
      <c r="AT239" s="79">
        <v>0</v>
      </c>
      <c r="AU239" s="79"/>
      <c r="AV239" s="79"/>
      <c r="AW239" s="79"/>
      <c r="AX239" s="79"/>
      <c r="AY239" s="79"/>
      <c r="AZ239" s="79"/>
      <c r="BA239" s="79"/>
      <c r="BB239" s="79"/>
      <c r="BC239">
        <v>1</v>
      </c>
      <c r="BD239" s="78" t="str">
        <f>REPLACE(INDEX(GroupVertices[Group], MATCH(Edges[[#This Row],[Vertex 1]],GroupVertices[Vertex],0)),1,1,"")</f>
        <v>6</v>
      </c>
      <c r="BE239" s="78" t="str">
        <f>REPLACE(INDEX(GroupVertices[Group], MATCH(Edges[[#This Row],[Vertex 2]],GroupVertices[Vertex],0)),1,1,"")</f>
        <v>6</v>
      </c>
    </row>
    <row r="240" spans="1:57" x14ac:dyDescent="0.25">
      <c r="A240" s="64" t="s">
        <v>231</v>
      </c>
      <c r="B240" s="64" t="s">
        <v>304</v>
      </c>
      <c r="C240" s="65" t="s">
        <v>2101</v>
      </c>
      <c r="D240" s="66">
        <v>3</v>
      </c>
      <c r="E240" s="67"/>
      <c r="F240" s="68">
        <v>40</v>
      </c>
      <c r="G240" s="65"/>
      <c r="H240" s="69"/>
      <c r="I240" s="70"/>
      <c r="J240" s="70"/>
      <c r="K240" s="35" t="s">
        <v>65</v>
      </c>
      <c r="L240" s="77">
        <v>240</v>
      </c>
      <c r="M24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40" s="72"/>
      <c r="O240" s="79" t="s">
        <v>339</v>
      </c>
      <c r="P240" s="81">
        <v>44404.64403935185</v>
      </c>
      <c r="Q240" s="79" t="s">
        <v>351</v>
      </c>
      <c r="R240" s="79"/>
      <c r="S240" s="79"/>
      <c r="T240" s="85" t="s">
        <v>468</v>
      </c>
      <c r="U240" s="79"/>
      <c r="V240" s="83" t="str">
        <f>HYPERLINK("https://pbs.twimg.com/profile_images/867414285898723328/dHpvU7Q-_normal.jpg")</f>
        <v>https://pbs.twimg.com/profile_images/867414285898723328/dHpvU7Q-_normal.jpg</v>
      </c>
      <c r="W240" s="81">
        <v>44404.64403935185</v>
      </c>
      <c r="X240" s="87">
        <v>44404</v>
      </c>
      <c r="Y240" s="85" t="s">
        <v>525</v>
      </c>
      <c r="Z240" s="83" t="str">
        <f>HYPERLINK("https://twitter.com/rader_trader/status/1420043153533374466")</f>
        <v>https://twitter.com/rader_trader/status/1420043153533374466</v>
      </c>
      <c r="AA240" s="79"/>
      <c r="AB240" s="79"/>
      <c r="AC240" s="85" t="s">
        <v>701</v>
      </c>
      <c r="AD240" s="79"/>
      <c r="AE240" s="79" t="b">
        <v>0</v>
      </c>
      <c r="AF240" s="79">
        <v>2</v>
      </c>
      <c r="AG240" s="85" t="s">
        <v>867</v>
      </c>
      <c r="AH240" s="79" t="b">
        <v>0</v>
      </c>
      <c r="AI240" s="79" t="s">
        <v>874</v>
      </c>
      <c r="AJ240" s="79"/>
      <c r="AK240" s="85" t="s">
        <v>867</v>
      </c>
      <c r="AL240" s="79" t="b">
        <v>0</v>
      </c>
      <c r="AM240" s="79">
        <v>0</v>
      </c>
      <c r="AN240" s="85" t="s">
        <v>867</v>
      </c>
      <c r="AO240" s="85" t="s">
        <v>883</v>
      </c>
      <c r="AP240" s="79" t="b">
        <v>0</v>
      </c>
      <c r="AQ240" s="85" t="s">
        <v>701</v>
      </c>
      <c r="AR240" s="79" t="s">
        <v>177</v>
      </c>
      <c r="AS240" s="79">
        <v>0</v>
      </c>
      <c r="AT240" s="79">
        <v>0</v>
      </c>
      <c r="AU240" s="79"/>
      <c r="AV240" s="79"/>
      <c r="AW240" s="79"/>
      <c r="AX240" s="79"/>
      <c r="AY240" s="79"/>
      <c r="AZ240" s="79"/>
      <c r="BA240" s="79"/>
      <c r="BB240" s="79"/>
      <c r="BC240">
        <v>1</v>
      </c>
      <c r="BD240" s="78" t="str">
        <f>REPLACE(INDEX(GroupVertices[Group], MATCH(Edges[[#This Row],[Vertex 1]],GroupVertices[Vertex],0)),1,1,"")</f>
        <v>1</v>
      </c>
      <c r="BE240" s="78" t="str">
        <f>REPLACE(INDEX(GroupVertices[Group], MATCH(Edges[[#This Row],[Vertex 2]],GroupVertices[Vertex],0)),1,1,"")</f>
        <v>1</v>
      </c>
    </row>
    <row r="241" spans="1:57" x14ac:dyDescent="0.25">
      <c r="A241" s="64" t="s">
        <v>262</v>
      </c>
      <c r="B241" s="64" t="s">
        <v>304</v>
      </c>
      <c r="C241" s="65" t="s">
        <v>2101</v>
      </c>
      <c r="D241" s="66">
        <v>3</v>
      </c>
      <c r="E241" s="67"/>
      <c r="F241" s="68">
        <v>40</v>
      </c>
      <c r="G241" s="65"/>
      <c r="H241" s="69"/>
      <c r="I241" s="70"/>
      <c r="J241" s="70"/>
      <c r="K241" s="35" t="s">
        <v>65</v>
      </c>
      <c r="L241" s="77">
        <v>241</v>
      </c>
      <c r="M24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41" s="72"/>
      <c r="O241" s="79" t="s">
        <v>337</v>
      </c>
      <c r="P241" s="81">
        <v>44406.182662037034</v>
      </c>
      <c r="Q241" s="79" t="s">
        <v>365</v>
      </c>
      <c r="R241" s="79"/>
      <c r="S241" s="79"/>
      <c r="T241" s="85" t="s">
        <v>461</v>
      </c>
      <c r="U241" s="83" t="str">
        <f t="shared" ref="U241:V248" si="5">HYPERLINK("https://pbs.twimg.com/ext_tw_video_thumb/1420560954690088965/pu/img/mw30pB3lQf5fmFQ8.jpg")</f>
        <v>https://pbs.twimg.com/ext_tw_video_thumb/1420560954690088965/pu/img/mw30pB3lQf5fmFQ8.jpg</v>
      </c>
      <c r="V241" s="83" t="str">
        <f t="shared" si="5"/>
        <v>https://pbs.twimg.com/ext_tw_video_thumb/1420560954690088965/pu/img/mw30pB3lQf5fmFQ8.jpg</v>
      </c>
      <c r="W241" s="81">
        <v>44406.182662037034</v>
      </c>
      <c r="X241" s="87">
        <v>44406</v>
      </c>
      <c r="Y241" s="85" t="s">
        <v>560</v>
      </c>
      <c r="Z241" s="83" t="str">
        <f>HYPERLINK("https://twitter.com/jkkahlden/status/1420600732139524097")</f>
        <v>https://twitter.com/jkkahlden/status/1420600732139524097</v>
      </c>
      <c r="AA241" s="79"/>
      <c r="AB241" s="79"/>
      <c r="AC241" s="85" t="s">
        <v>739</v>
      </c>
      <c r="AD241" s="79"/>
      <c r="AE241" s="79" t="b">
        <v>0</v>
      </c>
      <c r="AF241" s="79">
        <v>0</v>
      </c>
      <c r="AG241" s="85" t="s">
        <v>867</v>
      </c>
      <c r="AH241" s="79" t="b">
        <v>0</v>
      </c>
      <c r="AI241" s="79" t="s">
        <v>874</v>
      </c>
      <c r="AJ241" s="79"/>
      <c r="AK241" s="85" t="s">
        <v>867</v>
      </c>
      <c r="AL241" s="79" t="b">
        <v>0</v>
      </c>
      <c r="AM241" s="79">
        <v>8</v>
      </c>
      <c r="AN241" s="85" t="s">
        <v>784</v>
      </c>
      <c r="AO241" s="85" t="s">
        <v>883</v>
      </c>
      <c r="AP241" s="79" t="b">
        <v>0</v>
      </c>
      <c r="AQ241" s="85" t="s">
        <v>784</v>
      </c>
      <c r="AR241" s="79" t="s">
        <v>177</v>
      </c>
      <c r="AS241" s="79">
        <v>0</v>
      </c>
      <c r="AT241" s="79">
        <v>0</v>
      </c>
      <c r="AU241" s="79"/>
      <c r="AV241" s="79"/>
      <c r="AW241" s="79"/>
      <c r="AX241" s="79"/>
      <c r="AY241" s="79"/>
      <c r="AZ241" s="79"/>
      <c r="BA241" s="79"/>
      <c r="BB241" s="79"/>
      <c r="BC241">
        <v>1</v>
      </c>
      <c r="BD241" s="78" t="str">
        <f>REPLACE(INDEX(GroupVertices[Group], MATCH(Edges[[#This Row],[Vertex 1]],GroupVertices[Vertex],0)),1,1,"")</f>
        <v>1</v>
      </c>
      <c r="BE241" s="78" t="str">
        <f>REPLACE(INDEX(GroupVertices[Group], MATCH(Edges[[#This Row],[Vertex 2]],GroupVertices[Vertex],0)),1,1,"")</f>
        <v>1</v>
      </c>
    </row>
    <row r="242" spans="1:57" x14ac:dyDescent="0.25">
      <c r="A242" s="64" t="s">
        <v>263</v>
      </c>
      <c r="B242" s="64" t="s">
        <v>304</v>
      </c>
      <c r="C242" s="65" t="s">
        <v>2101</v>
      </c>
      <c r="D242" s="66">
        <v>3</v>
      </c>
      <c r="E242" s="67"/>
      <c r="F242" s="68">
        <v>40</v>
      </c>
      <c r="G242" s="65"/>
      <c r="H242" s="69"/>
      <c r="I242" s="70"/>
      <c r="J242" s="70"/>
      <c r="K242" s="35" t="s">
        <v>65</v>
      </c>
      <c r="L242" s="77">
        <v>242</v>
      </c>
      <c r="M24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42" s="72"/>
      <c r="O242" s="79" t="s">
        <v>337</v>
      </c>
      <c r="P242" s="81">
        <v>44406.183032407411</v>
      </c>
      <c r="Q242" s="79" t="s">
        <v>365</v>
      </c>
      <c r="R242" s="79"/>
      <c r="S242" s="79"/>
      <c r="T242" s="85" t="s">
        <v>461</v>
      </c>
      <c r="U242" s="83" t="str">
        <f t="shared" si="5"/>
        <v>https://pbs.twimg.com/ext_tw_video_thumb/1420560954690088965/pu/img/mw30pB3lQf5fmFQ8.jpg</v>
      </c>
      <c r="V242" s="83" t="str">
        <f t="shared" si="5"/>
        <v>https://pbs.twimg.com/ext_tw_video_thumb/1420560954690088965/pu/img/mw30pB3lQf5fmFQ8.jpg</v>
      </c>
      <c r="W242" s="81">
        <v>44406.183032407411</v>
      </c>
      <c r="X242" s="87">
        <v>44406</v>
      </c>
      <c r="Y242" s="85" t="s">
        <v>561</v>
      </c>
      <c r="Z242" s="83" t="str">
        <f>HYPERLINK("https://twitter.com/cory_lemay/status/1420600866482974721")</f>
        <v>https://twitter.com/cory_lemay/status/1420600866482974721</v>
      </c>
      <c r="AA242" s="79"/>
      <c r="AB242" s="79"/>
      <c r="AC242" s="85" t="s">
        <v>740</v>
      </c>
      <c r="AD242" s="79"/>
      <c r="AE242" s="79" t="b">
        <v>0</v>
      </c>
      <c r="AF242" s="79">
        <v>0</v>
      </c>
      <c r="AG242" s="85" t="s">
        <v>867</v>
      </c>
      <c r="AH242" s="79" t="b">
        <v>0</v>
      </c>
      <c r="AI242" s="79" t="s">
        <v>874</v>
      </c>
      <c r="AJ242" s="79"/>
      <c r="AK242" s="85" t="s">
        <v>867</v>
      </c>
      <c r="AL242" s="79" t="b">
        <v>0</v>
      </c>
      <c r="AM242" s="79">
        <v>8</v>
      </c>
      <c r="AN242" s="85" t="s">
        <v>784</v>
      </c>
      <c r="AO242" s="85" t="s">
        <v>882</v>
      </c>
      <c r="AP242" s="79" t="b">
        <v>0</v>
      </c>
      <c r="AQ242" s="85" t="s">
        <v>784</v>
      </c>
      <c r="AR242" s="79" t="s">
        <v>177</v>
      </c>
      <c r="AS242" s="79">
        <v>0</v>
      </c>
      <c r="AT242" s="79">
        <v>0</v>
      </c>
      <c r="AU242" s="79"/>
      <c r="AV242" s="79"/>
      <c r="AW242" s="79"/>
      <c r="AX242" s="79"/>
      <c r="AY242" s="79"/>
      <c r="AZ242" s="79"/>
      <c r="BA242" s="79"/>
      <c r="BB242" s="79"/>
      <c r="BC242">
        <v>1</v>
      </c>
      <c r="BD242" s="78" t="str">
        <f>REPLACE(INDEX(GroupVertices[Group], MATCH(Edges[[#This Row],[Vertex 1]],GroupVertices[Vertex],0)),1,1,"")</f>
        <v>1</v>
      </c>
      <c r="BE242" s="78" t="str">
        <f>REPLACE(INDEX(GroupVertices[Group], MATCH(Edges[[#This Row],[Vertex 2]],GroupVertices[Vertex],0)),1,1,"")</f>
        <v>1</v>
      </c>
    </row>
    <row r="243" spans="1:57" x14ac:dyDescent="0.25">
      <c r="A243" s="64" t="s">
        <v>264</v>
      </c>
      <c r="B243" s="64" t="s">
        <v>304</v>
      </c>
      <c r="C243" s="65" t="s">
        <v>2101</v>
      </c>
      <c r="D243" s="66">
        <v>3</v>
      </c>
      <c r="E243" s="67"/>
      <c r="F243" s="68">
        <v>40</v>
      </c>
      <c r="G243" s="65"/>
      <c r="H243" s="69"/>
      <c r="I243" s="70"/>
      <c r="J243" s="70"/>
      <c r="K243" s="35" t="s">
        <v>65</v>
      </c>
      <c r="L243" s="77">
        <v>243</v>
      </c>
      <c r="M24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43" s="72"/>
      <c r="O243" s="79" t="s">
        <v>337</v>
      </c>
      <c r="P243" s="81">
        <v>44406.594548611109</v>
      </c>
      <c r="Q243" s="79" t="s">
        <v>365</v>
      </c>
      <c r="R243" s="79"/>
      <c r="S243" s="79"/>
      <c r="T243" s="85" t="s">
        <v>461</v>
      </c>
      <c r="U243" s="83" t="str">
        <f t="shared" si="5"/>
        <v>https://pbs.twimg.com/ext_tw_video_thumb/1420560954690088965/pu/img/mw30pB3lQf5fmFQ8.jpg</v>
      </c>
      <c r="V243" s="83" t="str">
        <f t="shared" si="5"/>
        <v>https://pbs.twimg.com/ext_tw_video_thumb/1420560954690088965/pu/img/mw30pB3lQf5fmFQ8.jpg</v>
      </c>
      <c r="W243" s="81">
        <v>44406.594548611109</v>
      </c>
      <c r="X243" s="87">
        <v>44406</v>
      </c>
      <c r="Y243" s="85" t="s">
        <v>562</v>
      </c>
      <c r="Z243" s="83" t="str">
        <f>HYPERLINK("https://twitter.com/upward_boundesu/status/1420749992285724675")</f>
        <v>https://twitter.com/upward_boundesu/status/1420749992285724675</v>
      </c>
      <c r="AA243" s="79"/>
      <c r="AB243" s="79"/>
      <c r="AC243" s="85" t="s">
        <v>741</v>
      </c>
      <c r="AD243" s="79"/>
      <c r="AE243" s="79" t="b">
        <v>0</v>
      </c>
      <c r="AF243" s="79">
        <v>0</v>
      </c>
      <c r="AG243" s="85" t="s">
        <v>867</v>
      </c>
      <c r="AH243" s="79" t="b">
        <v>0</v>
      </c>
      <c r="AI243" s="79" t="s">
        <v>874</v>
      </c>
      <c r="AJ243" s="79"/>
      <c r="AK243" s="85" t="s">
        <v>867</v>
      </c>
      <c r="AL243" s="79" t="b">
        <v>0</v>
      </c>
      <c r="AM243" s="79">
        <v>8</v>
      </c>
      <c r="AN243" s="85" t="s">
        <v>784</v>
      </c>
      <c r="AO243" s="85" t="s">
        <v>882</v>
      </c>
      <c r="AP243" s="79" t="b">
        <v>0</v>
      </c>
      <c r="AQ243" s="85" t="s">
        <v>784</v>
      </c>
      <c r="AR243" s="79" t="s">
        <v>177</v>
      </c>
      <c r="AS243" s="79">
        <v>0</v>
      </c>
      <c r="AT243" s="79">
        <v>0</v>
      </c>
      <c r="AU243" s="79"/>
      <c r="AV243" s="79"/>
      <c r="AW243" s="79"/>
      <c r="AX243" s="79"/>
      <c r="AY243" s="79"/>
      <c r="AZ243" s="79"/>
      <c r="BA243" s="79"/>
      <c r="BB243" s="79"/>
      <c r="BC243">
        <v>1</v>
      </c>
      <c r="BD243" s="78" t="str">
        <f>REPLACE(INDEX(GroupVertices[Group], MATCH(Edges[[#This Row],[Vertex 1]],GroupVertices[Vertex],0)),1,1,"")</f>
        <v>1</v>
      </c>
      <c r="BE243" s="78" t="str">
        <f>REPLACE(INDEX(GroupVertices[Group], MATCH(Edges[[#This Row],[Vertex 2]],GroupVertices[Vertex],0)),1,1,"")</f>
        <v>1</v>
      </c>
    </row>
    <row r="244" spans="1:57" x14ac:dyDescent="0.25">
      <c r="A244" s="64" t="s">
        <v>274</v>
      </c>
      <c r="B244" s="64" t="s">
        <v>304</v>
      </c>
      <c r="C244" s="65" t="s">
        <v>2101</v>
      </c>
      <c r="D244" s="66">
        <v>3</v>
      </c>
      <c r="E244" s="67"/>
      <c r="F244" s="68">
        <v>40</v>
      </c>
      <c r="G244" s="65"/>
      <c r="H244" s="69"/>
      <c r="I244" s="70"/>
      <c r="J244" s="70"/>
      <c r="K244" s="35" t="s">
        <v>65</v>
      </c>
      <c r="L244" s="77">
        <v>244</v>
      </c>
      <c r="M24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44" s="72"/>
      <c r="O244" s="79" t="s">
        <v>337</v>
      </c>
      <c r="P244" s="81">
        <v>44406.942465277774</v>
      </c>
      <c r="Q244" s="79" t="s">
        <v>365</v>
      </c>
      <c r="R244" s="79"/>
      <c r="S244" s="79"/>
      <c r="T244" s="85" t="s">
        <v>461</v>
      </c>
      <c r="U244" s="83" t="str">
        <f t="shared" si="5"/>
        <v>https://pbs.twimg.com/ext_tw_video_thumb/1420560954690088965/pu/img/mw30pB3lQf5fmFQ8.jpg</v>
      </c>
      <c r="V244" s="83" t="str">
        <f t="shared" si="5"/>
        <v>https://pbs.twimg.com/ext_tw_video_thumb/1420560954690088965/pu/img/mw30pB3lQf5fmFQ8.jpg</v>
      </c>
      <c r="W244" s="81">
        <v>44406.942465277774</v>
      </c>
      <c r="X244" s="87">
        <v>44406</v>
      </c>
      <c r="Y244" s="85" t="s">
        <v>585</v>
      </c>
      <c r="Z244" s="83" t="str">
        <f>HYPERLINK("https://twitter.com/kjcounsel/status/1420876074184060928")</f>
        <v>https://twitter.com/kjcounsel/status/1420876074184060928</v>
      </c>
      <c r="AA244" s="79"/>
      <c r="AB244" s="79"/>
      <c r="AC244" s="85" t="s">
        <v>765</v>
      </c>
      <c r="AD244" s="79"/>
      <c r="AE244" s="79" t="b">
        <v>0</v>
      </c>
      <c r="AF244" s="79">
        <v>0</v>
      </c>
      <c r="AG244" s="85" t="s">
        <v>867</v>
      </c>
      <c r="AH244" s="79" t="b">
        <v>0</v>
      </c>
      <c r="AI244" s="79" t="s">
        <v>874</v>
      </c>
      <c r="AJ244" s="79"/>
      <c r="AK244" s="85" t="s">
        <v>867</v>
      </c>
      <c r="AL244" s="79" t="b">
        <v>0</v>
      </c>
      <c r="AM244" s="79">
        <v>8</v>
      </c>
      <c r="AN244" s="85" t="s">
        <v>784</v>
      </c>
      <c r="AO244" s="85" t="s">
        <v>883</v>
      </c>
      <c r="AP244" s="79" t="b">
        <v>0</v>
      </c>
      <c r="AQ244" s="85" t="s">
        <v>784</v>
      </c>
      <c r="AR244" s="79" t="s">
        <v>177</v>
      </c>
      <c r="AS244" s="79">
        <v>0</v>
      </c>
      <c r="AT244" s="79">
        <v>0</v>
      </c>
      <c r="AU244" s="79"/>
      <c r="AV244" s="79"/>
      <c r="AW244" s="79"/>
      <c r="AX244" s="79"/>
      <c r="AY244" s="79"/>
      <c r="AZ244" s="79"/>
      <c r="BA244" s="79"/>
      <c r="BB244" s="79"/>
      <c r="BC244">
        <v>1</v>
      </c>
      <c r="BD244" s="78" t="str">
        <f>REPLACE(INDEX(GroupVertices[Group], MATCH(Edges[[#This Row],[Vertex 1]],GroupVertices[Vertex],0)),1,1,"")</f>
        <v>6</v>
      </c>
      <c r="BE244" s="78" t="str">
        <f>REPLACE(INDEX(GroupVertices[Group], MATCH(Edges[[#This Row],[Vertex 2]],GroupVertices[Vertex],0)),1,1,"")</f>
        <v>1</v>
      </c>
    </row>
    <row r="245" spans="1:57" x14ac:dyDescent="0.25">
      <c r="A245" s="64" t="s">
        <v>276</v>
      </c>
      <c r="B245" s="64" t="s">
        <v>304</v>
      </c>
      <c r="C245" s="65" t="s">
        <v>2101</v>
      </c>
      <c r="D245" s="66">
        <v>3</v>
      </c>
      <c r="E245" s="67"/>
      <c r="F245" s="68">
        <v>40</v>
      </c>
      <c r="G245" s="65"/>
      <c r="H245" s="69"/>
      <c r="I245" s="70"/>
      <c r="J245" s="70"/>
      <c r="K245" s="35" t="s">
        <v>65</v>
      </c>
      <c r="L245" s="77">
        <v>245</v>
      </c>
      <c r="M24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45" s="72"/>
      <c r="O245" s="79" t="s">
        <v>337</v>
      </c>
      <c r="P245" s="81">
        <v>44406.95076388889</v>
      </c>
      <c r="Q245" s="79" t="s">
        <v>365</v>
      </c>
      <c r="R245" s="79"/>
      <c r="S245" s="79"/>
      <c r="T245" s="85" t="s">
        <v>461</v>
      </c>
      <c r="U245" s="83" t="str">
        <f t="shared" si="5"/>
        <v>https://pbs.twimg.com/ext_tw_video_thumb/1420560954690088965/pu/img/mw30pB3lQf5fmFQ8.jpg</v>
      </c>
      <c r="V245" s="83" t="str">
        <f t="shared" si="5"/>
        <v>https://pbs.twimg.com/ext_tw_video_thumb/1420560954690088965/pu/img/mw30pB3lQf5fmFQ8.jpg</v>
      </c>
      <c r="W245" s="81">
        <v>44406.95076388889</v>
      </c>
      <c r="X245" s="87">
        <v>44406</v>
      </c>
      <c r="Y245" s="85" t="s">
        <v>587</v>
      </c>
      <c r="Z245" s="83" t="str">
        <f>HYPERLINK("https://twitter.com/independantdemo/status/1420879083693436928")</f>
        <v>https://twitter.com/independantdemo/status/1420879083693436928</v>
      </c>
      <c r="AA245" s="79"/>
      <c r="AB245" s="79"/>
      <c r="AC245" s="85" t="s">
        <v>767</v>
      </c>
      <c r="AD245" s="79"/>
      <c r="AE245" s="79" t="b">
        <v>0</v>
      </c>
      <c r="AF245" s="79">
        <v>0</v>
      </c>
      <c r="AG245" s="85" t="s">
        <v>867</v>
      </c>
      <c r="AH245" s="79" t="b">
        <v>0</v>
      </c>
      <c r="AI245" s="79" t="s">
        <v>874</v>
      </c>
      <c r="AJ245" s="79"/>
      <c r="AK245" s="85" t="s">
        <v>867</v>
      </c>
      <c r="AL245" s="79" t="b">
        <v>0</v>
      </c>
      <c r="AM245" s="79">
        <v>8</v>
      </c>
      <c r="AN245" s="85" t="s">
        <v>784</v>
      </c>
      <c r="AO245" s="85" t="s">
        <v>883</v>
      </c>
      <c r="AP245" s="79" t="b">
        <v>0</v>
      </c>
      <c r="AQ245" s="85" t="s">
        <v>784</v>
      </c>
      <c r="AR245" s="79" t="s">
        <v>177</v>
      </c>
      <c r="AS245" s="79">
        <v>0</v>
      </c>
      <c r="AT245" s="79">
        <v>0</v>
      </c>
      <c r="AU245" s="79"/>
      <c r="AV245" s="79"/>
      <c r="AW245" s="79"/>
      <c r="AX245" s="79"/>
      <c r="AY245" s="79"/>
      <c r="AZ245" s="79"/>
      <c r="BA245" s="79"/>
      <c r="BB245" s="79"/>
      <c r="BC245">
        <v>1</v>
      </c>
      <c r="BD245" s="78" t="str">
        <f>REPLACE(INDEX(GroupVertices[Group], MATCH(Edges[[#This Row],[Vertex 1]],GroupVertices[Vertex],0)),1,1,"")</f>
        <v>1</v>
      </c>
      <c r="BE245" s="78" t="str">
        <f>REPLACE(INDEX(GroupVertices[Group], MATCH(Edges[[#This Row],[Vertex 2]],GroupVertices[Vertex],0)),1,1,"")</f>
        <v>1</v>
      </c>
    </row>
    <row r="246" spans="1:57" x14ac:dyDescent="0.25">
      <c r="A246" s="64" t="s">
        <v>278</v>
      </c>
      <c r="B246" s="64" t="s">
        <v>304</v>
      </c>
      <c r="C246" s="65" t="s">
        <v>2101</v>
      </c>
      <c r="D246" s="66">
        <v>3</v>
      </c>
      <c r="E246" s="67"/>
      <c r="F246" s="68">
        <v>40</v>
      </c>
      <c r="G246" s="65"/>
      <c r="H246" s="69"/>
      <c r="I246" s="70"/>
      <c r="J246" s="70"/>
      <c r="K246" s="35" t="s">
        <v>65</v>
      </c>
      <c r="L246" s="77">
        <v>246</v>
      </c>
      <c r="M24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46" s="72"/>
      <c r="O246" s="79" t="s">
        <v>337</v>
      </c>
      <c r="P246" s="81">
        <v>44406.953831018516</v>
      </c>
      <c r="Q246" s="79" t="s">
        <v>365</v>
      </c>
      <c r="R246" s="79"/>
      <c r="S246" s="79"/>
      <c r="T246" s="85" t="s">
        <v>461</v>
      </c>
      <c r="U246" s="83" t="str">
        <f t="shared" si="5"/>
        <v>https://pbs.twimg.com/ext_tw_video_thumb/1420560954690088965/pu/img/mw30pB3lQf5fmFQ8.jpg</v>
      </c>
      <c r="V246" s="83" t="str">
        <f t="shared" si="5"/>
        <v>https://pbs.twimg.com/ext_tw_video_thumb/1420560954690088965/pu/img/mw30pB3lQf5fmFQ8.jpg</v>
      </c>
      <c r="W246" s="81">
        <v>44406.953831018516</v>
      </c>
      <c r="X246" s="87">
        <v>44406</v>
      </c>
      <c r="Y246" s="85" t="s">
        <v>589</v>
      </c>
      <c r="Z246" s="83" t="str">
        <f>HYPERLINK("https://twitter.com/mickeybellet/status/1420880191577001985")</f>
        <v>https://twitter.com/mickeybellet/status/1420880191577001985</v>
      </c>
      <c r="AA246" s="79"/>
      <c r="AB246" s="79"/>
      <c r="AC246" s="85" t="s">
        <v>769</v>
      </c>
      <c r="AD246" s="79"/>
      <c r="AE246" s="79" t="b">
        <v>0</v>
      </c>
      <c r="AF246" s="79">
        <v>0</v>
      </c>
      <c r="AG246" s="85" t="s">
        <v>867</v>
      </c>
      <c r="AH246" s="79" t="b">
        <v>0</v>
      </c>
      <c r="AI246" s="79" t="s">
        <v>874</v>
      </c>
      <c r="AJ246" s="79"/>
      <c r="AK246" s="85" t="s">
        <v>867</v>
      </c>
      <c r="AL246" s="79" t="b">
        <v>0</v>
      </c>
      <c r="AM246" s="79">
        <v>8</v>
      </c>
      <c r="AN246" s="85" t="s">
        <v>784</v>
      </c>
      <c r="AO246" s="85" t="s">
        <v>887</v>
      </c>
      <c r="AP246" s="79" t="b">
        <v>0</v>
      </c>
      <c r="AQ246" s="85" t="s">
        <v>784</v>
      </c>
      <c r="AR246" s="79" t="s">
        <v>177</v>
      </c>
      <c r="AS246" s="79">
        <v>0</v>
      </c>
      <c r="AT246" s="79">
        <v>0</v>
      </c>
      <c r="AU246" s="79"/>
      <c r="AV246" s="79"/>
      <c r="AW246" s="79"/>
      <c r="AX246" s="79"/>
      <c r="AY246" s="79"/>
      <c r="AZ246" s="79"/>
      <c r="BA246" s="79"/>
      <c r="BB246" s="79"/>
      <c r="BC246">
        <v>1</v>
      </c>
      <c r="BD246" s="78" t="str">
        <f>REPLACE(INDEX(GroupVertices[Group], MATCH(Edges[[#This Row],[Vertex 1]],GroupVertices[Vertex],0)),1,1,"")</f>
        <v>1</v>
      </c>
      <c r="BE246" s="78" t="str">
        <f>REPLACE(INDEX(GroupVertices[Group], MATCH(Edges[[#This Row],[Vertex 2]],GroupVertices[Vertex],0)),1,1,"")</f>
        <v>1</v>
      </c>
    </row>
    <row r="247" spans="1:57" x14ac:dyDescent="0.25">
      <c r="A247" s="64" t="s">
        <v>281</v>
      </c>
      <c r="B247" s="64" t="s">
        <v>304</v>
      </c>
      <c r="C247" s="65" t="s">
        <v>2101</v>
      </c>
      <c r="D247" s="66">
        <v>3</v>
      </c>
      <c r="E247" s="67"/>
      <c r="F247" s="68">
        <v>40</v>
      </c>
      <c r="G247" s="65"/>
      <c r="H247" s="69"/>
      <c r="I247" s="70"/>
      <c r="J247" s="70"/>
      <c r="K247" s="35" t="s">
        <v>65</v>
      </c>
      <c r="L247" s="77">
        <v>247</v>
      </c>
      <c r="M24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47" s="72"/>
      <c r="O247" s="79" t="s">
        <v>337</v>
      </c>
      <c r="P247" s="81">
        <v>44406.986979166664</v>
      </c>
      <c r="Q247" s="79" t="s">
        <v>365</v>
      </c>
      <c r="R247" s="79"/>
      <c r="S247" s="79"/>
      <c r="T247" s="85" t="s">
        <v>461</v>
      </c>
      <c r="U247" s="83" t="str">
        <f t="shared" si="5"/>
        <v>https://pbs.twimg.com/ext_tw_video_thumb/1420560954690088965/pu/img/mw30pB3lQf5fmFQ8.jpg</v>
      </c>
      <c r="V247" s="83" t="str">
        <f t="shared" si="5"/>
        <v>https://pbs.twimg.com/ext_tw_video_thumb/1420560954690088965/pu/img/mw30pB3lQf5fmFQ8.jpg</v>
      </c>
      <c r="W247" s="81">
        <v>44406.986979166664</v>
      </c>
      <c r="X247" s="87">
        <v>44406</v>
      </c>
      <c r="Y247" s="85" t="s">
        <v>594</v>
      </c>
      <c r="Z247" s="83" t="str">
        <f>HYPERLINK("https://twitter.com/divinelyteressa/status/1420892207108825094")</f>
        <v>https://twitter.com/divinelyteressa/status/1420892207108825094</v>
      </c>
      <c r="AA247" s="79"/>
      <c r="AB247" s="79"/>
      <c r="AC247" s="85" t="s">
        <v>774</v>
      </c>
      <c r="AD247" s="79"/>
      <c r="AE247" s="79" t="b">
        <v>0</v>
      </c>
      <c r="AF247" s="79">
        <v>0</v>
      </c>
      <c r="AG247" s="85" t="s">
        <v>867</v>
      </c>
      <c r="AH247" s="79" t="b">
        <v>0</v>
      </c>
      <c r="AI247" s="79" t="s">
        <v>874</v>
      </c>
      <c r="AJ247" s="79"/>
      <c r="AK247" s="85" t="s">
        <v>867</v>
      </c>
      <c r="AL247" s="79" t="b">
        <v>0</v>
      </c>
      <c r="AM247" s="79">
        <v>8</v>
      </c>
      <c r="AN247" s="85" t="s">
        <v>784</v>
      </c>
      <c r="AO247" s="85" t="s">
        <v>883</v>
      </c>
      <c r="AP247" s="79" t="b">
        <v>0</v>
      </c>
      <c r="AQ247" s="85" t="s">
        <v>784</v>
      </c>
      <c r="AR247" s="79" t="s">
        <v>177</v>
      </c>
      <c r="AS247" s="79">
        <v>0</v>
      </c>
      <c r="AT247" s="79">
        <v>0</v>
      </c>
      <c r="AU247" s="79"/>
      <c r="AV247" s="79"/>
      <c r="AW247" s="79"/>
      <c r="AX247" s="79"/>
      <c r="AY247" s="79"/>
      <c r="AZ247" s="79"/>
      <c r="BA247" s="79"/>
      <c r="BB247" s="79"/>
      <c r="BC247">
        <v>1</v>
      </c>
      <c r="BD247" s="78" t="str">
        <f>REPLACE(INDEX(GroupVertices[Group], MATCH(Edges[[#This Row],[Vertex 1]],GroupVertices[Vertex],0)),1,1,"")</f>
        <v>1</v>
      </c>
      <c r="BE247" s="78" t="str">
        <f>REPLACE(INDEX(GroupVertices[Group], MATCH(Edges[[#This Row],[Vertex 2]],GroupVertices[Vertex],0)),1,1,"")</f>
        <v>1</v>
      </c>
    </row>
    <row r="248" spans="1:57" x14ac:dyDescent="0.25">
      <c r="A248" s="64" t="s">
        <v>282</v>
      </c>
      <c r="B248" s="64" t="s">
        <v>304</v>
      </c>
      <c r="C248" s="65" t="s">
        <v>2101</v>
      </c>
      <c r="D248" s="66">
        <v>3</v>
      </c>
      <c r="E248" s="67"/>
      <c r="F248" s="68">
        <v>40</v>
      </c>
      <c r="G248" s="65"/>
      <c r="H248" s="69"/>
      <c r="I248" s="70"/>
      <c r="J248" s="70"/>
      <c r="K248" s="35" t="s">
        <v>65</v>
      </c>
      <c r="L248" s="77">
        <v>248</v>
      </c>
      <c r="M24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48" s="72"/>
      <c r="O248" s="79" t="s">
        <v>337</v>
      </c>
      <c r="P248" s="81">
        <v>44407.096400462964</v>
      </c>
      <c r="Q248" s="79" t="s">
        <v>365</v>
      </c>
      <c r="R248" s="79"/>
      <c r="S248" s="79"/>
      <c r="T248" s="85" t="s">
        <v>461</v>
      </c>
      <c r="U248" s="83" t="str">
        <f t="shared" si="5"/>
        <v>https://pbs.twimg.com/ext_tw_video_thumb/1420560954690088965/pu/img/mw30pB3lQf5fmFQ8.jpg</v>
      </c>
      <c r="V248" s="83" t="str">
        <f t="shared" si="5"/>
        <v>https://pbs.twimg.com/ext_tw_video_thumb/1420560954690088965/pu/img/mw30pB3lQf5fmFQ8.jpg</v>
      </c>
      <c r="W248" s="81">
        <v>44407.096400462964</v>
      </c>
      <c r="X248" s="87">
        <v>44407</v>
      </c>
      <c r="Y248" s="85" t="s">
        <v>595</v>
      </c>
      <c r="Z248" s="83" t="str">
        <f>HYPERLINK("https://twitter.com/socanderstacey/status/1420931858834104324")</f>
        <v>https://twitter.com/socanderstacey/status/1420931858834104324</v>
      </c>
      <c r="AA248" s="79"/>
      <c r="AB248" s="79"/>
      <c r="AC248" s="85" t="s">
        <v>775</v>
      </c>
      <c r="AD248" s="79"/>
      <c r="AE248" s="79" t="b">
        <v>0</v>
      </c>
      <c r="AF248" s="79">
        <v>0</v>
      </c>
      <c r="AG248" s="85" t="s">
        <v>867</v>
      </c>
      <c r="AH248" s="79" t="b">
        <v>0</v>
      </c>
      <c r="AI248" s="79" t="s">
        <v>874</v>
      </c>
      <c r="AJ248" s="79"/>
      <c r="AK248" s="85" t="s">
        <v>867</v>
      </c>
      <c r="AL248" s="79" t="b">
        <v>0</v>
      </c>
      <c r="AM248" s="79">
        <v>8</v>
      </c>
      <c r="AN248" s="85" t="s">
        <v>784</v>
      </c>
      <c r="AO248" s="85" t="s">
        <v>883</v>
      </c>
      <c r="AP248" s="79" t="b">
        <v>0</v>
      </c>
      <c r="AQ248" s="85" t="s">
        <v>784</v>
      </c>
      <c r="AR248" s="79" t="s">
        <v>177</v>
      </c>
      <c r="AS248" s="79">
        <v>0</v>
      </c>
      <c r="AT248" s="79">
        <v>0</v>
      </c>
      <c r="AU248" s="79"/>
      <c r="AV248" s="79"/>
      <c r="AW248" s="79"/>
      <c r="AX248" s="79"/>
      <c r="AY248" s="79"/>
      <c r="AZ248" s="79"/>
      <c r="BA248" s="79"/>
      <c r="BB248" s="79"/>
      <c r="BC248">
        <v>1</v>
      </c>
      <c r="BD248" s="78" t="str">
        <f>REPLACE(INDEX(GroupVertices[Group], MATCH(Edges[[#This Row],[Vertex 1]],GroupVertices[Vertex],0)),1,1,"")</f>
        <v>1</v>
      </c>
      <c r="BE248" s="78" t="str">
        <f>REPLACE(INDEX(GroupVertices[Group], MATCH(Edges[[#This Row],[Vertex 2]],GroupVertices[Vertex],0)),1,1,"")</f>
        <v>1</v>
      </c>
    </row>
    <row r="249" spans="1:57" x14ac:dyDescent="0.25">
      <c r="A249" s="64" t="s">
        <v>295</v>
      </c>
      <c r="B249" s="64" t="s">
        <v>332</v>
      </c>
      <c r="C249" s="65" t="s">
        <v>2101</v>
      </c>
      <c r="D249" s="66">
        <v>3</v>
      </c>
      <c r="E249" s="67"/>
      <c r="F249" s="68">
        <v>40</v>
      </c>
      <c r="G249" s="65"/>
      <c r="H249" s="69"/>
      <c r="I249" s="70"/>
      <c r="J249" s="70"/>
      <c r="K249" s="35" t="s">
        <v>65</v>
      </c>
      <c r="L249" s="77">
        <v>249</v>
      </c>
      <c r="M24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49" s="72"/>
      <c r="O249" s="79" t="s">
        <v>337</v>
      </c>
      <c r="P249" s="81">
        <v>44407.924224537041</v>
      </c>
      <c r="Q249" s="79" t="s">
        <v>422</v>
      </c>
      <c r="R249" s="79"/>
      <c r="S249" s="79"/>
      <c r="T249" s="85" t="s">
        <v>461</v>
      </c>
      <c r="U249" s="83" t="str">
        <f>HYPERLINK("https://pbs.twimg.com/ext_tw_video_thumb/1421161154945093639/pu/img/tbrT6qcfoLxlpRkV.jpg")</f>
        <v>https://pbs.twimg.com/ext_tw_video_thumb/1421161154945093639/pu/img/tbrT6qcfoLxlpRkV.jpg</v>
      </c>
      <c r="V249" s="83" t="str">
        <f>HYPERLINK("https://pbs.twimg.com/ext_tw_video_thumb/1421161154945093639/pu/img/tbrT6qcfoLxlpRkV.jpg")</f>
        <v>https://pbs.twimg.com/ext_tw_video_thumb/1421161154945093639/pu/img/tbrT6qcfoLxlpRkV.jpg</v>
      </c>
      <c r="W249" s="81">
        <v>44407.924224537041</v>
      </c>
      <c r="X249" s="87">
        <v>44407</v>
      </c>
      <c r="Y249" s="85" t="s">
        <v>657</v>
      </c>
      <c r="Z249" s="83" t="str">
        <f>HYPERLINK("https://twitter.com/terryluiken/status/1421231854368272384")</f>
        <v>https://twitter.com/terryluiken/status/1421231854368272384</v>
      </c>
      <c r="AA249" s="79"/>
      <c r="AB249" s="79"/>
      <c r="AC249" s="85" t="s">
        <v>837</v>
      </c>
      <c r="AD249" s="79"/>
      <c r="AE249" s="79" t="b">
        <v>0</v>
      </c>
      <c r="AF249" s="79">
        <v>0</v>
      </c>
      <c r="AG249" s="85" t="s">
        <v>867</v>
      </c>
      <c r="AH249" s="79" t="b">
        <v>0</v>
      </c>
      <c r="AI249" s="79" t="s">
        <v>874</v>
      </c>
      <c r="AJ249" s="79"/>
      <c r="AK249" s="85" t="s">
        <v>867</v>
      </c>
      <c r="AL249" s="79" t="b">
        <v>0</v>
      </c>
      <c r="AM249" s="79">
        <v>1</v>
      </c>
      <c r="AN249" s="85" t="s">
        <v>836</v>
      </c>
      <c r="AO249" s="85" t="s">
        <v>883</v>
      </c>
      <c r="AP249" s="79" t="b">
        <v>0</v>
      </c>
      <c r="AQ249" s="85" t="s">
        <v>836</v>
      </c>
      <c r="AR249" s="79" t="s">
        <v>177</v>
      </c>
      <c r="AS249" s="79">
        <v>0</v>
      </c>
      <c r="AT249" s="79">
        <v>0</v>
      </c>
      <c r="AU249" s="79"/>
      <c r="AV249" s="79"/>
      <c r="AW249" s="79"/>
      <c r="AX249" s="79"/>
      <c r="AY249" s="79"/>
      <c r="AZ249" s="79"/>
      <c r="BA249" s="79"/>
      <c r="BB249" s="79"/>
      <c r="BC249">
        <v>1</v>
      </c>
      <c r="BD249" s="78" t="str">
        <f>REPLACE(INDEX(GroupVertices[Group], MATCH(Edges[[#This Row],[Vertex 1]],GroupVertices[Vertex],0)),1,1,"")</f>
        <v>1</v>
      </c>
      <c r="BE249" s="78" t="str">
        <f>REPLACE(INDEX(GroupVertices[Group], MATCH(Edges[[#This Row],[Vertex 2]],GroupVertices[Vertex],0)),1,1,"")</f>
        <v>1</v>
      </c>
    </row>
    <row r="250" spans="1:57" x14ac:dyDescent="0.25">
      <c r="A250" s="64" t="s">
        <v>287</v>
      </c>
      <c r="B250" s="64" t="s">
        <v>286</v>
      </c>
      <c r="C250" s="65" t="s">
        <v>2101</v>
      </c>
      <c r="D250" s="66">
        <v>3</v>
      </c>
      <c r="E250" s="67"/>
      <c r="F250" s="68">
        <v>40</v>
      </c>
      <c r="G250" s="65"/>
      <c r="H250" s="69"/>
      <c r="I250" s="70"/>
      <c r="J250" s="70"/>
      <c r="K250" s="35" t="s">
        <v>66</v>
      </c>
      <c r="L250" s="77">
        <v>250</v>
      </c>
      <c r="M25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50" s="72"/>
      <c r="O250" s="79" t="s">
        <v>339</v>
      </c>
      <c r="P250" s="81">
        <v>44404.559027777781</v>
      </c>
      <c r="Q250" s="79" t="s">
        <v>381</v>
      </c>
      <c r="R250" s="83" t="str">
        <f>HYPERLINK("https://latinovictory.us/latino-victory-fund-congratulates-new-york-city-council-candidates-for-winning-democratic-primary-election/")</f>
        <v>https://latinovictory.us/latino-victory-fund-congratulates-new-york-city-council-candidates-for-winning-democratic-primary-election/</v>
      </c>
      <c r="S250" s="79" t="s">
        <v>452</v>
      </c>
      <c r="T250" s="85" t="s">
        <v>461</v>
      </c>
      <c r="U250" s="79"/>
      <c r="V250" s="83" t="str">
        <f>HYPERLINK("https://pbs.twimg.com/profile_images/1311001884824604676/RVdli881_normal.png")</f>
        <v>https://pbs.twimg.com/profile_images/1311001884824604676/RVdli881_normal.png</v>
      </c>
      <c r="W250" s="81">
        <v>44404.559027777781</v>
      </c>
      <c r="X250" s="87">
        <v>44404</v>
      </c>
      <c r="Y250" s="85" t="s">
        <v>603</v>
      </c>
      <c r="Z250" s="83" t="str">
        <f>HYPERLINK("https://twitter.com/coetalk/status/1420012347259867148")</f>
        <v>https://twitter.com/coetalk/status/1420012347259867148</v>
      </c>
      <c r="AA250" s="79"/>
      <c r="AB250" s="79"/>
      <c r="AC250" s="85" t="s">
        <v>783</v>
      </c>
      <c r="AD250" s="79"/>
      <c r="AE250" s="79" t="b">
        <v>0</v>
      </c>
      <c r="AF250" s="79">
        <v>4</v>
      </c>
      <c r="AG250" s="85" t="s">
        <v>867</v>
      </c>
      <c r="AH250" s="79" t="b">
        <v>0</v>
      </c>
      <c r="AI250" s="79" t="s">
        <v>874</v>
      </c>
      <c r="AJ250" s="79"/>
      <c r="AK250" s="85" t="s">
        <v>867</v>
      </c>
      <c r="AL250" s="79" t="b">
        <v>0</v>
      </c>
      <c r="AM250" s="79">
        <v>0</v>
      </c>
      <c r="AN250" s="85" t="s">
        <v>867</v>
      </c>
      <c r="AO250" s="85" t="s">
        <v>885</v>
      </c>
      <c r="AP250" s="79" t="b">
        <v>0</v>
      </c>
      <c r="AQ250" s="85" t="s">
        <v>783</v>
      </c>
      <c r="AR250" s="79" t="s">
        <v>177</v>
      </c>
      <c r="AS250" s="79">
        <v>0</v>
      </c>
      <c r="AT250" s="79">
        <v>0</v>
      </c>
      <c r="AU250" s="79"/>
      <c r="AV250" s="79"/>
      <c r="AW250" s="79"/>
      <c r="AX250" s="79"/>
      <c r="AY250" s="79"/>
      <c r="AZ250" s="79"/>
      <c r="BA250" s="79"/>
      <c r="BB250" s="79"/>
      <c r="BC250">
        <v>1</v>
      </c>
      <c r="BD250" s="78" t="str">
        <f>REPLACE(INDEX(GroupVertices[Group], MATCH(Edges[[#This Row],[Vertex 1]],GroupVertices[Vertex],0)),1,1,"")</f>
        <v>1</v>
      </c>
      <c r="BE250" s="78" t="str">
        <f>REPLACE(INDEX(GroupVertices[Group], MATCH(Edges[[#This Row],[Vertex 2]],GroupVertices[Vertex],0)),1,1,"")</f>
        <v>1</v>
      </c>
    </row>
    <row r="251" spans="1:57" x14ac:dyDescent="0.25">
      <c r="A251" s="64" t="s">
        <v>245</v>
      </c>
      <c r="B251" s="64" t="s">
        <v>316</v>
      </c>
      <c r="C251" s="65" t="s">
        <v>2101</v>
      </c>
      <c r="D251" s="66">
        <v>3</v>
      </c>
      <c r="E251" s="67"/>
      <c r="F251" s="68">
        <v>40</v>
      </c>
      <c r="G251" s="65"/>
      <c r="H251" s="69"/>
      <c r="I251" s="70"/>
      <c r="J251" s="70"/>
      <c r="K251" s="35" t="s">
        <v>65</v>
      </c>
      <c r="L251" s="77">
        <v>251</v>
      </c>
      <c r="M25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51" s="72"/>
      <c r="O251" s="79" t="s">
        <v>337</v>
      </c>
      <c r="P251" s="81">
        <v>44405.008206018516</v>
      </c>
      <c r="Q251" s="79" t="s">
        <v>360</v>
      </c>
      <c r="R251" s="79"/>
      <c r="S251" s="79"/>
      <c r="T251" s="85" t="s">
        <v>474</v>
      </c>
      <c r="U251" s="83" t="str">
        <f>HYPERLINK("https://pbs.twimg.com/media/EQ1_Rq-WsAE6FpH.jpg")</f>
        <v>https://pbs.twimg.com/media/EQ1_Rq-WsAE6FpH.jpg</v>
      </c>
      <c r="V251" s="83" t="str">
        <f>HYPERLINK("https://pbs.twimg.com/media/EQ1_Rq-WsAE6FpH.jpg")</f>
        <v>https://pbs.twimg.com/media/EQ1_Rq-WsAE6FpH.jpg</v>
      </c>
      <c r="W251" s="81">
        <v>44405.008206018516</v>
      </c>
      <c r="X251" s="87">
        <v>44405</v>
      </c>
      <c r="Y251" s="85" t="s">
        <v>540</v>
      </c>
      <c r="Z251" s="83" t="str">
        <f>HYPERLINK("https://twitter.com/aaron_cortes/status/1420175121726255107")</f>
        <v>https://twitter.com/aaron_cortes/status/1420175121726255107</v>
      </c>
      <c r="AA251" s="79"/>
      <c r="AB251" s="79"/>
      <c r="AC251" s="85" t="s">
        <v>719</v>
      </c>
      <c r="AD251" s="79"/>
      <c r="AE251" s="79" t="b">
        <v>0</v>
      </c>
      <c r="AF251" s="79">
        <v>0</v>
      </c>
      <c r="AG251" s="85" t="s">
        <v>867</v>
      </c>
      <c r="AH251" s="79" t="b">
        <v>0</v>
      </c>
      <c r="AI251" s="79" t="s">
        <v>874</v>
      </c>
      <c r="AJ251" s="79"/>
      <c r="AK251" s="85" t="s">
        <v>867</v>
      </c>
      <c r="AL251" s="79" t="b">
        <v>0</v>
      </c>
      <c r="AM251" s="79">
        <v>7</v>
      </c>
      <c r="AN251" s="85" t="s">
        <v>718</v>
      </c>
      <c r="AO251" s="85" t="s">
        <v>883</v>
      </c>
      <c r="AP251" s="79" t="b">
        <v>0</v>
      </c>
      <c r="AQ251" s="85" t="s">
        <v>718</v>
      </c>
      <c r="AR251" s="79" t="s">
        <v>177</v>
      </c>
      <c r="AS251" s="79">
        <v>0</v>
      </c>
      <c r="AT251" s="79">
        <v>0</v>
      </c>
      <c r="AU251" s="79"/>
      <c r="AV251" s="79"/>
      <c r="AW251" s="79"/>
      <c r="AX251" s="79"/>
      <c r="AY251" s="79"/>
      <c r="AZ251" s="79"/>
      <c r="BA251" s="79"/>
      <c r="BB251" s="79"/>
      <c r="BC251">
        <v>1</v>
      </c>
      <c r="BD251" s="78" t="str">
        <f>REPLACE(INDEX(GroupVertices[Group], MATCH(Edges[[#This Row],[Vertex 1]],GroupVertices[Vertex],0)),1,1,"")</f>
        <v>4</v>
      </c>
      <c r="BE251" s="78" t="str">
        <f>REPLACE(INDEX(GroupVertices[Group], MATCH(Edges[[#This Row],[Vertex 2]],GroupVertices[Vertex],0)),1,1,"")</f>
        <v>4</v>
      </c>
    </row>
    <row r="252" spans="1:57" x14ac:dyDescent="0.25">
      <c r="A252" s="64" t="s">
        <v>297</v>
      </c>
      <c r="B252" s="64" t="s">
        <v>334</v>
      </c>
      <c r="C252" s="65" t="s">
        <v>2101</v>
      </c>
      <c r="D252" s="66">
        <v>3</v>
      </c>
      <c r="E252" s="67"/>
      <c r="F252" s="68">
        <v>40</v>
      </c>
      <c r="G252" s="65"/>
      <c r="H252" s="69"/>
      <c r="I252" s="70"/>
      <c r="J252" s="70"/>
      <c r="K252" s="35" t="s">
        <v>65</v>
      </c>
      <c r="L252" s="77">
        <v>252</v>
      </c>
      <c r="M25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52" s="72"/>
      <c r="O252" s="79" t="s">
        <v>339</v>
      </c>
      <c r="P252" s="81">
        <v>44408.839178240742</v>
      </c>
      <c r="Q252" s="79" t="s">
        <v>431</v>
      </c>
      <c r="R252" s="83" t="str">
        <f>HYPERLINK("https://jamillimabass.tumblr.com/post/658256277007384576/frevo-bicudo-theme-comp-nahousemusicbr#_=_")</f>
        <v>https://jamillimabass.tumblr.com/post/658256277007384576/frevo-bicudo-theme-comp-nahousemusicbr#_=_</v>
      </c>
      <c r="S252" s="79" t="s">
        <v>455</v>
      </c>
      <c r="T252" s="85" t="s">
        <v>500</v>
      </c>
      <c r="U252" s="79"/>
      <c r="V252" s="83" t="str">
        <f>HYPERLINK("https://pbs.twimg.com/profile_images/1190697450228584449/9iO4Mhxr_normal.jpg")</f>
        <v>https://pbs.twimg.com/profile_images/1190697450228584449/9iO4Mhxr_normal.jpg</v>
      </c>
      <c r="W252" s="81">
        <v>44408.839178240742</v>
      </c>
      <c r="X252" s="87">
        <v>44408</v>
      </c>
      <c r="Y252" s="85" t="s">
        <v>666</v>
      </c>
      <c r="Z252" s="83" t="str">
        <f>HYPERLINK("https://twitter.com/jamillimabass/status/1421563420307070985")</f>
        <v>https://twitter.com/jamillimabass/status/1421563420307070985</v>
      </c>
      <c r="AA252" s="79"/>
      <c r="AB252" s="79"/>
      <c r="AC252" s="85" t="s">
        <v>846</v>
      </c>
      <c r="AD252" s="79"/>
      <c r="AE252" s="79" t="b">
        <v>0</v>
      </c>
      <c r="AF252" s="79">
        <v>0</v>
      </c>
      <c r="AG252" s="85" t="s">
        <v>867</v>
      </c>
      <c r="AH252" s="79" t="b">
        <v>0</v>
      </c>
      <c r="AI252" s="79" t="s">
        <v>874</v>
      </c>
      <c r="AJ252" s="79"/>
      <c r="AK252" s="85" t="s">
        <v>867</v>
      </c>
      <c r="AL252" s="79" t="b">
        <v>0</v>
      </c>
      <c r="AM252" s="79">
        <v>0</v>
      </c>
      <c r="AN252" s="85" t="s">
        <v>867</v>
      </c>
      <c r="AO252" s="85" t="s">
        <v>890</v>
      </c>
      <c r="AP252" s="79" t="b">
        <v>0</v>
      </c>
      <c r="AQ252" s="85" t="s">
        <v>846</v>
      </c>
      <c r="AR252" s="79" t="s">
        <v>177</v>
      </c>
      <c r="AS252" s="79">
        <v>0</v>
      </c>
      <c r="AT252" s="79">
        <v>0</v>
      </c>
      <c r="AU252" s="79"/>
      <c r="AV252" s="79"/>
      <c r="AW252" s="79"/>
      <c r="AX252" s="79"/>
      <c r="AY252" s="79"/>
      <c r="AZ252" s="79"/>
      <c r="BA252" s="79"/>
      <c r="BB252" s="79"/>
      <c r="BC252">
        <v>1</v>
      </c>
      <c r="BD252" s="78" t="str">
        <f>REPLACE(INDEX(GroupVertices[Group], MATCH(Edges[[#This Row],[Vertex 1]],GroupVertices[Vertex],0)),1,1,"")</f>
        <v>16</v>
      </c>
      <c r="BE252" s="78" t="str">
        <f>REPLACE(INDEX(GroupVertices[Group], MATCH(Edges[[#This Row],[Vertex 2]],GroupVertices[Vertex],0)),1,1,"")</f>
        <v>16</v>
      </c>
    </row>
    <row r="253" spans="1:57" x14ac:dyDescent="0.25">
      <c r="A253" s="64" t="s">
        <v>287</v>
      </c>
      <c r="B253" s="64" t="s">
        <v>299</v>
      </c>
      <c r="C253" s="65" t="s">
        <v>2101</v>
      </c>
      <c r="D253" s="66">
        <v>3</v>
      </c>
      <c r="E253" s="67"/>
      <c r="F253" s="68">
        <v>40</v>
      </c>
      <c r="G253" s="65"/>
      <c r="H253" s="69"/>
      <c r="I253" s="70"/>
      <c r="J253" s="70"/>
      <c r="K253" s="35" t="s">
        <v>66</v>
      </c>
      <c r="L253" s="77">
        <v>253</v>
      </c>
      <c r="M25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53" s="72"/>
      <c r="O253" s="79" t="s">
        <v>338</v>
      </c>
      <c r="P253" s="81">
        <v>44407.746261574073</v>
      </c>
      <c r="Q253" s="79" t="s">
        <v>436</v>
      </c>
      <c r="R253" s="83" t="str">
        <f>HYPERLINK("https://twitter.com/coetalk/status/1421161509527474187")</f>
        <v>https://twitter.com/coetalk/status/1421161509527474187</v>
      </c>
      <c r="S253" s="79" t="s">
        <v>449</v>
      </c>
      <c r="T253" s="85" t="s">
        <v>461</v>
      </c>
      <c r="U253" s="79"/>
      <c r="V253" s="83" t="str">
        <f>HYPERLINK("https://pbs.twimg.com/profile_images/1311001884824604676/RVdli881_normal.png")</f>
        <v>https://pbs.twimg.com/profile_images/1311001884824604676/RVdli881_normal.png</v>
      </c>
      <c r="W253" s="81">
        <v>44407.746261574073</v>
      </c>
      <c r="X253" s="87">
        <v>44407</v>
      </c>
      <c r="Y253" s="85" t="s">
        <v>674</v>
      </c>
      <c r="Z253" s="83" t="str">
        <f>HYPERLINK("https://twitter.com/coetalk/status/1421167361252528137")</f>
        <v>https://twitter.com/coetalk/status/1421167361252528137</v>
      </c>
      <c r="AA253" s="79"/>
      <c r="AB253" s="79"/>
      <c r="AC253" s="85" t="s">
        <v>854</v>
      </c>
      <c r="AD253" s="79"/>
      <c r="AE253" s="79" t="b">
        <v>0</v>
      </c>
      <c r="AF253" s="79">
        <v>0</v>
      </c>
      <c r="AG253" s="85" t="s">
        <v>867</v>
      </c>
      <c r="AH253" s="79" t="b">
        <v>1</v>
      </c>
      <c r="AI253" s="79" t="s">
        <v>874</v>
      </c>
      <c r="AJ253" s="79"/>
      <c r="AK253" s="85" t="s">
        <v>836</v>
      </c>
      <c r="AL253" s="79" t="b">
        <v>0</v>
      </c>
      <c r="AM253" s="79">
        <v>1</v>
      </c>
      <c r="AN253" s="85" t="s">
        <v>855</v>
      </c>
      <c r="AO253" s="85" t="s">
        <v>883</v>
      </c>
      <c r="AP253" s="79" t="b">
        <v>0</v>
      </c>
      <c r="AQ253" s="85" t="s">
        <v>855</v>
      </c>
      <c r="AR253" s="79" t="s">
        <v>177</v>
      </c>
      <c r="AS253" s="79">
        <v>0</v>
      </c>
      <c r="AT253" s="79">
        <v>0</v>
      </c>
      <c r="AU253" s="79"/>
      <c r="AV253" s="79"/>
      <c r="AW253" s="79"/>
      <c r="AX253" s="79"/>
      <c r="AY253" s="79"/>
      <c r="AZ253" s="79"/>
      <c r="BA253" s="79"/>
      <c r="BB253" s="79"/>
      <c r="BC253">
        <v>1</v>
      </c>
      <c r="BD253" s="78" t="str">
        <f>REPLACE(INDEX(GroupVertices[Group], MATCH(Edges[[#This Row],[Vertex 1]],GroupVertices[Vertex],0)),1,1,"")</f>
        <v>1</v>
      </c>
      <c r="BE253" s="78" t="str">
        <f>REPLACE(INDEX(GroupVertices[Group], MATCH(Edges[[#This Row],[Vertex 2]],GroupVertices[Vertex],0)),1,1,"")</f>
        <v>1</v>
      </c>
    </row>
    <row r="254" spans="1:57" x14ac:dyDescent="0.25">
      <c r="A254" s="64" t="s">
        <v>284</v>
      </c>
      <c r="B254" s="64" t="s">
        <v>328</v>
      </c>
      <c r="C254" s="65" t="s">
        <v>2101</v>
      </c>
      <c r="D254" s="66">
        <v>3</v>
      </c>
      <c r="E254" s="67"/>
      <c r="F254" s="68">
        <v>40</v>
      </c>
      <c r="G254" s="65"/>
      <c r="H254" s="69"/>
      <c r="I254" s="70"/>
      <c r="J254" s="70"/>
      <c r="K254" s="35" t="s">
        <v>65</v>
      </c>
      <c r="L254" s="77">
        <v>254</v>
      </c>
      <c r="M25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54" s="72"/>
      <c r="O254" s="79" t="s">
        <v>340</v>
      </c>
      <c r="P254" s="81">
        <v>44406.865613425929</v>
      </c>
      <c r="Q254" s="79" t="s">
        <v>376</v>
      </c>
      <c r="R254" s="79"/>
      <c r="S254" s="79"/>
      <c r="T254" s="85" t="s">
        <v>482</v>
      </c>
      <c r="U254" s="79"/>
      <c r="V254" s="83" t="str">
        <f>HYPERLINK("https://pbs.twimg.com/profile_images/1372636245281492992/uIjhEtk6_normal.jpg")</f>
        <v>https://pbs.twimg.com/profile_images/1372636245281492992/uIjhEtk6_normal.jpg</v>
      </c>
      <c r="W254" s="81">
        <v>44406.865613425929</v>
      </c>
      <c r="X254" s="87">
        <v>44406</v>
      </c>
      <c r="Y254" s="85" t="s">
        <v>597</v>
      </c>
      <c r="Z254" s="83" t="str">
        <f>HYPERLINK("https://twitter.com/success_prints/status/1420848226039599104")</f>
        <v>https://twitter.com/success_prints/status/1420848226039599104</v>
      </c>
      <c r="AA254" s="79"/>
      <c r="AB254" s="79"/>
      <c r="AC254" s="85" t="s">
        <v>777</v>
      </c>
      <c r="AD254" s="85" t="s">
        <v>865</v>
      </c>
      <c r="AE254" s="79" t="b">
        <v>0</v>
      </c>
      <c r="AF254" s="79">
        <v>0</v>
      </c>
      <c r="AG254" s="85" t="s">
        <v>870</v>
      </c>
      <c r="AH254" s="79" t="b">
        <v>0</v>
      </c>
      <c r="AI254" s="79" t="s">
        <v>874</v>
      </c>
      <c r="AJ254" s="79"/>
      <c r="AK254" s="85" t="s">
        <v>867</v>
      </c>
      <c r="AL254" s="79" t="b">
        <v>0</v>
      </c>
      <c r="AM254" s="79">
        <v>0</v>
      </c>
      <c r="AN254" s="85" t="s">
        <v>867</v>
      </c>
      <c r="AO254" s="85" t="s">
        <v>882</v>
      </c>
      <c r="AP254" s="79" t="b">
        <v>0</v>
      </c>
      <c r="AQ254" s="85" t="s">
        <v>865</v>
      </c>
      <c r="AR254" s="79" t="s">
        <v>177</v>
      </c>
      <c r="AS254" s="79">
        <v>0</v>
      </c>
      <c r="AT254" s="79">
        <v>0</v>
      </c>
      <c r="AU254" s="79"/>
      <c r="AV254" s="79"/>
      <c r="AW254" s="79"/>
      <c r="AX254" s="79"/>
      <c r="AY254" s="79"/>
      <c r="AZ254" s="79"/>
      <c r="BA254" s="79"/>
      <c r="BB254" s="79"/>
      <c r="BC254">
        <v>1</v>
      </c>
      <c r="BD254" s="78" t="str">
        <f>REPLACE(INDEX(GroupVertices[Group], MATCH(Edges[[#This Row],[Vertex 1]],GroupVertices[Vertex],0)),1,1,"")</f>
        <v>15</v>
      </c>
      <c r="BE254" s="78" t="str">
        <f>REPLACE(INDEX(GroupVertices[Group], MATCH(Edges[[#This Row],[Vertex 2]],GroupVertices[Vertex],0)),1,1,"")</f>
        <v>15</v>
      </c>
    </row>
    <row r="255" spans="1:57" x14ac:dyDescent="0.25">
      <c r="A255" s="64" t="s">
        <v>236</v>
      </c>
      <c r="B255" s="64" t="s">
        <v>256</v>
      </c>
      <c r="C255" s="65" t="s">
        <v>2101</v>
      </c>
      <c r="D255" s="66">
        <v>3</v>
      </c>
      <c r="E255" s="67"/>
      <c r="F255" s="68">
        <v>40</v>
      </c>
      <c r="G255" s="65"/>
      <c r="H255" s="69"/>
      <c r="I255" s="70"/>
      <c r="J255" s="70"/>
      <c r="K255" s="35" t="s">
        <v>65</v>
      </c>
      <c r="L255" s="77">
        <v>255</v>
      </c>
      <c r="M25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55" s="72"/>
      <c r="O255" s="79" t="s">
        <v>337</v>
      </c>
      <c r="P255" s="81">
        <v>44404.844317129631</v>
      </c>
      <c r="Q255" s="79" t="s">
        <v>356</v>
      </c>
      <c r="R255" s="79"/>
      <c r="S255" s="79"/>
      <c r="T255" s="85" t="s">
        <v>461</v>
      </c>
      <c r="U255" s="83" t="str">
        <f t="shared" ref="U255:V260" si="6">HYPERLINK("https://pbs.twimg.com/media/E7VCWcGXMAQx84B.jpg")</f>
        <v>https://pbs.twimg.com/media/E7VCWcGXMAQx84B.jpg</v>
      </c>
      <c r="V255" s="83" t="str">
        <f t="shared" si="6"/>
        <v>https://pbs.twimg.com/media/E7VCWcGXMAQx84B.jpg</v>
      </c>
      <c r="W255" s="81">
        <v>44404.844317129631</v>
      </c>
      <c r="X255" s="87">
        <v>44404</v>
      </c>
      <c r="Y255" s="85" t="s">
        <v>530</v>
      </c>
      <c r="Z255" s="83" t="str">
        <f>HYPERLINK("https://twitter.com/renaissancemars/status/1420115731555962882")</f>
        <v>https://twitter.com/renaissancemars/status/1420115731555962882</v>
      </c>
      <c r="AA255" s="79"/>
      <c r="AB255" s="79"/>
      <c r="AC255" s="85" t="s">
        <v>707</v>
      </c>
      <c r="AD255" s="79"/>
      <c r="AE255" s="79" t="b">
        <v>0</v>
      </c>
      <c r="AF255" s="79">
        <v>0</v>
      </c>
      <c r="AG255" s="85" t="s">
        <v>867</v>
      </c>
      <c r="AH255" s="79" t="b">
        <v>0</v>
      </c>
      <c r="AI255" s="79" t="s">
        <v>874</v>
      </c>
      <c r="AJ255" s="79"/>
      <c r="AK255" s="85" t="s">
        <v>867</v>
      </c>
      <c r="AL255" s="79" t="b">
        <v>0</v>
      </c>
      <c r="AM255" s="79">
        <v>21</v>
      </c>
      <c r="AN255" s="85" t="s">
        <v>736</v>
      </c>
      <c r="AO255" s="85" t="s">
        <v>882</v>
      </c>
      <c r="AP255" s="79" t="b">
        <v>0</v>
      </c>
      <c r="AQ255" s="85" t="s">
        <v>736</v>
      </c>
      <c r="AR255" s="79" t="s">
        <v>177</v>
      </c>
      <c r="AS255" s="79">
        <v>0</v>
      </c>
      <c r="AT255" s="79">
        <v>0</v>
      </c>
      <c r="AU255" s="79"/>
      <c r="AV255" s="79"/>
      <c r="AW255" s="79"/>
      <c r="AX255" s="79"/>
      <c r="AY255" s="79"/>
      <c r="AZ255" s="79"/>
      <c r="BA255" s="79"/>
      <c r="BB255" s="79"/>
      <c r="BC255">
        <v>1</v>
      </c>
      <c r="BD255" s="78" t="str">
        <f>REPLACE(INDEX(GroupVertices[Group], MATCH(Edges[[#This Row],[Vertex 1]],GroupVertices[Vertex],0)),1,1,"")</f>
        <v>2</v>
      </c>
      <c r="BE255" s="78" t="str">
        <f>REPLACE(INDEX(GroupVertices[Group], MATCH(Edges[[#This Row],[Vertex 2]],GroupVertices[Vertex],0)),1,1,"")</f>
        <v>2</v>
      </c>
    </row>
    <row r="256" spans="1:57" x14ac:dyDescent="0.25">
      <c r="A256" s="64" t="s">
        <v>238</v>
      </c>
      <c r="B256" s="64" t="s">
        <v>256</v>
      </c>
      <c r="C256" s="65" t="s">
        <v>2101</v>
      </c>
      <c r="D256" s="66">
        <v>3</v>
      </c>
      <c r="E256" s="67"/>
      <c r="F256" s="68">
        <v>40</v>
      </c>
      <c r="G256" s="65"/>
      <c r="H256" s="69"/>
      <c r="I256" s="70"/>
      <c r="J256" s="70"/>
      <c r="K256" s="35" t="s">
        <v>65</v>
      </c>
      <c r="L256" s="77">
        <v>256</v>
      </c>
      <c r="M25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56" s="72"/>
      <c r="O256" s="79" t="s">
        <v>337</v>
      </c>
      <c r="P256" s="81">
        <v>44404.851157407407</v>
      </c>
      <c r="Q256" s="79" t="s">
        <v>356</v>
      </c>
      <c r="R256" s="79"/>
      <c r="S256" s="79"/>
      <c r="T256" s="85" t="s">
        <v>461</v>
      </c>
      <c r="U256" s="83" t="str">
        <f t="shared" si="6"/>
        <v>https://pbs.twimg.com/media/E7VCWcGXMAQx84B.jpg</v>
      </c>
      <c r="V256" s="83" t="str">
        <f t="shared" si="6"/>
        <v>https://pbs.twimg.com/media/E7VCWcGXMAQx84B.jpg</v>
      </c>
      <c r="W256" s="81">
        <v>44404.851157407407</v>
      </c>
      <c r="X256" s="87">
        <v>44404</v>
      </c>
      <c r="Y256" s="85" t="s">
        <v>532</v>
      </c>
      <c r="Z256" s="83" t="str">
        <f>HYPERLINK("https://twitter.com/_kamoafo/status/1420118208187617280")</f>
        <v>https://twitter.com/_kamoafo/status/1420118208187617280</v>
      </c>
      <c r="AA256" s="79"/>
      <c r="AB256" s="79"/>
      <c r="AC256" s="85" t="s">
        <v>709</v>
      </c>
      <c r="AD256" s="79"/>
      <c r="AE256" s="79" t="b">
        <v>0</v>
      </c>
      <c r="AF256" s="79">
        <v>0</v>
      </c>
      <c r="AG256" s="85" t="s">
        <v>867</v>
      </c>
      <c r="AH256" s="79" t="b">
        <v>0</v>
      </c>
      <c r="AI256" s="79" t="s">
        <v>874</v>
      </c>
      <c r="AJ256" s="79"/>
      <c r="AK256" s="85" t="s">
        <v>867</v>
      </c>
      <c r="AL256" s="79" t="b">
        <v>0</v>
      </c>
      <c r="AM256" s="79">
        <v>21</v>
      </c>
      <c r="AN256" s="85" t="s">
        <v>736</v>
      </c>
      <c r="AO256" s="85" t="s">
        <v>883</v>
      </c>
      <c r="AP256" s="79" t="b">
        <v>0</v>
      </c>
      <c r="AQ256" s="85" t="s">
        <v>736</v>
      </c>
      <c r="AR256" s="79" t="s">
        <v>177</v>
      </c>
      <c r="AS256" s="79">
        <v>0</v>
      </c>
      <c r="AT256" s="79">
        <v>0</v>
      </c>
      <c r="AU256" s="79"/>
      <c r="AV256" s="79"/>
      <c r="AW256" s="79"/>
      <c r="AX256" s="79"/>
      <c r="AY256" s="79"/>
      <c r="AZ256" s="79"/>
      <c r="BA256" s="79"/>
      <c r="BB256" s="79"/>
      <c r="BC256">
        <v>1</v>
      </c>
      <c r="BD256" s="78" t="str">
        <f>REPLACE(INDEX(GroupVertices[Group], MATCH(Edges[[#This Row],[Vertex 1]],GroupVertices[Vertex],0)),1,1,"")</f>
        <v>2</v>
      </c>
      <c r="BE256" s="78" t="str">
        <f>REPLACE(INDEX(GroupVertices[Group], MATCH(Edges[[#This Row],[Vertex 2]],GroupVertices[Vertex],0)),1,1,"")</f>
        <v>2</v>
      </c>
    </row>
    <row r="257" spans="1:57" x14ac:dyDescent="0.25">
      <c r="A257" s="64" t="s">
        <v>239</v>
      </c>
      <c r="B257" s="64" t="s">
        <v>256</v>
      </c>
      <c r="C257" s="65" t="s">
        <v>2101</v>
      </c>
      <c r="D257" s="66">
        <v>3</v>
      </c>
      <c r="E257" s="67"/>
      <c r="F257" s="68">
        <v>40</v>
      </c>
      <c r="G257" s="65"/>
      <c r="H257" s="69"/>
      <c r="I257" s="70"/>
      <c r="J257" s="70"/>
      <c r="K257" s="35" t="s">
        <v>65</v>
      </c>
      <c r="L257" s="77">
        <v>257</v>
      </c>
      <c r="M25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57" s="72"/>
      <c r="O257" s="79" t="s">
        <v>337</v>
      </c>
      <c r="P257" s="81">
        <v>44404.869456018518</v>
      </c>
      <c r="Q257" s="79" t="s">
        <v>356</v>
      </c>
      <c r="R257" s="79"/>
      <c r="S257" s="79"/>
      <c r="T257" s="85" t="s">
        <v>461</v>
      </c>
      <c r="U257" s="83" t="str">
        <f t="shared" si="6"/>
        <v>https://pbs.twimg.com/media/E7VCWcGXMAQx84B.jpg</v>
      </c>
      <c r="V257" s="83" t="str">
        <f t="shared" si="6"/>
        <v>https://pbs.twimg.com/media/E7VCWcGXMAQx84B.jpg</v>
      </c>
      <c r="W257" s="81">
        <v>44404.869456018518</v>
      </c>
      <c r="X257" s="87">
        <v>44404</v>
      </c>
      <c r="Y257" s="85" t="s">
        <v>533</v>
      </c>
      <c r="Z257" s="83" t="str">
        <f>HYPERLINK("https://twitter.com/peiferlabunc/status/1420124842674720769")</f>
        <v>https://twitter.com/peiferlabunc/status/1420124842674720769</v>
      </c>
      <c r="AA257" s="79"/>
      <c r="AB257" s="79"/>
      <c r="AC257" s="85" t="s">
        <v>710</v>
      </c>
      <c r="AD257" s="79"/>
      <c r="AE257" s="79" t="b">
        <v>0</v>
      </c>
      <c r="AF257" s="79">
        <v>0</v>
      </c>
      <c r="AG257" s="85" t="s">
        <v>867</v>
      </c>
      <c r="AH257" s="79" t="b">
        <v>0</v>
      </c>
      <c r="AI257" s="79" t="s">
        <v>874</v>
      </c>
      <c r="AJ257" s="79"/>
      <c r="AK257" s="85" t="s">
        <v>867</v>
      </c>
      <c r="AL257" s="79" t="b">
        <v>0</v>
      </c>
      <c r="AM257" s="79">
        <v>21</v>
      </c>
      <c r="AN257" s="85" t="s">
        <v>736</v>
      </c>
      <c r="AO257" s="85" t="s">
        <v>882</v>
      </c>
      <c r="AP257" s="79" t="b">
        <v>0</v>
      </c>
      <c r="AQ257" s="85" t="s">
        <v>736</v>
      </c>
      <c r="AR257" s="79" t="s">
        <v>177</v>
      </c>
      <c r="AS257" s="79">
        <v>0</v>
      </c>
      <c r="AT257" s="79">
        <v>0</v>
      </c>
      <c r="AU257" s="79"/>
      <c r="AV257" s="79"/>
      <c r="AW257" s="79"/>
      <c r="AX257" s="79"/>
      <c r="AY257" s="79"/>
      <c r="AZ257" s="79"/>
      <c r="BA257" s="79"/>
      <c r="BB257" s="79"/>
      <c r="BC257">
        <v>1</v>
      </c>
      <c r="BD257" s="78" t="str">
        <f>REPLACE(INDEX(GroupVertices[Group], MATCH(Edges[[#This Row],[Vertex 1]],GroupVertices[Vertex],0)),1,1,"")</f>
        <v>2</v>
      </c>
      <c r="BE257" s="78" t="str">
        <f>REPLACE(INDEX(GroupVertices[Group], MATCH(Edges[[#This Row],[Vertex 2]],GroupVertices[Vertex],0)),1,1,"")</f>
        <v>2</v>
      </c>
    </row>
    <row r="258" spans="1:57" x14ac:dyDescent="0.25">
      <c r="A258" s="64" t="s">
        <v>240</v>
      </c>
      <c r="B258" s="64" t="s">
        <v>256</v>
      </c>
      <c r="C258" s="65" t="s">
        <v>2101</v>
      </c>
      <c r="D258" s="66">
        <v>3</v>
      </c>
      <c r="E258" s="67"/>
      <c r="F258" s="68">
        <v>40</v>
      </c>
      <c r="G258" s="65"/>
      <c r="H258" s="69"/>
      <c r="I258" s="70"/>
      <c r="J258" s="70"/>
      <c r="K258" s="35" t="s">
        <v>65</v>
      </c>
      <c r="L258" s="77">
        <v>258</v>
      </c>
      <c r="M25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58" s="72"/>
      <c r="O258" s="79" t="s">
        <v>337</v>
      </c>
      <c r="P258" s="81">
        <v>44404.87431712963</v>
      </c>
      <c r="Q258" s="79" t="s">
        <v>356</v>
      </c>
      <c r="R258" s="79"/>
      <c r="S258" s="79"/>
      <c r="T258" s="85" t="s">
        <v>461</v>
      </c>
      <c r="U258" s="83" t="str">
        <f t="shared" si="6"/>
        <v>https://pbs.twimg.com/media/E7VCWcGXMAQx84B.jpg</v>
      </c>
      <c r="V258" s="83" t="str">
        <f t="shared" si="6"/>
        <v>https://pbs.twimg.com/media/E7VCWcGXMAQx84B.jpg</v>
      </c>
      <c r="W258" s="81">
        <v>44404.87431712963</v>
      </c>
      <c r="X258" s="87">
        <v>44404</v>
      </c>
      <c r="Y258" s="85" t="s">
        <v>534</v>
      </c>
      <c r="Z258" s="83" t="str">
        <f>HYPERLINK("https://twitter.com/blkingradschool/status/1420126604563451910")</f>
        <v>https://twitter.com/blkingradschool/status/1420126604563451910</v>
      </c>
      <c r="AA258" s="79"/>
      <c r="AB258" s="79"/>
      <c r="AC258" s="85" t="s">
        <v>711</v>
      </c>
      <c r="AD258" s="79"/>
      <c r="AE258" s="79" t="b">
        <v>0</v>
      </c>
      <c r="AF258" s="79">
        <v>0</v>
      </c>
      <c r="AG258" s="85" t="s">
        <v>867</v>
      </c>
      <c r="AH258" s="79" t="b">
        <v>0</v>
      </c>
      <c r="AI258" s="79" t="s">
        <v>874</v>
      </c>
      <c r="AJ258" s="79"/>
      <c r="AK258" s="85" t="s">
        <v>867</v>
      </c>
      <c r="AL258" s="79" t="b">
        <v>0</v>
      </c>
      <c r="AM258" s="79">
        <v>21</v>
      </c>
      <c r="AN258" s="85" t="s">
        <v>736</v>
      </c>
      <c r="AO258" s="85" t="s">
        <v>883</v>
      </c>
      <c r="AP258" s="79" t="b">
        <v>0</v>
      </c>
      <c r="AQ258" s="85" t="s">
        <v>736</v>
      </c>
      <c r="AR258" s="79" t="s">
        <v>177</v>
      </c>
      <c r="AS258" s="79">
        <v>0</v>
      </c>
      <c r="AT258" s="79">
        <v>0</v>
      </c>
      <c r="AU258" s="79"/>
      <c r="AV258" s="79"/>
      <c r="AW258" s="79"/>
      <c r="AX258" s="79"/>
      <c r="AY258" s="79"/>
      <c r="AZ258" s="79"/>
      <c r="BA258" s="79"/>
      <c r="BB258" s="79"/>
      <c r="BC258">
        <v>1</v>
      </c>
      <c r="BD258" s="78" t="str">
        <f>REPLACE(INDEX(GroupVertices[Group], MATCH(Edges[[#This Row],[Vertex 1]],GroupVertices[Vertex],0)),1,1,"")</f>
        <v>2</v>
      </c>
      <c r="BE258" s="78" t="str">
        <f>REPLACE(INDEX(GroupVertices[Group], MATCH(Edges[[#This Row],[Vertex 2]],GroupVertices[Vertex],0)),1,1,"")</f>
        <v>2</v>
      </c>
    </row>
    <row r="259" spans="1:57" x14ac:dyDescent="0.25">
      <c r="A259" s="64" t="s">
        <v>241</v>
      </c>
      <c r="B259" s="64" t="s">
        <v>256</v>
      </c>
      <c r="C259" s="65" t="s">
        <v>2101</v>
      </c>
      <c r="D259" s="66">
        <v>3</v>
      </c>
      <c r="E259" s="67"/>
      <c r="F259" s="68">
        <v>40</v>
      </c>
      <c r="G259" s="65"/>
      <c r="H259" s="69"/>
      <c r="I259" s="70"/>
      <c r="J259" s="70"/>
      <c r="K259" s="35" t="s">
        <v>65</v>
      </c>
      <c r="L259" s="77">
        <v>259</v>
      </c>
      <c r="M25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59" s="72"/>
      <c r="O259" s="79" t="s">
        <v>337</v>
      </c>
      <c r="P259" s="81">
        <v>44404.94494212963</v>
      </c>
      <c r="Q259" s="79" t="s">
        <v>356</v>
      </c>
      <c r="R259" s="79"/>
      <c r="S259" s="79"/>
      <c r="T259" s="85" t="s">
        <v>461</v>
      </c>
      <c r="U259" s="83" t="str">
        <f t="shared" si="6"/>
        <v>https://pbs.twimg.com/media/E7VCWcGXMAQx84B.jpg</v>
      </c>
      <c r="V259" s="83" t="str">
        <f t="shared" si="6"/>
        <v>https://pbs.twimg.com/media/E7VCWcGXMAQx84B.jpg</v>
      </c>
      <c r="W259" s="81">
        <v>44404.94494212963</v>
      </c>
      <c r="X259" s="87">
        <v>44404</v>
      </c>
      <c r="Y259" s="85" t="s">
        <v>535</v>
      </c>
      <c r="Z259" s="83" t="str">
        <f>HYPERLINK("https://twitter.com/beecyoung/status/1420152197489340416")</f>
        <v>https://twitter.com/beecyoung/status/1420152197489340416</v>
      </c>
      <c r="AA259" s="79"/>
      <c r="AB259" s="79"/>
      <c r="AC259" s="85" t="s">
        <v>712</v>
      </c>
      <c r="AD259" s="79"/>
      <c r="AE259" s="79" t="b">
        <v>0</v>
      </c>
      <c r="AF259" s="79">
        <v>0</v>
      </c>
      <c r="AG259" s="85" t="s">
        <v>867</v>
      </c>
      <c r="AH259" s="79" t="b">
        <v>0</v>
      </c>
      <c r="AI259" s="79" t="s">
        <v>874</v>
      </c>
      <c r="AJ259" s="79"/>
      <c r="AK259" s="85" t="s">
        <v>867</v>
      </c>
      <c r="AL259" s="79" t="b">
        <v>0</v>
      </c>
      <c r="AM259" s="79">
        <v>21</v>
      </c>
      <c r="AN259" s="85" t="s">
        <v>736</v>
      </c>
      <c r="AO259" s="85" t="s">
        <v>883</v>
      </c>
      <c r="AP259" s="79" t="b">
        <v>0</v>
      </c>
      <c r="AQ259" s="85" t="s">
        <v>736</v>
      </c>
      <c r="AR259" s="79" t="s">
        <v>177</v>
      </c>
      <c r="AS259" s="79">
        <v>0</v>
      </c>
      <c r="AT259" s="79">
        <v>0</v>
      </c>
      <c r="AU259" s="79"/>
      <c r="AV259" s="79"/>
      <c r="AW259" s="79"/>
      <c r="AX259" s="79"/>
      <c r="AY259" s="79"/>
      <c r="AZ259" s="79"/>
      <c r="BA259" s="79"/>
      <c r="BB259" s="79"/>
      <c r="BC259">
        <v>1</v>
      </c>
      <c r="BD259" s="78" t="str">
        <f>REPLACE(INDEX(GroupVertices[Group], MATCH(Edges[[#This Row],[Vertex 1]],GroupVertices[Vertex],0)),1,1,"")</f>
        <v>2</v>
      </c>
      <c r="BE259" s="78" t="str">
        <f>REPLACE(INDEX(GroupVertices[Group], MATCH(Edges[[#This Row],[Vertex 2]],GroupVertices[Vertex],0)),1,1,"")</f>
        <v>2</v>
      </c>
    </row>
    <row r="260" spans="1:57" x14ac:dyDescent="0.25">
      <c r="A260" s="64" t="s">
        <v>242</v>
      </c>
      <c r="B260" s="64" t="s">
        <v>256</v>
      </c>
      <c r="C260" s="65" t="s">
        <v>2101</v>
      </c>
      <c r="D260" s="66">
        <v>3</v>
      </c>
      <c r="E260" s="67"/>
      <c r="F260" s="68">
        <v>40</v>
      </c>
      <c r="G260" s="65"/>
      <c r="H260" s="69"/>
      <c r="I260" s="70"/>
      <c r="J260" s="70"/>
      <c r="K260" s="35" t="s">
        <v>65</v>
      </c>
      <c r="L260" s="77">
        <v>260</v>
      </c>
      <c r="M26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60" s="72"/>
      <c r="O260" s="79" t="s">
        <v>337</v>
      </c>
      <c r="P260" s="81">
        <v>44404.977719907409</v>
      </c>
      <c r="Q260" s="79" t="s">
        <v>356</v>
      </c>
      <c r="R260" s="79"/>
      <c r="S260" s="79"/>
      <c r="T260" s="85" t="s">
        <v>461</v>
      </c>
      <c r="U260" s="83" t="str">
        <f t="shared" si="6"/>
        <v>https://pbs.twimg.com/media/E7VCWcGXMAQx84B.jpg</v>
      </c>
      <c r="V260" s="83" t="str">
        <f t="shared" si="6"/>
        <v>https://pbs.twimg.com/media/E7VCWcGXMAQx84B.jpg</v>
      </c>
      <c r="W260" s="81">
        <v>44404.977719907409</v>
      </c>
      <c r="X260" s="87">
        <v>44404</v>
      </c>
      <c r="Y260" s="85" t="s">
        <v>536</v>
      </c>
      <c r="Z260" s="83" t="str">
        <f>HYPERLINK("https://twitter.com/kaydontplay_12/status/1420164076441939969")</f>
        <v>https://twitter.com/kaydontplay_12/status/1420164076441939969</v>
      </c>
      <c r="AA260" s="79"/>
      <c r="AB260" s="79"/>
      <c r="AC260" s="85" t="s">
        <v>713</v>
      </c>
      <c r="AD260" s="79"/>
      <c r="AE260" s="79" t="b">
        <v>0</v>
      </c>
      <c r="AF260" s="79">
        <v>0</v>
      </c>
      <c r="AG260" s="85" t="s">
        <v>867</v>
      </c>
      <c r="AH260" s="79" t="b">
        <v>0</v>
      </c>
      <c r="AI260" s="79" t="s">
        <v>874</v>
      </c>
      <c r="AJ260" s="79"/>
      <c r="AK260" s="85" t="s">
        <v>867</v>
      </c>
      <c r="AL260" s="79" t="b">
        <v>0</v>
      </c>
      <c r="AM260" s="79">
        <v>21</v>
      </c>
      <c r="AN260" s="85" t="s">
        <v>736</v>
      </c>
      <c r="AO260" s="85" t="s">
        <v>883</v>
      </c>
      <c r="AP260" s="79" t="b">
        <v>0</v>
      </c>
      <c r="AQ260" s="85" t="s">
        <v>736</v>
      </c>
      <c r="AR260" s="79" t="s">
        <v>177</v>
      </c>
      <c r="AS260" s="79">
        <v>0</v>
      </c>
      <c r="AT260" s="79">
        <v>0</v>
      </c>
      <c r="AU260" s="79"/>
      <c r="AV260" s="79"/>
      <c r="AW260" s="79"/>
      <c r="AX260" s="79"/>
      <c r="AY260" s="79"/>
      <c r="AZ260" s="79"/>
      <c r="BA260" s="79"/>
      <c r="BB260" s="79"/>
      <c r="BC260">
        <v>1</v>
      </c>
      <c r="BD260" s="78" t="str">
        <f>REPLACE(INDEX(GroupVertices[Group], MATCH(Edges[[#This Row],[Vertex 1]],GroupVertices[Vertex],0)),1,1,"")</f>
        <v>2</v>
      </c>
      <c r="BE260" s="78" t="str">
        <f>REPLACE(INDEX(GroupVertices[Group], MATCH(Edges[[#This Row],[Vertex 2]],GroupVertices[Vertex],0)),1,1,"")</f>
        <v>2</v>
      </c>
    </row>
    <row r="261" spans="1:57" x14ac:dyDescent="0.25">
      <c r="A261" s="64" t="s">
        <v>243</v>
      </c>
      <c r="B261" s="64" t="s">
        <v>256</v>
      </c>
      <c r="C261" s="65" t="s">
        <v>2101</v>
      </c>
      <c r="D261" s="66">
        <v>3</v>
      </c>
      <c r="E261" s="67"/>
      <c r="F261" s="68">
        <v>40</v>
      </c>
      <c r="G261" s="65"/>
      <c r="H261" s="69"/>
      <c r="I261" s="70"/>
      <c r="J261" s="70"/>
      <c r="K261" s="35" t="s">
        <v>65</v>
      </c>
      <c r="L261" s="77">
        <v>261</v>
      </c>
      <c r="M26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61" s="72"/>
      <c r="O261" s="79" t="s">
        <v>338</v>
      </c>
      <c r="P261" s="81">
        <v>44404.98777777778</v>
      </c>
      <c r="Q261" s="79" t="s">
        <v>358</v>
      </c>
      <c r="R261" s="83" t="str">
        <f>HYPERLINK("https://twitter.com/_MABurnett/status/1420114213658402821")</f>
        <v>https://twitter.com/_MABurnett/status/1420114213658402821</v>
      </c>
      <c r="S261" s="79" t="s">
        <v>449</v>
      </c>
      <c r="T261" s="85" t="s">
        <v>461</v>
      </c>
      <c r="U261" s="79"/>
      <c r="V261" s="83" t="str">
        <f>HYPERLINK("https://pbs.twimg.com/profile_images/1397201966644830209/6IwLm778_normal.jpg")</f>
        <v>https://pbs.twimg.com/profile_images/1397201966644830209/6IwLm778_normal.jpg</v>
      </c>
      <c r="W261" s="81">
        <v>44404.98777777778</v>
      </c>
      <c r="X261" s="87">
        <v>44404</v>
      </c>
      <c r="Y261" s="85" t="s">
        <v>537</v>
      </c>
      <c r="Z261" s="83" t="str">
        <f>HYPERLINK("https://twitter.com/miajanai_/status/1420167720784515080")</f>
        <v>https://twitter.com/miajanai_/status/1420167720784515080</v>
      </c>
      <c r="AA261" s="79"/>
      <c r="AB261" s="79"/>
      <c r="AC261" s="85" t="s">
        <v>714</v>
      </c>
      <c r="AD261" s="79"/>
      <c r="AE261" s="79" t="b">
        <v>0</v>
      </c>
      <c r="AF261" s="79">
        <v>0</v>
      </c>
      <c r="AG261" s="85" t="s">
        <v>867</v>
      </c>
      <c r="AH261" s="79" t="b">
        <v>1</v>
      </c>
      <c r="AI261" s="79" t="s">
        <v>874</v>
      </c>
      <c r="AJ261" s="79"/>
      <c r="AK261" s="85" t="s">
        <v>736</v>
      </c>
      <c r="AL261" s="79" t="b">
        <v>0</v>
      </c>
      <c r="AM261" s="79">
        <v>5</v>
      </c>
      <c r="AN261" s="85" t="s">
        <v>730</v>
      </c>
      <c r="AO261" s="85" t="s">
        <v>883</v>
      </c>
      <c r="AP261" s="79" t="b">
        <v>0</v>
      </c>
      <c r="AQ261" s="85" t="s">
        <v>730</v>
      </c>
      <c r="AR261" s="79" t="s">
        <v>177</v>
      </c>
      <c r="AS261" s="79">
        <v>0</v>
      </c>
      <c r="AT261" s="79">
        <v>0</v>
      </c>
      <c r="AU261" s="79"/>
      <c r="AV261" s="79"/>
      <c r="AW261" s="79"/>
      <c r="AX261" s="79"/>
      <c r="AY261" s="79"/>
      <c r="AZ261" s="79"/>
      <c r="BA261" s="79"/>
      <c r="BB261" s="79"/>
      <c r="BC261">
        <v>1</v>
      </c>
      <c r="BD261" s="78" t="str">
        <f>REPLACE(INDEX(GroupVertices[Group], MATCH(Edges[[#This Row],[Vertex 1]],GroupVertices[Vertex],0)),1,1,"")</f>
        <v>2</v>
      </c>
      <c r="BE261" s="78" t="str">
        <f>REPLACE(INDEX(GroupVertices[Group], MATCH(Edges[[#This Row],[Vertex 2]],GroupVertices[Vertex],0)),1,1,"")</f>
        <v>2</v>
      </c>
    </row>
    <row r="262" spans="1:57" x14ac:dyDescent="0.25">
      <c r="A262" s="64" t="s">
        <v>244</v>
      </c>
      <c r="B262" s="64" t="s">
        <v>256</v>
      </c>
      <c r="C262" s="65" t="s">
        <v>2101</v>
      </c>
      <c r="D262" s="66">
        <v>3</v>
      </c>
      <c r="E262" s="67"/>
      <c r="F262" s="68">
        <v>40</v>
      </c>
      <c r="G262" s="65"/>
      <c r="H262" s="69"/>
      <c r="I262" s="70"/>
      <c r="J262" s="70"/>
      <c r="K262" s="35" t="s">
        <v>65</v>
      </c>
      <c r="L262" s="77">
        <v>262</v>
      </c>
      <c r="M26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62" s="72"/>
      <c r="O262" s="79" t="s">
        <v>337</v>
      </c>
      <c r="P262" s="81">
        <v>44405.005162037036</v>
      </c>
      <c r="Q262" s="79" t="s">
        <v>356</v>
      </c>
      <c r="R262" s="79"/>
      <c r="S262" s="79"/>
      <c r="T262" s="85" t="s">
        <v>461</v>
      </c>
      <c r="U262" s="83" t="str">
        <f>HYPERLINK("https://pbs.twimg.com/media/E7VCWcGXMAQx84B.jpg")</f>
        <v>https://pbs.twimg.com/media/E7VCWcGXMAQx84B.jpg</v>
      </c>
      <c r="V262" s="83" t="str">
        <f>HYPERLINK("https://pbs.twimg.com/media/E7VCWcGXMAQx84B.jpg")</f>
        <v>https://pbs.twimg.com/media/E7VCWcGXMAQx84B.jpg</v>
      </c>
      <c r="W262" s="81">
        <v>44405.005162037036</v>
      </c>
      <c r="X262" s="87">
        <v>44405</v>
      </c>
      <c r="Y262" s="85" t="s">
        <v>538</v>
      </c>
      <c r="Z262" s="83" t="str">
        <f>HYPERLINK("https://twitter.com/monieelovee_/status/1420174020666929157")</f>
        <v>https://twitter.com/monieelovee_/status/1420174020666929157</v>
      </c>
      <c r="AA262" s="79"/>
      <c r="AB262" s="79"/>
      <c r="AC262" s="85" t="s">
        <v>715</v>
      </c>
      <c r="AD262" s="79"/>
      <c r="AE262" s="79" t="b">
        <v>0</v>
      </c>
      <c r="AF262" s="79">
        <v>0</v>
      </c>
      <c r="AG262" s="85" t="s">
        <v>867</v>
      </c>
      <c r="AH262" s="79" t="b">
        <v>0</v>
      </c>
      <c r="AI262" s="79" t="s">
        <v>874</v>
      </c>
      <c r="AJ262" s="79"/>
      <c r="AK262" s="85" t="s">
        <v>867</v>
      </c>
      <c r="AL262" s="79" t="b">
        <v>0</v>
      </c>
      <c r="AM262" s="79">
        <v>21</v>
      </c>
      <c r="AN262" s="85" t="s">
        <v>736</v>
      </c>
      <c r="AO262" s="85" t="s">
        <v>883</v>
      </c>
      <c r="AP262" s="79" t="b">
        <v>0</v>
      </c>
      <c r="AQ262" s="85" t="s">
        <v>736</v>
      </c>
      <c r="AR262" s="79" t="s">
        <v>177</v>
      </c>
      <c r="AS262" s="79">
        <v>0</v>
      </c>
      <c r="AT262" s="79">
        <v>0</v>
      </c>
      <c r="AU262" s="79"/>
      <c r="AV262" s="79"/>
      <c r="AW262" s="79"/>
      <c r="AX262" s="79"/>
      <c r="AY262" s="79"/>
      <c r="AZ262" s="79"/>
      <c r="BA262" s="79"/>
      <c r="BB262" s="79"/>
      <c r="BC262">
        <v>1</v>
      </c>
      <c r="BD262" s="78" t="str">
        <f>REPLACE(INDEX(GroupVertices[Group], MATCH(Edges[[#This Row],[Vertex 1]],GroupVertices[Vertex],0)),1,1,"")</f>
        <v>2</v>
      </c>
      <c r="BE262" s="78" t="str">
        <f>REPLACE(INDEX(GroupVertices[Group], MATCH(Edges[[#This Row],[Vertex 2]],GroupVertices[Vertex],0)),1,1,"")</f>
        <v>2</v>
      </c>
    </row>
    <row r="263" spans="1:57" x14ac:dyDescent="0.25">
      <c r="A263" s="64" t="s">
        <v>246</v>
      </c>
      <c r="B263" s="64" t="s">
        <v>256</v>
      </c>
      <c r="C263" s="65" t="s">
        <v>2101</v>
      </c>
      <c r="D263" s="66">
        <v>3</v>
      </c>
      <c r="E263" s="67"/>
      <c r="F263" s="68">
        <v>40</v>
      </c>
      <c r="G263" s="65"/>
      <c r="H263" s="69"/>
      <c r="I263" s="70"/>
      <c r="J263" s="70"/>
      <c r="K263" s="35" t="s">
        <v>65</v>
      </c>
      <c r="L263" s="77">
        <v>263</v>
      </c>
      <c r="M26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63" s="72"/>
      <c r="O263" s="79" t="s">
        <v>338</v>
      </c>
      <c r="P263" s="81">
        <v>44405.043622685182</v>
      </c>
      <c r="Q263" s="79" t="s">
        <v>358</v>
      </c>
      <c r="R263" s="83" t="str">
        <f>HYPERLINK("https://twitter.com/_MABurnett/status/1420114213658402821")</f>
        <v>https://twitter.com/_MABurnett/status/1420114213658402821</v>
      </c>
      <c r="S263" s="79" t="s">
        <v>449</v>
      </c>
      <c r="T263" s="85" t="s">
        <v>461</v>
      </c>
      <c r="U263" s="79"/>
      <c r="V263" s="83" t="str">
        <f>HYPERLINK("https://pbs.twimg.com/profile_images/1149100954437869568/ADya6w5m_normal.jpg")</f>
        <v>https://pbs.twimg.com/profile_images/1149100954437869568/ADya6w5m_normal.jpg</v>
      </c>
      <c r="W263" s="81">
        <v>44405.043622685182</v>
      </c>
      <c r="X263" s="87">
        <v>44405</v>
      </c>
      <c r="Y263" s="85" t="s">
        <v>541</v>
      </c>
      <c r="Z263" s="83" t="str">
        <f>HYPERLINK("https://twitter.com/logangin/status/1420187958502588417")</f>
        <v>https://twitter.com/logangin/status/1420187958502588417</v>
      </c>
      <c r="AA263" s="79"/>
      <c r="AB263" s="79"/>
      <c r="AC263" s="85" t="s">
        <v>720</v>
      </c>
      <c r="AD263" s="79"/>
      <c r="AE263" s="79" t="b">
        <v>0</v>
      </c>
      <c r="AF263" s="79">
        <v>0</v>
      </c>
      <c r="AG263" s="85" t="s">
        <v>867</v>
      </c>
      <c r="AH263" s="79" t="b">
        <v>1</v>
      </c>
      <c r="AI263" s="79" t="s">
        <v>874</v>
      </c>
      <c r="AJ263" s="79"/>
      <c r="AK263" s="85" t="s">
        <v>736</v>
      </c>
      <c r="AL263" s="79" t="b">
        <v>0</v>
      </c>
      <c r="AM263" s="79">
        <v>5</v>
      </c>
      <c r="AN263" s="85" t="s">
        <v>730</v>
      </c>
      <c r="AO263" s="85" t="s">
        <v>883</v>
      </c>
      <c r="AP263" s="79" t="b">
        <v>0</v>
      </c>
      <c r="AQ263" s="85" t="s">
        <v>730</v>
      </c>
      <c r="AR263" s="79" t="s">
        <v>177</v>
      </c>
      <c r="AS263" s="79">
        <v>0</v>
      </c>
      <c r="AT263" s="79">
        <v>0</v>
      </c>
      <c r="AU263" s="79"/>
      <c r="AV263" s="79"/>
      <c r="AW263" s="79"/>
      <c r="AX263" s="79"/>
      <c r="AY263" s="79"/>
      <c r="AZ263" s="79"/>
      <c r="BA263" s="79"/>
      <c r="BB263" s="79"/>
      <c r="BC263">
        <v>1</v>
      </c>
      <c r="BD263" s="78" t="str">
        <f>REPLACE(INDEX(GroupVertices[Group], MATCH(Edges[[#This Row],[Vertex 1]],GroupVertices[Vertex],0)),1,1,"")</f>
        <v>2</v>
      </c>
      <c r="BE263" s="78" t="str">
        <f>REPLACE(INDEX(GroupVertices[Group], MATCH(Edges[[#This Row],[Vertex 2]],GroupVertices[Vertex],0)),1,1,"")</f>
        <v>2</v>
      </c>
    </row>
    <row r="264" spans="1:57" x14ac:dyDescent="0.25">
      <c r="A264" s="64" t="s">
        <v>247</v>
      </c>
      <c r="B264" s="64" t="s">
        <v>256</v>
      </c>
      <c r="C264" s="65" t="s">
        <v>2101</v>
      </c>
      <c r="D264" s="66">
        <v>3</v>
      </c>
      <c r="E264" s="67"/>
      <c r="F264" s="68">
        <v>40</v>
      </c>
      <c r="G264" s="65"/>
      <c r="H264" s="69"/>
      <c r="I264" s="70"/>
      <c r="J264" s="70"/>
      <c r="K264" s="35" t="s">
        <v>65</v>
      </c>
      <c r="L264" s="77">
        <v>264</v>
      </c>
      <c r="M26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64" s="72"/>
      <c r="O264" s="79" t="s">
        <v>337</v>
      </c>
      <c r="P264" s="81">
        <v>44405.090324074074</v>
      </c>
      <c r="Q264" s="79" t="s">
        <v>356</v>
      </c>
      <c r="R264" s="79"/>
      <c r="S264" s="79"/>
      <c r="T264" s="85" t="s">
        <v>461</v>
      </c>
      <c r="U264" s="83" t="str">
        <f t="shared" ref="U264:V270" si="7">HYPERLINK("https://pbs.twimg.com/media/E7VCWcGXMAQx84B.jpg")</f>
        <v>https://pbs.twimg.com/media/E7VCWcGXMAQx84B.jpg</v>
      </c>
      <c r="V264" s="83" t="str">
        <f t="shared" si="7"/>
        <v>https://pbs.twimg.com/media/E7VCWcGXMAQx84B.jpg</v>
      </c>
      <c r="W264" s="81">
        <v>44405.090324074074</v>
      </c>
      <c r="X264" s="87">
        <v>44405</v>
      </c>
      <c r="Y264" s="85" t="s">
        <v>542</v>
      </c>
      <c r="Z264" s="83" t="str">
        <f>HYPERLINK("https://twitter.com/lamarrichards_/status/1420204880652906500")</f>
        <v>https://twitter.com/lamarrichards_/status/1420204880652906500</v>
      </c>
      <c r="AA264" s="79"/>
      <c r="AB264" s="79"/>
      <c r="AC264" s="85" t="s">
        <v>721</v>
      </c>
      <c r="AD264" s="79"/>
      <c r="AE264" s="79" t="b">
        <v>0</v>
      </c>
      <c r="AF264" s="79">
        <v>0</v>
      </c>
      <c r="AG264" s="85" t="s">
        <v>867</v>
      </c>
      <c r="AH264" s="79" t="b">
        <v>0</v>
      </c>
      <c r="AI264" s="79" t="s">
        <v>874</v>
      </c>
      <c r="AJ264" s="79"/>
      <c r="AK264" s="85" t="s">
        <v>867</v>
      </c>
      <c r="AL264" s="79" t="b">
        <v>0</v>
      </c>
      <c r="AM264" s="79">
        <v>21</v>
      </c>
      <c r="AN264" s="85" t="s">
        <v>736</v>
      </c>
      <c r="AO264" s="85" t="s">
        <v>883</v>
      </c>
      <c r="AP264" s="79" t="b">
        <v>0</v>
      </c>
      <c r="AQ264" s="85" t="s">
        <v>736</v>
      </c>
      <c r="AR264" s="79" t="s">
        <v>177</v>
      </c>
      <c r="AS264" s="79">
        <v>0</v>
      </c>
      <c r="AT264" s="79">
        <v>0</v>
      </c>
      <c r="AU264" s="79"/>
      <c r="AV264" s="79"/>
      <c r="AW264" s="79"/>
      <c r="AX264" s="79"/>
      <c r="AY264" s="79"/>
      <c r="AZ264" s="79"/>
      <c r="BA264" s="79"/>
      <c r="BB264" s="79"/>
      <c r="BC264">
        <v>1</v>
      </c>
      <c r="BD264" s="78" t="str">
        <f>REPLACE(INDEX(GroupVertices[Group], MATCH(Edges[[#This Row],[Vertex 1]],GroupVertices[Vertex],0)),1,1,"")</f>
        <v>2</v>
      </c>
      <c r="BE264" s="78" t="str">
        <f>REPLACE(INDEX(GroupVertices[Group], MATCH(Edges[[#This Row],[Vertex 2]],GroupVertices[Vertex],0)),1,1,"")</f>
        <v>2</v>
      </c>
    </row>
    <row r="265" spans="1:57" x14ac:dyDescent="0.25">
      <c r="A265" s="64" t="s">
        <v>248</v>
      </c>
      <c r="B265" s="64" t="s">
        <v>256</v>
      </c>
      <c r="C265" s="65" t="s">
        <v>2101</v>
      </c>
      <c r="D265" s="66">
        <v>3</v>
      </c>
      <c r="E265" s="67"/>
      <c r="F265" s="68">
        <v>40</v>
      </c>
      <c r="G265" s="65"/>
      <c r="H265" s="69"/>
      <c r="I265" s="70"/>
      <c r="J265" s="70"/>
      <c r="K265" s="35" t="s">
        <v>65</v>
      </c>
      <c r="L265" s="77">
        <v>265</v>
      </c>
      <c r="M26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65" s="72"/>
      <c r="O265" s="79" t="s">
        <v>337</v>
      </c>
      <c r="P265" s="81">
        <v>44405.09615740741</v>
      </c>
      <c r="Q265" s="79" t="s">
        <v>356</v>
      </c>
      <c r="R265" s="79"/>
      <c r="S265" s="79"/>
      <c r="T265" s="85" t="s">
        <v>461</v>
      </c>
      <c r="U265" s="83" t="str">
        <f t="shared" si="7"/>
        <v>https://pbs.twimg.com/media/E7VCWcGXMAQx84B.jpg</v>
      </c>
      <c r="V265" s="83" t="str">
        <f t="shared" si="7"/>
        <v>https://pbs.twimg.com/media/E7VCWcGXMAQx84B.jpg</v>
      </c>
      <c r="W265" s="81">
        <v>44405.09615740741</v>
      </c>
      <c r="X265" s="87">
        <v>44405</v>
      </c>
      <c r="Y265" s="85" t="s">
        <v>543</v>
      </c>
      <c r="Z265" s="83" t="str">
        <f>HYPERLINK("https://twitter.com/blasiangoddessx/status/1420206994749861892")</f>
        <v>https://twitter.com/blasiangoddessx/status/1420206994749861892</v>
      </c>
      <c r="AA265" s="79"/>
      <c r="AB265" s="79"/>
      <c r="AC265" s="85" t="s">
        <v>722</v>
      </c>
      <c r="AD265" s="79"/>
      <c r="AE265" s="79" t="b">
        <v>0</v>
      </c>
      <c r="AF265" s="79">
        <v>0</v>
      </c>
      <c r="AG265" s="85" t="s">
        <v>867</v>
      </c>
      <c r="AH265" s="79" t="b">
        <v>0</v>
      </c>
      <c r="AI265" s="79" t="s">
        <v>874</v>
      </c>
      <c r="AJ265" s="79"/>
      <c r="AK265" s="85" t="s">
        <v>867</v>
      </c>
      <c r="AL265" s="79" t="b">
        <v>0</v>
      </c>
      <c r="AM265" s="79">
        <v>21</v>
      </c>
      <c r="AN265" s="85" t="s">
        <v>736</v>
      </c>
      <c r="AO265" s="85" t="s">
        <v>883</v>
      </c>
      <c r="AP265" s="79" t="b">
        <v>0</v>
      </c>
      <c r="AQ265" s="85" t="s">
        <v>736</v>
      </c>
      <c r="AR265" s="79" t="s">
        <v>177</v>
      </c>
      <c r="AS265" s="79">
        <v>0</v>
      </c>
      <c r="AT265" s="79">
        <v>0</v>
      </c>
      <c r="AU265" s="79"/>
      <c r="AV265" s="79"/>
      <c r="AW265" s="79"/>
      <c r="AX265" s="79"/>
      <c r="AY265" s="79"/>
      <c r="AZ265" s="79"/>
      <c r="BA265" s="79"/>
      <c r="BB265" s="79"/>
      <c r="BC265">
        <v>1</v>
      </c>
      <c r="BD265" s="78" t="str">
        <f>REPLACE(INDEX(GroupVertices[Group], MATCH(Edges[[#This Row],[Vertex 1]],GroupVertices[Vertex],0)),1,1,"")</f>
        <v>2</v>
      </c>
      <c r="BE265" s="78" t="str">
        <f>REPLACE(INDEX(GroupVertices[Group], MATCH(Edges[[#This Row],[Vertex 2]],GroupVertices[Vertex],0)),1,1,"")</f>
        <v>2</v>
      </c>
    </row>
    <row r="266" spans="1:57" x14ac:dyDescent="0.25">
      <c r="A266" s="64" t="s">
        <v>249</v>
      </c>
      <c r="B266" s="64" t="s">
        <v>256</v>
      </c>
      <c r="C266" s="65" t="s">
        <v>2101</v>
      </c>
      <c r="D266" s="66">
        <v>3</v>
      </c>
      <c r="E266" s="67"/>
      <c r="F266" s="68">
        <v>40</v>
      </c>
      <c r="G266" s="65"/>
      <c r="H266" s="69"/>
      <c r="I266" s="70"/>
      <c r="J266" s="70"/>
      <c r="K266" s="35" t="s">
        <v>65</v>
      </c>
      <c r="L266" s="77">
        <v>266</v>
      </c>
      <c r="M26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66" s="72"/>
      <c r="O266" s="79" t="s">
        <v>337</v>
      </c>
      <c r="P266" s="81">
        <v>44405.118437500001</v>
      </c>
      <c r="Q266" s="79" t="s">
        <v>356</v>
      </c>
      <c r="R266" s="79"/>
      <c r="S266" s="79"/>
      <c r="T266" s="85" t="s">
        <v>461</v>
      </c>
      <c r="U266" s="83" t="str">
        <f t="shared" si="7"/>
        <v>https://pbs.twimg.com/media/E7VCWcGXMAQx84B.jpg</v>
      </c>
      <c r="V266" s="83" t="str">
        <f t="shared" si="7"/>
        <v>https://pbs.twimg.com/media/E7VCWcGXMAQx84B.jpg</v>
      </c>
      <c r="W266" s="81">
        <v>44405.118437500001</v>
      </c>
      <c r="X266" s="87">
        <v>44405</v>
      </c>
      <c r="Y266" s="85" t="s">
        <v>544</v>
      </c>
      <c r="Z266" s="83" t="str">
        <f>HYPERLINK("https://twitter.com/jbookthacrook/status/1420215068940292096")</f>
        <v>https://twitter.com/jbookthacrook/status/1420215068940292096</v>
      </c>
      <c r="AA266" s="79"/>
      <c r="AB266" s="79"/>
      <c r="AC266" s="85" t="s">
        <v>723</v>
      </c>
      <c r="AD266" s="79"/>
      <c r="AE266" s="79" t="b">
        <v>0</v>
      </c>
      <c r="AF266" s="79">
        <v>0</v>
      </c>
      <c r="AG266" s="85" t="s">
        <v>867</v>
      </c>
      <c r="AH266" s="79" t="b">
        <v>0</v>
      </c>
      <c r="AI266" s="79" t="s">
        <v>874</v>
      </c>
      <c r="AJ266" s="79"/>
      <c r="AK266" s="85" t="s">
        <v>867</v>
      </c>
      <c r="AL266" s="79" t="b">
        <v>0</v>
      </c>
      <c r="AM266" s="79">
        <v>21</v>
      </c>
      <c r="AN266" s="85" t="s">
        <v>736</v>
      </c>
      <c r="AO266" s="85" t="s">
        <v>883</v>
      </c>
      <c r="AP266" s="79" t="b">
        <v>0</v>
      </c>
      <c r="AQ266" s="85" t="s">
        <v>736</v>
      </c>
      <c r="AR266" s="79" t="s">
        <v>177</v>
      </c>
      <c r="AS266" s="79">
        <v>0</v>
      </c>
      <c r="AT266" s="79">
        <v>0</v>
      </c>
      <c r="AU266" s="79"/>
      <c r="AV266" s="79"/>
      <c r="AW266" s="79"/>
      <c r="AX266" s="79"/>
      <c r="AY266" s="79"/>
      <c r="AZ266" s="79"/>
      <c r="BA266" s="79"/>
      <c r="BB266" s="79"/>
      <c r="BC266">
        <v>1</v>
      </c>
      <c r="BD266" s="78" t="str">
        <f>REPLACE(INDEX(GroupVertices[Group], MATCH(Edges[[#This Row],[Vertex 1]],GroupVertices[Vertex],0)),1,1,"")</f>
        <v>2</v>
      </c>
      <c r="BE266" s="78" t="str">
        <f>REPLACE(INDEX(GroupVertices[Group], MATCH(Edges[[#This Row],[Vertex 2]],GroupVertices[Vertex],0)),1,1,"")</f>
        <v>2</v>
      </c>
    </row>
    <row r="267" spans="1:57" x14ac:dyDescent="0.25">
      <c r="A267" s="64" t="s">
        <v>250</v>
      </c>
      <c r="B267" s="64" t="s">
        <v>256</v>
      </c>
      <c r="C267" s="65" t="s">
        <v>2101</v>
      </c>
      <c r="D267" s="66">
        <v>3</v>
      </c>
      <c r="E267" s="67"/>
      <c r="F267" s="68">
        <v>40</v>
      </c>
      <c r="G267" s="65"/>
      <c r="H267" s="69"/>
      <c r="I267" s="70"/>
      <c r="J267" s="70"/>
      <c r="K267" s="35" t="s">
        <v>65</v>
      </c>
      <c r="L267" s="77">
        <v>267</v>
      </c>
      <c r="M26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67" s="72"/>
      <c r="O267" s="79" t="s">
        <v>337</v>
      </c>
      <c r="P267" s="81">
        <v>44405.177488425928</v>
      </c>
      <c r="Q267" s="79" t="s">
        <v>356</v>
      </c>
      <c r="R267" s="79"/>
      <c r="S267" s="79"/>
      <c r="T267" s="85" t="s">
        <v>461</v>
      </c>
      <c r="U267" s="83" t="str">
        <f t="shared" si="7"/>
        <v>https://pbs.twimg.com/media/E7VCWcGXMAQx84B.jpg</v>
      </c>
      <c r="V267" s="83" t="str">
        <f t="shared" si="7"/>
        <v>https://pbs.twimg.com/media/E7VCWcGXMAQx84B.jpg</v>
      </c>
      <c r="W267" s="81">
        <v>44405.177488425928</v>
      </c>
      <c r="X267" s="87">
        <v>44405</v>
      </c>
      <c r="Y267" s="85" t="s">
        <v>545</v>
      </c>
      <c r="Z267" s="83" t="str">
        <f>HYPERLINK("https://twitter.com/nike_bass95/status/1420236468702924801")</f>
        <v>https://twitter.com/nike_bass95/status/1420236468702924801</v>
      </c>
      <c r="AA267" s="79"/>
      <c r="AB267" s="79"/>
      <c r="AC267" s="85" t="s">
        <v>724</v>
      </c>
      <c r="AD267" s="79"/>
      <c r="AE267" s="79" t="b">
        <v>0</v>
      </c>
      <c r="AF267" s="79">
        <v>0</v>
      </c>
      <c r="AG267" s="85" t="s">
        <v>867</v>
      </c>
      <c r="AH267" s="79" t="b">
        <v>0</v>
      </c>
      <c r="AI267" s="79" t="s">
        <v>874</v>
      </c>
      <c r="AJ267" s="79"/>
      <c r="AK267" s="85" t="s">
        <v>867</v>
      </c>
      <c r="AL267" s="79" t="b">
        <v>0</v>
      </c>
      <c r="AM267" s="79">
        <v>21</v>
      </c>
      <c r="AN267" s="85" t="s">
        <v>736</v>
      </c>
      <c r="AO267" s="85" t="s">
        <v>883</v>
      </c>
      <c r="AP267" s="79" t="b">
        <v>0</v>
      </c>
      <c r="AQ267" s="85" t="s">
        <v>736</v>
      </c>
      <c r="AR267" s="79" t="s">
        <v>177</v>
      </c>
      <c r="AS267" s="79">
        <v>0</v>
      </c>
      <c r="AT267" s="79">
        <v>0</v>
      </c>
      <c r="AU267" s="79"/>
      <c r="AV267" s="79"/>
      <c r="AW267" s="79"/>
      <c r="AX267" s="79"/>
      <c r="AY267" s="79"/>
      <c r="AZ267" s="79"/>
      <c r="BA267" s="79"/>
      <c r="BB267" s="79"/>
      <c r="BC267">
        <v>1</v>
      </c>
      <c r="BD267" s="78" t="str">
        <f>REPLACE(INDEX(GroupVertices[Group], MATCH(Edges[[#This Row],[Vertex 1]],GroupVertices[Vertex],0)),1,1,"")</f>
        <v>2</v>
      </c>
      <c r="BE267" s="78" t="str">
        <f>REPLACE(INDEX(GroupVertices[Group], MATCH(Edges[[#This Row],[Vertex 2]],GroupVertices[Vertex],0)),1,1,"")</f>
        <v>2</v>
      </c>
    </row>
    <row r="268" spans="1:57" x14ac:dyDescent="0.25">
      <c r="A268" s="64" t="s">
        <v>251</v>
      </c>
      <c r="B268" s="64" t="s">
        <v>256</v>
      </c>
      <c r="C268" s="65" t="s">
        <v>2101</v>
      </c>
      <c r="D268" s="66">
        <v>3</v>
      </c>
      <c r="E268" s="67"/>
      <c r="F268" s="68">
        <v>40</v>
      </c>
      <c r="G268" s="65"/>
      <c r="H268" s="69"/>
      <c r="I268" s="70"/>
      <c r="J268" s="70"/>
      <c r="K268" s="35" t="s">
        <v>65</v>
      </c>
      <c r="L268" s="77">
        <v>268</v>
      </c>
      <c r="M26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68" s="72"/>
      <c r="O268" s="79" t="s">
        <v>337</v>
      </c>
      <c r="P268" s="81">
        <v>44405.211412037039</v>
      </c>
      <c r="Q268" s="79" t="s">
        <v>356</v>
      </c>
      <c r="R268" s="79"/>
      <c r="S268" s="79"/>
      <c r="T268" s="85" t="s">
        <v>461</v>
      </c>
      <c r="U268" s="83" t="str">
        <f t="shared" si="7"/>
        <v>https://pbs.twimg.com/media/E7VCWcGXMAQx84B.jpg</v>
      </c>
      <c r="V268" s="83" t="str">
        <f t="shared" si="7"/>
        <v>https://pbs.twimg.com/media/E7VCWcGXMAQx84B.jpg</v>
      </c>
      <c r="W268" s="81">
        <v>44405.211412037039</v>
      </c>
      <c r="X268" s="87">
        <v>44405</v>
      </c>
      <c r="Y268" s="85" t="s">
        <v>546</v>
      </c>
      <c r="Z268" s="83" t="str">
        <f>HYPERLINK("https://twitter.com/alitebrand/status/1420248762006523904")</f>
        <v>https://twitter.com/alitebrand/status/1420248762006523904</v>
      </c>
      <c r="AA268" s="79"/>
      <c r="AB268" s="79"/>
      <c r="AC268" s="85" t="s">
        <v>725</v>
      </c>
      <c r="AD268" s="79"/>
      <c r="AE268" s="79" t="b">
        <v>0</v>
      </c>
      <c r="AF268" s="79">
        <v>0</v>
      </c>
      <c r="AG268" s="85" t="s">
        <v>867</v>
      </c>
      <c r="AH268" s="79" t="b">
        <v>0</v>
      </c>
      <c r="AI268" s="79" t="s">
        <v>874</v>
      </c>
      <c r="AJ268" s="79"/>
      <c r="AK268" s="85" t="s">
        <v>867</v>
      </c>
      <c r="AL268" s="79" t="b">
        <v>0</v>
      </c>
      <c r="AM268" s="79">
        <v>21</v>
      </c>
      <c r="AN268" s="85" t="s">
        <v>736</v>
      </c>
      <c r="AO268" s="85" t="s">
        <v>883</v>
      </c>
      <c r="AP268" s="79" t="b">
        <v>0</v>
      </c>
      <c r="AQ268" s="85" t="s">
        <v>736</v>
      </c>
      <c r="AR268" s="79" t="s">
        <v>177</v>
      </c>
      <c r="AS268" s="79">
        <v>0</v>
      </c>
      <c r="AT268" s="79">
        <v>0</v>
      </c>
      <c r="AU268" s="79"/>
      <c r="AV268" s="79"/>
      <c r="AW268" s="79"/>
      <c r="AX268" s="79"/>
      <c r="AY268" s="79"/>
      <c r="AZ268" s="79"/>
      <c r="BA268" s="79"/>
      <c r="BB268" s="79"/>
      <c r="BC268">
        <v>1</v>
      </c>
      <c r="BD268" s="78" t="str">
        <f>REPLACE(INDEX(GroupVertices[Group], MATCH(Edges[[#This Row],[Vertex 1]],GroupVertices[Vertex],0)),1,1,"")</f>
        <v>2</v>
      </c>
      <c r="BE268" s="78" t="str">
        <f>REPLACE(INDEX(GroupVertices[Group], MATCH(Edges[[#This Row],[Vertex 2]],GroupVertices[Vertex],0)),1,1,"")</f>
        <v>2</v>
      </c>
    </row>
    <row r="269" spans="1:57" x14ac:dyDescent="0.25">
      <c r="A269" s="64" t="s">
        <v>252</v>
      </c>
      <c r="B269" s="64" t="s">
        <v>256</v>
      </c>
      <c r="C269" s="65" t="s">
        <v>2101</v>
      </c>
      <c r="D269" s="66">
        <v>3</v>
      </c>
      <c r="E269" s="67"/>
      <c r="F269" s="68">
        <v>40</v>
      </c>
      <c r="G269" s="65"/>
      <c r="H269" s="69"/>
      <c r="I269" s="70"/>
      <c r="J269" s="70"/>
      <c r="K269" s="35" t="s">
        <v>65</v>
      </c>
      <c r="L269" s="77">
        <v>269</v>
      </c>
      <c r="M26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69" s="72"/>
      <c r="O269" s="79" t="s">
        <v>337</v>
      </c>
      <c r="P269" s="81">
        <v>44405.424942129626</v>
      </c>
      <c r="Q269" s="79" t="s">
        <v>356</v>
      </c>
      <c r="R269" s="79"/>
      <c r="S269" s="79"/>
      <c r="T269" s="85" t="s">
        <v>461</v>
      </c>
      <c r="U269" s="83" t="str">
        <f t="shared" si="7"/>
        <v>https://pbs.twimg.com/media/E7VCWcGXMAQx84B.jpg</v>
      </c>
      <c r="V269" s="83" t="str">
        <f t="shared" si="7"/>
        <v>https://pbs.twimg.com/media/E7VCWcGXMAQx84B.jpg</v>
      </c>
      <c r="W269" s="81">
        <v>44405.424942129626</v>
      </c>
      <c r="X269" s="87">
        <v>44405</v>
      </c>
      <c r="Y269" s="85" t="s">
        <v>547</v>
      </c>
      <c r="Z269" s="83" t="str">
        <f>HYPERLINK("https://twitter.com/lotsofsassblog/status/1420326141664051201")</f>
        <v>https://twitter.com/lotsofsassblog/status/1420326141664051201</v>
      </c>
      <c r="AA269" s="79"/>
      <c r="AB269" s="79"/>
      <c r="AC269" s="85" t="s">
        <v>726</v>
      </c>
      <c r="AD269" s="79"/>
      <c r="AE269" s="79" t="b">
        <v>0</v>
      </c>
      <c r="AF269" s="79">
        <v>0</v>
      </c>
      <c r="AG269" s="85" t="s">
        <v>867</v>
      </c>
      <c r="AH269" s="79" t="b">
        <v>0</v>
      </c>
      <c r="AI269" s="79" t="s">
        <v>874</v>
      </c>
      <c r="AJ269" s="79"/>
      <c r="AK269" s="85" t="s">
        <v>867</v>
      </c>
      <c r="AL269" s="79" t="b">
        <v>0</v>
      </c>
      <c r="AM269" s="79">
        <v>21</v>
      </c>
      <c r="AN269" s="85" t="s">
        <v>736</v>
      </c>
      <c r="AO269" s="85" t="s">
        <v>883</v>
      </c>
      <c r="AP269" s="79" t="b">
        <v>0</v>
      </c>
      <c r="AQ269" s="85" t="s">
        <v>736</v>
      </c>
      <c r="AR269" s="79" t="s">
        <v>177</v>
      </c>
      <c r="AS269" s="79">
        <v>0</v>
      </c>
      <c r="AT269" s="79">
        <v>0</v>
      </c>
      <c r="AU269" s="79"/>
      <c r="AV269" s="79"/>
      <c r="AW269" s="79"/>
      <c r="AX269" s="79"/>
      <c r="AY269" s="79"/>
      <c r="AZ269" s="79"/>
      <c r="BA269" s="79"/>
      <c r="BB269" s="79"/>
      <c r="BC269">
        <v>1</v>
      </c>
      <c r="BD269" s="78" t="str">
        <f>REPLACE(INDEX(GroupVertices[Group], MATCH(Edges[[#This Row],[Vertex 1]],GroupVertices[Vertex],0)),1,1,"")</f>
        <v>2</v>
      </c>
      <c r="BE269" s="78" t="str">
        <f>REPLACE(INDEX(GroupVertices[Group], MATCH(Edges[[#This Row],[Vertex 2]],GroupVertices[Vertex],0)),1,1,"")</f>
        <v>2</v>
      </c>
    </row>
    <row r="270" spans="1:57" x14ac:dyDescent="0.25">
      <c r="A270" s="64" t="s">
        <v>253</v>
      </c>
      <c r="B270" s="64" t="s">
        <v>256</v>
      </c>
      <c r="C270" s="65" t="s">
        <v>2101</v>
      </c>
      <c r="D270" s="66">
        <v>3</v>
      </c>
      <c r="E270" s="67"/>
      <c r="F270" s="68">
        <v>40</v>
      </c>
      <c r="G270" s="65"/>
      <c r="H270" s="69"/>
      <c r="I270" s="70"/>
      <c r="J270" s="70"/>
      <c r="K270" s="35" t="s">
        <v>65</v>
      </c>
      <c r="L270" s="77">
        <v>270</v>
      </c>
      <c r="M27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70" s="72"/>
      <c r="O270" s="79" t="s">
        <v>337</v>
      </c>
      <c r="P270" s="81">
        <v>44405.481203703705</v>
      </c>
      <c r="Q270" s="79" t="s">
        <v>356</v>
      </c>
      <c r="R270" s="79"/>
      <c r="S270" s="79"/>
      <c r="T270" s="85" t="s">
        <v>461</v>
      </c>
      <c r="U270" s="83" t="str">
        <f t="shared" si="7"/>
        <v>https://pbs.twimg.com/media/E7VCWcGXMAQx84B.jpg</v>
      </c>
      <c r="V270" s="83" t="str">
        <f t="shared" si="7"/>
        <v>https://pbs.twimg.com/media/E7VCWcGXMAQx84B.jpg</v>
      </c>
      <c r="W270" s="81">
        <v>44405.481203703705</v>
      </c>
      <c r="X270" s="87">
        <v>44405</v>
      </c>
      <c r="Y270" s="85" t="s">
        <v>548</v>
      </c>
      <c r="Z270" s="83" t="str">
        <f>HYPERLINK("https://twitter.com/a_r_palmer/status/1420346530595319808")</f>
        <v>https://twitter.com/a_r_palmer/status/1420346530595319808</v>
      </c>
      <c r="AA270" s="79"/>
      <c r="AB270" s="79"/>
      <c r="AC270" s="85" t="s">
        <v>727</v>
      </c>
      <c r="AD270" s="79"/>
      <c r="AE270" s="79" t="b">
        <v>0</v>
      </c>
      <c r="AF270" s="79">
        <v>0</v>
      </c>
      <c r="AG270" s="85" t="s">
        <v>867</v>
      </c>
      <c r="AH270" s="79" t="b">
        <v>0</v>
      </c>
      <c r="AI270" s="79" t="s">
        <v>874</v>
      </c>
      <c r="AJ270" s="79"/>
      <c r="AK270" s="85" t="s">
        <v>867</v>
      </c>
      <c r="AL270" s="79" t="b">
        <v>0</v>
      </c>
      <c r="AM270" s="79">
        <v>21</v>
      </c>
      <c r="AN270" s="85" t="s">
        <v>736</v>
      </c>
      <c r="AO270" s="85" t="s">
        <v>887</v>
      </c>
      <c r="AP270" s="79" t="b">
        <v>0</v>
      </c>
      <c r="AQ270" s="85" t="s">
        <v>736</v>
      </c>
      <c r="AR270" s="79" t="s">
        <v>177</v>
      </c>
      <c r="AS270" s="79">
        <v>0</v>
      </c>
      <c r="AT270" s="79">
        <v>0</v>
      </c>
      <c r="AU270" s="79"/>
      <c r="AV270" s="79"/>
      <c r="AW270" s="79"/>
      <c r="AX270" s="79"/>
      <c r="AY270" s="79"/>
      <c r="AZ270" s="79"/>
      <c r="BA270" s="79"/>
      <c r="BB270" s="79"/>
      <c r="BC270">
        <v>1</v>
      </c>
      <c r="BD270" s="78" t="str">
        <f>REPLACE(INDEX(GroupVertices[Group], MATCH(Edges[[#This Row],[Vertex 1]],GroupVertices[Vertex],0)),1,1,"")</f>
        <v>2</v>
      </c>
      <c r="BE270" s="78" t="str">
        <f>REPLACE(INDEX(GroupVertices[Group], MATCH(Edges[[#This Row],[Vertex 2]],GroupVertices[Vertex],0)),1,1,"")</f>
        <v>2</v>
      </c>
    </row>
    <row r="271" spans="1:57" x14ac:dyDescent="0.25">
      <c r="A271" s="64" t="s">
        <v>254</v>
      </c>
      <c r="B271" s="64" t="s">
        <v>256</v>
      </c>
      <c r="C271" s="65" t="s">
        <v>2101</v>
      </c>
      <c r="D271" s="66">
        <v>3</v>
      </c>
      <c r="E271" s="67"/>
      <c r="F271" s="68">
        <v>40</v>
      </c>
      <c r="G271" s="65"/>
      <c r="H271" s="69"/>
      <c r="I271" s="70"/>
      <c r="J271" s="70"/>
      <c r="K271" s="35" t="s">
        <v>65</v>
      </c>
      <c r="L271" s="77">
        <v>271</v>
      </c>
      <c r="M27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71" s="72"/>
      <c r="O271" s="79" t="s">
        <v>338</v>
      </c>
      <c r="P271" s="81">
        <v>44405.494467592594</v>
      </c>
      <c r="Q271" s="79" t="s">
        <v>358</v>
      </c>
      <c r="R271" s="83" t="str">
        <f>HYPERLINK("https://twitter.com/_MABurnett/status/1420114213658402821")</f>
        <v>https://twitter.com/_MABurnett/status/1420114213658402821</v>
      </c>
      <c r="S271" s="79" t="s">
        <v>449</v>
      </c>
      <c r="T271" s="85" t="s">
        <v>461</v>
      </c>
      <c r="U271" s="79"/>
      <c r="V271" s="83" t="str">
        <f>HYPERLINK("https://pbs.twimg.com/profile_images/1321252358664454145/7HmMzwjD_normal.jpg")</f>
        <v>https://pbs.twimg.com/profile_images/1321252358664454145/7HmMzwjD_normal.jpg</v>
      </c>
      <c r="W271" s="81">
        <v>44405.494467592594</v>
      </c>
      <c r="X271" s="87">
        <v>44405</v>
      </c>
      <c r="Y271" s="85" t="s">
        <v>549</v>
      </c>
      <c r="Z271" s="83" t="str">
        <f>HYPERLINK("https://twitter.com/ecsuhonors/status/1420351339348074501")</f>
        <v>https://twitter.com/ecsuhonors/status/1420351339348074501</v>
      </c>
      <c r="AA271" s="79"/>
      <c r="AB271" s="79"/>
      <c r="AC271" s="85" t="s">
        <v>728</v>
      </c>
      <c r="AD271" s="79"/>
      <c r="AE271" s="79" t="b">
        <v>0</v>
      </c>
      <c r="AF271" s="79">
        <v>0</v>
      </c>
      <c r="AG271" s="85" t="s">
        <v>867</v>
      </c>
      <c r="AH271" s="79" t="b">
        <v>1</v>
      </c>
      <c r="AI271" s="79" t="s">
        <v>874</v>
      </c>
      <c r="AJ271" s="79"/>
      <c r="AK271" s="85" t="s">
        <v>736</v>
      </c>
      <c r="AL271" s="79" t="b">
        <v>0</v>
      </c>
      <c r="AM271" s="79">
        <v>5</v>
      </c>
      <c r="AN271" s="85" t="s">
        <v>730</v>
      </c>
      <c r="AO271" s="85" t="s">
        <v>882</v>
      </c>
      <c r="AP271" s="79" t="b">
        <v>0</v>
      </c>
      <c r="AQ271" s="85" t="s">
        <v>730</v>
      </c>
      <c r="AR271" s="79" t="s">
        <v>177</v>
      </c>
      <c r="AS271" s="79">
        <v>0</v>
      </c>
      <c r="AT271" s="79">
        <v>0</v>
      </c>
      <c r="AU271" s="79"/>
      <c r="AV271" s="79"/>
      <c r="AW271" s="79"/>
      <c r="AX271" s="79"/>
      <c r="AY271" s="79"/>
      <c r="AZ271" s="79"/>
      <c r="BA271" s="79"/>
      <c r="BB271" s="79"/>
      <c r="BC271">
        <v>1</v>
      </c>
      <c r="BD271" s="78" t="str">
        <f>REPLACE(INDEX(GroupVertices[Group], MATCH(Edges[[#This Row],[Vertex 1]],GroupVertices[Vertex],0)),1,1,"")</f>
        <v>2</v>
      </c>
      <c r="BE271" s="78" t="str">
        <f>REPLACE(INDEX(GroupVertices[Group], MATCH(Edges[[#This Row],[Vertex 2]],GroupVertices[Vertex],0)),1,1,"")</f>
        <v>2</v>
      </c>
    </row>
    <row r="272" spans="1:57" x14ac:dyDescent="0.25">
      <c r="A272" s="64" t="s">
        <v>255</v>
      </c>
      <c r="B272" s="64" t="s">
        <v>256</v>
      </c>
      <c r="C272" s="65" t="s">
        <v>2101</v>
      </c>
      <c r="D272" s="66">
        <v>3</v>
      </c>
      <c r="E272" s="67"/>
      <c r="F272" s="68">
        <v>40</v>
      </c>
      <c r="G272" s="65"/>
      <c r="H272" s="69"/>
      <c r="I272" s="70"/>
      <c r="J272" s="70"/>
      <c r="K272" s="35" t="s">
        <v>65</v>
      </c>
      <c r="L272" s="77">
        <v>272</v>
      </c>
      <c r="M27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72" s="72"/>
      <c r="O272" s="79" t="s">
        <v>337</v>
      </c>
      <c r="P272" s="81">
        <v>44405.504004629627</v>
      </c>
      <c r="Q272" s="79" t="s">
        <v>356</v>
      </c>
      <c r="R272" s="79"/>
      <c r="S272" s="79"/>
      <c r="T272" s="85" t="s">
        <v>461</v>
      </c>
      <c r="U272" s="83" t="str">
        <f>HYPERLINK("https://pbs.twimg.com/media/E7VCWcGXMAQx84B.jpg")</f>
        <v>https://pbs.twimg.com/media/E7VCWcGXMAQx84B.jpg</v>
      </c>
      <c r="V272" s="83" t="str">
        <f>HYPERLINK("https://pbs.twimg.com/media/E7VCWcGXMAQx84B.jpg")</f>
        <v>https://pbs.twimg.com/media/E7VCWcGXMAQx84B.jpg</v>
      </c>
      <c r="W272" s="81">
        <v>44405.504004629627</v>
      </c>
      <c r="X272" s="87">
        <v>44405</v>
      </c>
      <c r="Y272" s="85" t="s">
        <v>550</v>
      </c>
      <c r="Z272" s="83" t="str">
        <f>HYPERLINK("https://twitter.com/adamkirkedge/status/1420354795974668290")</f>
        <v>https://twitter.com/adamkirkedge/status/1420354795974668290</v>
      </c>
      <c r="AA272" s="79"/>
      <c r="AB272" s="79"/>
      <c r="AC272" s="85" t="s">
        <v>729</v>
      </c>
      <c r="AD272" s="79"/>
      <c r="AE272" s="79" t="b">
        <v>0</v>
      </c>
      <c r="AF272" s="79">
        <v>0</v>
      </c>
      <c r="AG272" s="85" t="s">
        <v>867</v>
      </c>
      <c r="AH272" s="79" t="b">
        <v>0</v>
      </c>
      <c r="AI272" s="79" t="s">
        <v>874</v>
      </c>
      <c r="AJ272" s="79"/>
      <c r="AK272" s="85" t="s">
        <v>867</v>
      </c>
      <c r="AL272" s="79" t="b">
        <v>0</v>
      </c>
      <c r="AM272" s="79">
        <v>21</v>
      </c>
      <c r="AN272" s="85" t="s">
        <v>736</v>
      </c>
      <c r="AO272" s="85" t="s">
        <v>887</v>
      </c>
      <c r="AP272" s="79" t="b">
        <v>0</v>
      </c>
      <c r="AQ272" s="85" t="s">
        <v>736</v>
      </c>
      <c r="AR272" s="79" t="s">
        <v>177</v>
      </c>
      <c r="AS272" s="79">
        <v>0</v>
      </c>
      <c r="AT272" s="79">
        <v>0</v>
      </c>
      <c r="AU272" s="79"/>
      <c r="AV272" s="79"/>
      <c r="AW272" s="79"/>
      <c r="AX272" s="79"/>
      <c r="AY272" s="79"/>
      <c r="AZ272" s="79"/>
      <c r="BA272" s="79"/>
      <c r="BB272" s="79"/>
      <c r="BC272">
        <v>1</v>
      </c>
      <c r="BD272" s="78" t="str">
        <f>REPLACE(INDEX(GroupVertices[Group], MATCH(Edges[[#This Row],[Vertex 1]],GroupVertices[Vertex],0)),1,1,"")</f>
        <v>2</v>
      </c>
      <c r="BE272" s="78" t="str">
        <f>REPLACE(INDEX(GroupVertices[Group], MATCH(Edges[[#This Row],[Vertex 2]],GroupVertices[Vertex],0)),1,1,"")</f>
        <v>2</v>
      </c>
    </row>
    <row r="273" spans="1:57" x14ac:dyDescent="0.25">
      <c r="A273" s="64" t="s">
        <v>260</v>
      </c>
      <c r="B273" s="64" t="s">
        <v>256</v>
      </c>
      <c r="C273" s="65" t="s">
        <v>2101</v>
      </c>
      <c r="D273" s="66">
        <v>3</v>
      </c>
      <c r="E273" s="67"/>
      <c r="F273" s="68">
        <v>40</v>
      </c>
      <c r="G273" s="65"/>
      <c r="H273" s="69"/>
      <c r="I273" s="70"/>
      <c r="J273" s="70"/>
      <c r="K273" s="35" t="s">
        <v>65</v>
      </c>
      <c r="L273" s="77">
        <v>273</v>
      </c>
      <c r="M27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73" s="72"/>
      <c r="O273" s="79" t="s">
        <v>339</v>
      </c>
      <c r="P273" s="81">
        <v>44405.640659722223</v>
      </c>
      <c r="Q273" s="79" t="s">
        <v>363</v>
      </c>
      <c r="R273" s="79"/>
      <c r="S273" s="79"/>
      <c r="T273" s="85" t="s">
        <v>461</v>
      </c>
      <c r="U273" s="79"/>
      <c r="V273" s="83" t="str">
        <f>HYPERLINK("https://pbs.twimg.com/profile_images/3042548870/bfa8c8093e0da871ba9c734f472fe580_normal.jpeg")</f>
        <v>https://pbs.twimg.com/profile_images/3042548870/bfa8c8093e0da871ba9c734f472fe580_normal.jpeg</v>
      </c>
      <c r="W273" s="81">
        <v>44405.640659722223</v>
      </c>
      <c r="X273" s="87">
        <v>44405</v>
      </c>
      <c r="Y273" s="85" t="s">
        <v>558</v>
      </c>
      <c r="Z273" s="83" t="str">
        <f>HYPERLINK("https://twitter.com/clcphd2004/status/1420404318184755200")</f>
        <v>https://twitter.com/clcphd2004/status/1420404318184755200</v>
      </c>
      <c r="AA273" s="79"/>
      <c r="AB273" s="79"/>
      <c r="AC273" s="85" t="s">
        <v>737</v>
      </c>
      <c r="AD273" s="85" t="s">
        <v>736</v>
      </c>
      <c r="AE273" s="79" t="b">
        <v>0</v>
      </c>
      <c r="AF273" s="79">
        <v>4</v>
      </c>
      <c r="AG273" s="85" t="s">
        <v>869</v>
      </c>
      <c r="AH273" s="79" t="b">
        <v>0</v>
      </c>
      <c r="AI273" s="79" t="s">
        <v>874</v>
      </c>
      <c r="AJ273" s="79"/>
      <c r="AK273" s="85" t="s">
        <v>867</v>
      </c>
      <c r="AL273" s="79" t="b">
        <v>0</v>
      </c>
      <c r="AM273" s="79">
        <v>0</v>
      </c>
      <c r="AN273" s="85" t="s">
        <v>867</v>
      </c>
      <c r="AO273" s="85" t="s">
        <v>882</v>
      </c>
      <c r="AP273" s="79" t="b">
        <v>0</v>
      </c>
      <c r="AQ273" s="85" t="s">
        <v>736</v>
      </c>
      <c r="AR273" s="79" t="s">
        <v>177</v>
      </c>
      <c r="AS273" s="79">
        <v>0</v>
      </c>
      <c r="AT273" s="79">
        <v>0</v>
      </c>
      <c r="AU273" s="79"/>
      <c r="AV273" s="79"/>
      <c r="AW273" s="79"/>
      <c r="AX273" s="79"/>
      <c r="AY273" s="79"/>
      <c r="AZ273" s="79"/>
      <c r="BA273" s="79"/>
      <c r="BB273" s="79"/>
      <c r="BC273">
        <v>1</v>
      </c>
      <c r="BD273" s="78" t="str">
        <f>REPLACE(INDEX(GroupVertices[Group], MATCH(Edges[[#This Row],[Vertex 1]],GroupVertices[Vertex],0)),1,1,"")</f>
        <v>2</v>
      </c>
      <c r="BE273" s="78" t="str">
        <f>REPLACE(INDEX(GroupVertices[Group], MATCH(Edges[[#This Row],[Vertex 2]],GroupVertices[Vertex],0)),1,1,"")</f>
        <v>2</v>
      </c>
    </row>
    <row r="274" spans="1:57" x14ac:dyDescent="0.25">
      <c r="A274" s="64" t="s">
        <v>245</v>
      </c>
      <c r="B274" s="64" t="s">
        <v>313</v>
      </c>
      <c r="C274" s="65" t="s">
        <v>2101</v>
      </c>
      <c r="D274" s="66">
        <v>3</v>
      </c>
      <c r="E274" s="67"/>
      <c r="F274" s="68">
        <v>40</v>
      </c>
      <c r="G274" s="65"/>
      <c r="H274" s="69"/>
      <c r="I274" s="70"/>
      <c r="J274" s="70"/>
      <c r="K274" s="35" t="s">
        <v>65</v>
      </c>
      <c r="L274" s="77">
        <v>274</v>
      </c>
      <c r="M27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74" s="72"/>
      <c r="O274" s="79" t="s">
        <v>337</v>
      </c>
      <c r="P274" s="81">
        <v>44405.008206018516</v>
      </c>
      <c r="Q274" s="79" t="s">
        <v>360</v>
      </c>
      <c r="R274" s="79"/>
      <c r="S274" s="79"/>
      <c r="T274" s="85" t="s">
        <v>474</v>
      </c>
      <c r="U274" s="83" t="str">
        <f>HYPERLINK("https://pbs.twimg.com/media/EQ1_Rq-WsAE6FpH.jpg")</f>
        <v>https://pbs.twimg.com/media/EQ1_Rq-WsAE6FpH.jpg</v>
      </c>
      <c r="V274" s="83" t="str">
        <f>HYPERLINK("https://pbs.twimg.com/media/EQ1_Rq-WsAE6FpH.jpg")</f>
        <v>https://pbs.twimg.com/media/EQ1_Rq-WsAE6FpH.jpg</v>
      </c>
      <c r="W274" s="81">
        <v>44405.008206018516</v>
      </c>
      <c r="X274" s="87">
        <v>44405</v>
      </c>
      <c r="Y274" s="85" t="s">
        <v>540</v>
      </c>
      <c r="Z274" s="83" t="str">
        <f>HYPERLINK("https://twitter.com/aaron_cortes/status/1420175121726255107")</f>
        <v>https://twitter.com/aaron_cortes/status/1420175121726255107</v>
      </c>
      <c r="AA274" s="79"/>
      <c r="AB274" s="79"/>
      <c r="AC274" s="85" t="s">
        <v>719</v>
      </c>
      <c r="AD274" s="79"/>
      <c r="AE274" s="79" t="b">
        <v>0</v>
      </c>
      <c r="AF274" s="79">
        <v>0</v>
      </c>
      <c r="AG274" s="85" t="s">
        <v>867</v>
      </c>
      <c r="AH274" s="79" t="b">
        <v>0</v>
      </c>
      <c r="AI274" s="79" t="s">
        <v>874</v>
      </c>
      <c r="AJ274" s="79"/>
      <c r="AK274" s="85" t="s">
        <v>867</v>
      </c>
      <c r="AL274" s="79" t="b">
        <v>0</v>
      </c>
      <c r="AM274" s="79">
        <v>7</v>
      </c>
      <c r="AN274" s="85" t="s">
        <v>718</v>
      </c>
      <c r="AO274" s="85" t="s">
        <v>883</v>
      </c>
      <c r="AP274" s="79" t="b">
        <v>0</v>
      </c>
      <c r="AQ274" s="85" t="s">
        <v>718</v>
      </c>
      <c r="AR274" s="79" t="s">
        <v>177</v>
      </c>
      <c r="AS274" s="79">
        <v>0</v>
      </c>
      <c r="AT274" s="79">
        <v>0</v>
      </c>
      <c r="AU274" s="79"/>
      <c r="AV274" s="79"/>
      <c r="AW274" s="79"/>
      <c r="AX274" s="79"/>
      <c r="AY274" s="79"/>
      <c r="AZ274" s="79"/>
      <c r="BA274" s="79"/>
      <c r="BB274" s="79"/>
      <c r="BC274">
        <v>1</v>
      </c>
      <c r="BD274" s="78" t="str">
        <f>REPLACE(INDEX(GroupVertices[Group], MATCH(Edges[[#This Row],[Vertex 1]],GroupVertices[Vertex],0)),1,1,"")</f>
        <v>4</v>
      </c>
      <c r="BE274" s="78" t="str">
        <f>REPLACE(INDEX(GroupVertices[Group], MATCH(Edges[[#This Row],[Vertex 2]],GroupVertices[Vertex],0)),1,1,"")</f>
        <v>4</v>
      </c>
    </row>
    <row r="275" spans="1:57" x14ac:dyDescent="0.25">
      <c r="A275" s="64" t="s">
        <v>218</v>
      </c>
      <c r="B275" s="64" t="s">
        <v>219</v>
      </c>
      <c r="C275" s="65" t="s">
        <v>2101</v>
      </c>
      <c r="D275" s="66">
        <v>3</v>
      </c>
      <c r="E275" s="67"/>
      <c r="F275" s="68">
        <v>40</v>
      </c>
      <c r="G275" s="65"/>
      <c r="H275" s="69"/>
      <c r="I275" s="70"/>
      <c r="J275" s="70"/>
      <c r="K275" s="35" t="s">
        <v>66</v>
      </c>
      <c r="L275" s="77">
        <v>275</v>
      </c>
      <c r="M27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75" s="72"/>
      <c r="O275" s="79" t="s">
        <v>339</v>
      </c>
      <c r="P275" s="81">
        <v>44400.89984953704</v>
      </c>
      <c r="Q275" s="79" t="s">
        <v>342</v>
      </c>
      <c r="R275" s="79"/>
      <c r="S275" s="79"/>
      <c r="T275" s="85" t="s">
        <v>461</v>
      </c>
      <c r="U275" s="83" t="str">
        <f>HYPERLINK("https://pbs.twimg.com/media/E7AvFTuWEAIxRbr.jpg")</f>
        <v>https://pbs.twimg.com/media/E7AvFTuWEAIxRbr.jpg</v>
      </c>
      <c r="V275" s="83" t="str">
        <f>HYPERLINK("https://pbs.twimg.com/media/E7AvFTuWEAIxRbr.jpg")</f>
        <v>https://pbs.twimg.com/media/E7AvFTuWEAIxRbr.jpg</v>
      </c>
      <c r="W275" s="81">
        <v>44400.89984953704</v>
      </c>
      <c r="X275" s="87">
        <v>44400</v>
      </c>
      <c r="Y275" s="85" t="s">
        <v>512</v>
      </c>
      <c r="Z275" s="83" t="str">
        <f>HYPERLINK("https://twitter.com/ceopmedia/status/1418686305224077315")</f>
        <v>https://twitter.com/ceopmedia/status/1418686305224077315</v>
      </c>
      <c r="AA275" s="79"/>
      <c r="AB275" s="79"/>
      <c r="AC275" s="85" t="s">
        <v>688</v>
      </c>
      <c r="AD275" s="79"/>
      <c r="AE275" s="79" t="b">
        <v>0</v>
      </c>
      <c r="AF275" s="79">
        <v>12</v>
      </c>
      <c r="AG275" s="85" t="s">
        <v>867</v>
      </c>
      <c r="AH275" s="79" t="b">
        <v>0</v>
      </c>
      <c r="AI275" s="79" t="s">
        <v>874</v>
      </c>
      <c r="AJ275" s="79"/>
      <c r="AK275" s="85" t="s">
        <v>867</v>
      </c>
      <c r="AL275" s="79" t="b">
        <v>0</v>
      </c>
      <c r="AM275" s="79">
        <v>1</v>
      </c>
      <c r="AN275" s="85" t="s">
        <v>867</v>
      </c>
      <c r="AO275" s="85" t="s">
        <v>882</v>
      </c>
      <c r="AP275" s="79" t="b">
        <v>0</v>
      </c>
      <c r="AQ275" s="85" t="s">
        <v>688</v>
      </c>
      <c r="AR275" s="79" t="s">
        <v>338</v>
      </c>
      <c r="AS275" s="79">
        <v>0</v>
      </c>
      <c r="AT275" s="79">
        <v>0</v>
      </c>
      <c r="AU275" s="79"/>
      <c r="AV275" s="79"/>
      <c r="AW275" s="79"/>
      <c r="AX275" s="79"/>
      <c r="AY275" s="79"/>
      <c r="AZ275" s="79"/>
      <c r="BA275" s="79"/>
      <c r="BB275" s="79"/>
      <c r="BC275">
        <v>1</v>
      </c>
      <c r="BD275" s="78" t="str">
        <f>REPLACE(INDEX(GroupVertices[Group], MATCH(Edges[[#This Row],[Vertex 1]],GroupVertices[Vertex],0)),1,1,"")</f>
        <v>14</v>
      </c>
      <c r="BE275" s="78" t="str">
        <f>REPLACE(INDEX(GroupVertices[Group], MATCH(Edges[[#This Row],[Vertex 2]],GroupVertices[Vertex],0)),1,1,"")</f>
        <v>14</v>
      </c>
    </row>
    <row r="276" spans="1:57" x14ac:dyDescent="0.25">
      <c r="A276" s="64" t="s">
        <v>216</v>
      </c>
      <c r="B276" s="64" t="s">
        <v>301</v>
      </c>
      <c r="C276" s="65" t="s">
        <v>2101</v>
      </c>
      <c r="D276" s="66">
        <v>3</v>
      </c>
      <c r="E276" s="67"/>
      <c r="F276" s="68">
        <v>40</v>
      </c>
      <c r="G276" s="65"/>
      <c r="H276" s="69"/>
      <c r="I276" s="70"/>
      <c r="J276" s="70"/>
      <c r="K276" s="35" t="s">
        <v>65</v>
      </c>
      <c r="L276" s="77">
        <v>276</v>
      </c>
      <c r="M27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76" s="72"/>
      <c r="O276" s="79" t="s">
        <v>339</v>
      </c>
      <c r="P276" s="81">
        <v>44400.711516203701</v>
      </c>
      <c r="Q276" s="79" t="s">
        <v>341</v>
      </c>
      <c r="R276" s="83" t="str">
        <f t="shared" ref="R276:R281" si="8">HYPERLINK("https://doublepell.org/take-action/")</f>
        <v>https://doublepell.org/take-action/</v>
      </c>
      <c r="S276" s="79" t="s">
        <v>446</v>
      </c>
      <c r="T276" s="85" t="s">
        <v>460</v>
      </c>
      <c r="U276" s="83" t="str">
        <f t="shared" ref="U276:V281" si="9">HYPERLINK("https://pbs.twimg.com/media/E6_v8_lWUAoUB-Q.jpg")</f>
        <v>https://pbs.twimg.com/media/E6_v8_lWUAoUB-Q.jpg</v>
      </c>
      <c r="V276" s="83" t="str">
        <f t="shared" si="9"/>
        <v>https://pbs.twimg.com/media/E6_v8_lWUAoUB-Q.jpg</v>
      </c>
      <c r="W276" s="81">
        <v>44400.711516203701</v>
      </c>
      <c r="X276" s="87">
        <v>44400</v>
      </c>
      <c r="Y276" s="85" t="s">
        <v>510</v>
      </c>
      <c r="Z276" s="83" t="str">
        <f>HYPERLINK("https://twitter.com/ess_kstate/status/1418618052510470147")</f>
        <v>https://twitter.com/ess_kstate/status/1418618052510470147</v>
      </c>
      <c r="AA276" s="79"/>
      <c r="AB276" s="79"/>
      <c r="AC276" s="85" t="s">
        <v>686</v>
      </c>
      <c r="AD276" s="79"/>
      <c r="AE276" s="79" t="b">
        <v>0</v>
      </c>
      <c r="AF276" s="79">
        <v>2</v>
      </c>
      <c r="AG276" s="85" t="s">
        <v>867</v>
      </c>
      <c r="AH276" s="79" t="b">
        <v>0</v>
      </c>
      <c r="AI276" s="79" t="s">
        <v>874</v>
      </c>
      <c r="AJ276" s="79"/>
      <c r="AK276" s="85" t="s">
        <v>867</v>
      </c>
      <c r="AL276" s="79" t="b">
        <v>0</v>
      </c>
      <c r="AM276" s="79">
        <v>2</v>
      </c>
      <c r="AN276" s="85" t="s">
        <v>867</v>
      </c>
      <c r="AO276" s="85" t="s">
        <v>882</v>
      </c>
      <c r="AP276" s="79" t="b">
        <v>0</v>
      </c>
      <c r="AQ276" s="85" t="s">
        <v>686</v>
      </c>
      <c r="AR276" s="79" t="s">
        <v>338</v>
      </c>
      <c r="AS276" s="79">
        <v>0</v>
      </c>
      <c r="AT276" s="79">
        <v>0</v>
      </c>
      <c r="AU276" s="79"/>
      <c r="AV276" s="79"/>
      <c r="AW276" s="79"/>
      <c r="AX276" s="79"/>
      <c r="AY276" s="79"/>
      <c r="AZ276" s="79"/>
      <c r="BA276" s="79"/>
      <c r="BB276" s="79"/>
      <c r="BC276">
        <v>1</v>
      </c>
      <c r="BD276" s="78" t="str">
        <f>REPLACE(INDEX(GroupVertices[Group], MATCH(Edges[[#This Row],[Vertex 1]],GroupVertices[Vertex],0)),1,1,"")</f>
        <v>7</v>
      </c>
      <c r="BE276" s="78" t="str">
        <f>REPLACE(INDEX(GroupVertices[Group], MATCH(Edges[[#This Row],[Vertex 2]],GroupVertices[Vertex],0)),1,1,"")</f>
        <v>7</v>
      </c>
    </row>
    <row r="277" spans="1:57" x14ac:dyDescent="0.25">
      <c r="A277" s="64" t="s">
        <v>215</v>
      </c>
      <c r="B277" s="64" t="s">
        <v>301</v>
      </c>
      <c r="C277" s="65" t="s">
        <v>2101</v>
      </c>
      <c r="D277" s="66">
        <v>3</v>
      </c>
      <c r="E277" s="67"/>
      <c r="F277" s="68">
        <v>40</v>
      </c>
      <c r="G277" s="65"/>
      <c r="H277" s="69"/>
      <c r="I277" s="70"/>
      <c r="J277" s="70"/>
      <c r="K277" s="35" t="s">
        <v>65</v>
      </c>
      <c r="L277" s="71">
        <v>277</v>
      </c>
      <c r="M277" s="71"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77" s="72"/>
      <c r="O277" s="78" t="s">
        <v>337</v>
      </c>
      <c r="P277" s="80">
        <v>44401.744930555556</v>
      </c>
      <c r="Q277" s="78" t="s">
        <v>341</v>
      </c>
      <c r="R277" s="82" t="str">
        <f t="shared" si="8"/>
        <v>https://doublepell.org/take-action/</v>
      </c>
      <c r="S277" s="78" t="s">
        <v>446</v>
      </c>
      <c r="T277" s="84" t="s">
        <v>460</v>
      </c>
      <c r="U277" s="82" t="str">
        <f t="shared" si="9"/>
        <v>https://pbs.twimg.com/media/E6_v8_lWUAoUB-Q.jpg</v>
      </c>
      <c r="V277" s="82" t="str">
        <f t="shared" si="9"/>
        <v>https://pbs.twimg.com/media/E6_v8_lWUAoUB-Q.jpg</v>
      </c>
      <c r="W277" s="80">
        <v>44401.744930555556</v>
      </c>
      <c r="X277" s="86">
        <v>44401</v>
      </c>
      <c r="Y277" s="84" t="s">
        <v>509</v>
      </c>
      <c r="Z277" s="82" t="str">
        <f>HYPERLINK("https://twitter.com/aceducation/status/1418992550153687043")</f>
        <v>https://twitter.com/aceducation/status/1418992550153687043</v>
      </c>
      <c r="AA277" s="78"/>
      <c r="AB277" s="78"/>
      <c r="AC277" s="84" t="s">
        <v>685</v>
      </c>
      <c r="AD277" s="78"/>
      <c r="AE277" s="78" t="b">
        <v>0</v>
      </c>
      <c r="AF277" s="78">
        <v>0</v>
      </c>
      <c r="AG277" s="84" t="s">
        <v>867</v>
      </c>
      <c r="AH277" s="78" t="b">
        <v>0</v>
      </c>
      <c r="AI277" s="78" t="s">
        <v>874</v>
      </c>
      <c r="AJ277" s="78"/>
      <c r="AK277" s="84" t="s">
        <v>867</v>
      </c>
      <c r="AL277" s="78" t="b">
        <v>0</v>
      </c>
      <c r="AM277" s="78">
        <v>2</v>
      </c>
      <c r="AN277" s="84" t="s">
        <v>686</v>
      </c>
      <c r="AO277" s="84" t="s">
        <v>882</v>
      </c>
      <c r="AP277" s="78" t="b">
        <v>0</v>
      </c>
      <c r="AQ277" s="84" t="s">
        <v>686</v>
      </c>
      <c r="AR277" s="78" t="s">
        <v>177</v>
      </c>
      <c r="AS277" s="78">
        <v>0</v>
      </c>
      <c r="AT277" s="78">
        <v>0</v>
      </c>
      <c r="AU277" s="78"/>
      <c r="AV277" s="78"/>
      <c r="AW277" s="78"/>
      <c r="AX277" s="78"/>
      <c r="AY277" s="78"/>
      <c r="AZ277" s="78"/>
      <c r="BA277" s="78"/>
      <c r="BB277" s="78"/>
      <c r="BC277">
        <v>1</v>
      </c>
      <c r="BD277" s="78" t="str">
        <f>REPLACE(INDEX(GroupVertices[Group], MATCH(Edges[[#This Row],[Vertex 1]],GroupVertices[Vertex],0)),1,1,"")</f>
        <v>7</v>
      </c>
      <c r="BE277" s="78" t="str">
        <f>REPLACE(INDEX(GroupVertices[Group], MATCH(Edges[[#This Row],[Vertex 2]],GroupVertices[Vertex],0)),1,1,"")</f>
        <v>7</v>
      </c>
    </row>
    <row r="278" spans="1:57" x14ac:dyDescent="0.25">
      <c r="A278" s="64" t="s">
        <v>217</v>
      </c>
      <c r="B278" s="64" t="s">
        <v>301</v>
      </c>
      <c r="C278" s="65" t="s">
        <v>2101</v>
      </c>
      <c r="D278" s="66">
        <v>3</v>
      </c>
      <c r="E278" s="67"/>
      <c r="F278" s="68">
        <v>40</v>
      </c>
      <c r="G278" s="65"/>
      <c r="H278" s="69"/>
      <c r="I278" s="70"/>
      <c r="J278" s="70"/>
      <c r="K278" s="35" t="s">
        <v>65</v>
      </c>
      <c r="L278" s="77">
        <v>278</v>
      </c>
      <c r="M27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78" s="72"/>
      <c r="O278" s="79" t="s">
        <v>337</v>
      </c>
      <c r="P278" s="81">
        <v>44401.748680555553</v>
      </c>
      <c r="Q278" s="79" t="s">
        <v>341</v>
      </c>
      <c r="R278" s="83" t="str">
        <f t="shared" si="8"/>
        <v>https://doublepell.org/take-action/</v>
      </c>
      <c r="S278" s="79" t="s">
        <v>446</v>
      </c>
      <c r="T278" s="85" t="s">
        <v>460</v>
      </c>
      <c r="U278" s="83" t="str">
        <f t="shared" si="9"/>
        <v>https://pbs.twimg.com/media/E6_v8_lWUAoUB-Q.jpg</v>
      </c>
      <c r="V278" s="83" t="str">
        <f t="shared" si="9"/>
        <v>https://pbs.twimg.com/media/E6_v8_lWUAoUB-Q.jpg</v>
      </c>
      <c r="W278" s="81">
        <v>44401.748680555553</v>
      </c>
      <c r="X278" s="87">
        <v>44401</v>
      </c>
      <c r="Y278" s="85" t="s">
        <v>511</v>
      </c>
      <c r="Z278" s="83" t="str">
        <f>HYPERLINK("https://twitter.com/jonriskindatace/status/1418993911645843456")</f>
        <v>https://twitter.com/jonriskindatace/status/1418993911645843456</v>
      </c>
      <c r="AA278" s="79"/>
      <c r="AB278" s="79"/>
      <c r="AC278" s="85" t="s">
        <v>687</v>
      </c>
      <c r="AD278" s="79"/>
      <c r="AE278" s="79" t="b">
        <v>0</v>
      </c>
      <c r="AF278" s="79">
        <v>0</v>
      </c>
      <c r="AG278" s="85" t="s">
        <v>867</v>
      </c>
      <c r="AH278" s="79" t="b">
        <v>0</v>
      </c>
      <c r="AI278" s="79" t="s">
        <v>874</v>
      </c>
      <c r="AJ278" s="79"/>
      <c r="AK278" s="85" t="s">
        <v>867</v>
      </c>
      <c r="AL278" s="79" t="b">
        <v>0</v>
      </c>
      <c r="AM278" s="79">
        <v>2</v>
      </c>
      <c r="AN278" s="85" t="s">
        <v>686</v>
      </c>
      <c r="AO278" s="85" t="s">
        <v>883</v>
      </c>
      <c r="AP278" s="79" t="b">
        <v>0</v>
      </c>
      <c r="AQ278" s="85" t="s">
        <v>686</v>
      </c>
      <c r="AR278" s="79" t="s">
        <v>177</v>
      </c>
      <c r="AS278" s="79">
        <v>0</v>
      </c>
      <c r="AT278" s="79">
        <v>0</v>
      </c>
      <c r="AU278" s="79"/>
      <c r="AV278" s="79"/>
      <c r="AW278" s="79"/>
      <c r="AX278" s="79"/>
      <c r="AY278" s="79"/>
      <c r="AZ278" s="79"/>
      <c r="BA278" s="79"/>
      <c r="BB278" s="79"/>
      <c r="BC278">
        <v>1</v>
      </c>
      <c r="BD278" s="78" t="str">
        <f>REPLACE(INDEX(GroupVertices[Group], MATCH(Edges[[#This Row],[Vertex 1]],GroupVertices[Vertex],0)),1,1,"")</f>
        <v>7</v>
      </c>
      <c r="BE278" s="78" t="str">
        <f>REPLACE(INDEX(GroupVertices[Group], MATCH(Edges[[#This Row],[Vertex 2]],GroupVertices[Vertex],0)),1,1,"")</f>
        <v>7</v>
      </c>
    </row>
    <row r="279" spans="1:57" x14ac:dyDescent="0.25">
      <c r="A279" s="64" t="s">
        <v>216</v>
      </c>
      <c r="B279" s="64" t="s">
        <v>300</v>
      </c>
      <c r="C279" s="65" t="s">
        <v>2101</v>
      </c>
      <c r="D279" s="66">
        <v>3</v>
      </c>
      <c r="E279" s="67"/>
      <c r="F279" s="68">
        <v>40</v>
      </c>
      <c r="G279" s="65"/>
      <c r="H279" s="69"/>
      <c r="I279" s="70"/>
      <c r="J279" s="70"/>
      <c r="K279" s="35" t="s">
        <v>65</v>
      </c>
      <c r="L279" s="77">
        <v>279</v>
      </c>
      <c r="M27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79" s="72"/>
      <c r="O279" s="79" t="s">
        <v>339</v>
      </c>
      <c r="P279" s="81">
        <v>44400.711516203701</v>
      </c>
      <c r="Q279" s="79" t="s">
        <v>341</v>
      </c>
      <c r="R279" s="83" t="str">
        <f t="shared" si="8"/>
        <v>https://doublepell.org/take-action/</v>
      </c>
      <c r="S279" s="79" t="s">
        <v>446</v>
      </c>
      <c r="T279" s="85" t="s">
        <v>460</v>
      </c>
      <c r="U279" s="83" t="str">
        <f t="shared" si="9"/>
        <v>https://pbs.twimg.com/media/E6_v8_lWUAoUB-Q.jpg</v>
      </c>
      <c r="V279" s="83" t="str">
        <f t="shared" si="9"/>
        <v>https://pbs.twimg.com/media/E6_v8_lWUAoUB-Q.jpg</v>
      </c>
      <c r="W279" s="81">
        <v>44400.711516203701</v>
      </c>
      <c r="X279" s="87">
        <v>44400</v>
      </c>
      <c r="Y279" s="85" t="s">
        <v>510</v>
      </c>
      <c r="Z279" s="83" t="str">
        <f>HYPERLINK("https://twitter.com/ess_kstate/status/1418618052510470147")</f>
        <v>https://twitter.com/ess_kstate/status/1418618052510470147</v>
      </c>
      <c r="AA279" s="79"/>
      <c r="AB279" s="79"/>
      <c r="AC279" s="85" t="s">
        <v>686</v>
      </c>
      <c r="AD279" s="79"/>
      <c r="AE279" s="79" t="b">
        <v>0</v>
      </c>
      <c r="AF279" s="79">
        <v>2</v>
      </c>
      <c r="AG279" s="85" t="s">
        <v>867</v>
      </c>
      <c r="AH279" s="79" t="b">
        <v>0</v>
      </c>
      <c r="AI279" s="79" t="s">
        <v>874</v>
      </c>
      <c r="AJ279" s="79"/>
      <c r="AK279" s="85" t="s">
        <v>867</v>
      </c>
      <c r="AL279" s="79" t="b">
        <v>0</v>
      </c>
      <c r="AM279" s="79">
        <v>2</v>
      </c>
      <c r="AN279" s="85" t="s">
        <v>867</v>
      </c>
      <c r="AO279" s="85" t="s">
        <v>882</v>
      </c>
      <c r="AP279" s="79" t="b">
        <v>0</v>
      </c>
      <c r="AQ279" s="85" t="s">
        <v>686</v>
      </c>
      <c r="AR279" s="79" t="s">
        <v>338</v>
      </c>
      <c r="AS279" s="79">
        <v>0</v>
      </c>
      <c r="AT279" s="79">
        <v>0</v>
      </c>
      <c r="AU279" s="79"/>
      <c r="AV279" s="79"/>
      <c r="AW279" s="79"/>
      <c r="AX279" s="79"/>
      <c r="AY279" s="79"/>
      <c r="AZ279" s="79"/>
      <c r="BA279" s="79"/>
      <c r="BB279" s="79"/>
      <c r="BC279">
        <v>1</v>
      </c>
      <c r="BD279" s="78" t="str">
        <f>REPLACE(INDEX(GroupVertices[Group], MATCH(Edges[[#This Row],[Vertex 1]],GroupVertices[Vertex],0)),1,1,"")</f>
        <v>7</v>
      </c>
      <c r="BE279" s="78" t="str">
        <f>REPLACE(INDEX(GroupVertices[Group], MATCH(Edges[[#This Row],[Vertex 2]],GroupVertices[Vertex],0)),1,1,"")</f>
        <v>7</v>
      </c>
    </row>
    <row r="280" spans="1:57" x14ac:dyDescent="0.25">
      <c r="A280" s="64" t="s">
        <v>215</v>
      </c>
      <c r="B280" s="64" t="s">
        <v>300</v>
      </c>
      <c r="C280" s="65" t="s">
        <v>2101</v>
      </c>
      <c r="D280" s="66">
        <v>3</v>
      </c>
      <c r="E280" s="67"/>
      <c r="F280" s="68">
        <v>40</v>
      </c>
      <c r="G280" s="65"/>
      <c r="H280" s="69"/>
      <c r="I280" s="70"/>
      <c r="J280" s="70"/>
      <c r="K280" s="35" t="s">
        <v>65</v>
      </c>
      <c r="L280" s="77">
        <v>280</v>
      </c>
      <c r="M28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80" s="72"/>
      <c r="O280" s="79" t="s">
        <v>337</v>
      </c>
      <c r="P280" s="81">
        <v>44401.744930555556</v>
      </c>
      <c r="Q280" s="79" t="s">
        <v>341</v>
      </c>
      <c r="R280" s="83" t="str">
        <f t="shared" si="8"/>
        <v>https://doublepell.org/take-action/</v>
      </c>
      <c r="S280" s="79" t="s">
        <v>446</v>
      </c>
      <c r="T280" s="85" t="s">
        <v>460</v>
      </c>
      <c r="U280" s="83" t="str">
        <f t="shared" si="9"/>
        <v>https://pbs.twimg.com/media/E6_v8_lWUAoUB-Q.jpg</v>
      </c>
      <c r="V280" s="83" t="str">
        <f t="shared" si="9"/>
        <v>https://pbs.twimg.com/media/E6_v8_lWUAoUB-Q.jpg</v>
      </c>
      <c r="W280" s="81">
        <v>44401.744930555556</v>
      </c>
      <c r="X280" s="87">
        <v>44401</v>
      </c>
      <c r="Y280" s="85" t="s">
        <v>509</v>
      </c>
      <c r="Z280" s="83" t="str">
        <f>HYPERLINK("https://twitter.com/aceducation/status/1418992550153687043")</f>
        <v>https://twitter.com/aceducation/status/1418992550153687043</v>
      </c>
      <c r="AA280" s="79"/>
      <c r="AB280" s="79"/>
      <c r="AC280" s="85" t="s">
        <v>685</v>
      </c>
      <c r="AD280" s="79"/>
      <c r="AE280" s="79" t="b">
        <v>0</v>
      </c>
      <c r="AF280" s="79">
        <v>0</v>
      </c>
      <c r="AG280" s="85" t="s">
        <v>867</v>
      </c>
      <c r="AH280" s="79" t="b">
        <v>0</v>
      </c>
      <c r="AI280" s="79" t="s">
        <v>874</v>
      </c>
      <c r="AJ280" s="79"/>
      <c r="AK280" s="85" t="s">
        <v>867</v>
      </c>
      <c r="AL280" s="79" t="b">
        <v>0</v>
      </c>
      <c r="AM280" s="79">
        <v>2</v>
      </c>
      <c r="AN280" s="85" t="s">
        <v>686</v>
      </c>
      <c r="AO280" s="85" t="s">
        <v>882</v>
      </c>
      <c r="AP280" s="79" t="b">
        <v>0</v>
      </c>
      <c r="AQ280" s="85" t="s">
        <v>686</v>
      </c>
      <c r="AR280" s="79" t="s">
        <v>177</v>
      </c>
      <c r="AS280" s="79">
        <v>0</v>
      </c>
      <c r="AT280" s="79">
        <v>0</v>
      </c>
      <c r="AU280" s="79"/>
      <c r="AV280" s="79"/>
      <c r="AW280" s="79"/>
      <c r="AX280" s="79"/>
      <c r="AY280" s="79"/>
      <c r="AZ280" s="79"/>
      <c r="BA280" s="79"/>
      <c r="BB280" s="79"/>
      <c r="BC280">
        <v>1</v>
      </c>
      <c r="BD280" s="78" t="str">
        <f>REPLACE(INDEX(GroupVertices[Group], MATCH(Edges[[#This Row],[Vertex 1]],GroupVertices[Vertex],0)),1,1,"")</f>
        <v>7</v>
      </c>
      <c r="BE280" s="78" t="str">
        <f>REPLACE(INDEX(GroupVertices[Group], MATCH(Edges[[#This Row],[Vertex 2]],GroupVertices[Vertex],0)),1,1,"")</f>
        <v>7</v>
      </c>
    </row>
    <row r="281" spans="1:57" x14ac:dyDescent="0.25">
      <c r="A281" s="64" t="s">
        <v>217</v>
      </c>
      <c r="B281" s="64" t="s">
        <v>300</v>
      </c>
      <c r="C281" s="65" t="s">
        <v>2101</v>
      </c>
      <c r="D281" s="66">
        <v>3</v>
      </c>
      <c r="E281" s="67"/>
      <c r="F281" s="68">
        <v>40</v>
      </c>
      <c r="G281" s="65"/>
      <c r="H281" s="69"/>
      <c r="I281" s="70"/>
      <c r="J281" s="70"/>
      <c r="K281" s="35" t="s">
        <v>65</v>
      </c>
      <c r="L281" s="77">
        <v>281</v>
      </c>
      <c r="M28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81" s="72"/>
      <c r="O281" s="79" t="s">
        <v>337</v>
      </c>
      <c r="P281" s="81">
        <v>44401.748680555553</v>
      </c>
      <c r="Q281" s="79" t="s">
        <v>341</v>
      </c>
      <c r="R281" s="83" t="str">
        <f t="shared" si="8"/>
        <v>https://doublepell.org/take-action/</v>
      </c>
      <c r="S281" s="79" t="s">
        <v>446</v>
      </c>
      <c r="T281" s="85" t="s">
        <v>460</v>
      </c>
      <c r="U281" s="83" t="str">
        <f t="shared" si="9"/>
        <v>https://pbs.twimg.com/media/E6_v8_lWUAoUB-Q.jpg</v>
      </c>
      <c r="V281" s="83" t="str">
        <f t="shared" si="9"/>
        <v>https://pbs.twimg.com/media/E6_v8_lWUAoUB-Q.jpg</v>
      </c>
      <c r="W281" s="81">
        <v>44401.748680555553</v>
      </c>
      <c r="X281" s="87">
        <v>44401</v>
      </c>
      <c r="Y281" s="85" t="s">
        <v>511</v>
      </c>
      <c r="Z281" s="83" t="str">
        <f>HYPERLINK("https://twitter.com/jonriskindatace/status/1418993911645843456")</f>
        <v>https://twitter.com/jonriskindatace/status/1418993911645843456</v>
      </c>
      <c r="AA281" s="79"/>
      <c r="AB281" s="79"/>
      <c r="AC281" s="85" t="s">
        <v>687</v>
      </c>
      <c r="AD281" s="79"/>
      <c r="AE281" s="79" t="b">
        <v>0</v>
      </c>
      <c r="AF281" s="79">
        <v>0</v>
      </c>
      <c r="AG281" s="85" t="s">
        <v>867</v>
      </c>
      <c r="AH281" s="79" t="b">
        <v>0</v>
      </c>
      <c r="AI281" s="79" t="s">
        <v>874</v>
      </c>
      <c r="AJ281" s="79"/>
      <c r="AK281" s="85" t="s">
        <v>867</v>
      </c>
      <c r="AL281" s="79" t="b">
        <v>0</v>
      </c>
      <c r="AM281" s="79">
        <v>2</v>
      </c>
      <c r="AN281" s="85" t="s">
        <v>686</v>
      </c>
      <c r="AO281" s="85" t="s">
        <v>883</v>
      </c>
      <c r="AP281" s="79" t="b">
        <v>0</v>
      </c>
      <c r="AQ281" s="85" t="s">
        <v>686</v>
      </c>
      <c r="AR281" s="79" t="s">
        <v>177</v>
      </c>
      <c r="AS281" s="79">
        <v>0</v>
      </c>
      <c r="AT281" s="79">
        <v>0</v>
      </c>
      <c r="AU281" s="79"/>
      <c r="AV281" s="79"/>
      <c r="AW281" s="79"/>
      <c r="AX281" s="79"/>
      <c r="AY281" s="79"/>
      <c r="AZ281" s="79"/>
      <c r="BA281" s="79"/>
      <c r="BB281" s="79"/>
      <c r="BC281">
        <v>1</v>
      </c>
      <c r="BD281" s="78" t="str">
        <f>REPLACE(INDEX(GroupVertices[Group], MATCH(Edges[[#This Row],[Vertex 1]],GroupVertices[Vertex],0)),1,1,"")</f>
        <v>7</v>
      </c>
      <c r="BE281" s="78" t="str">
        <f>REPLACE(INDEX(GroupVertices[Group], MATCH(Edges[[#This Row],[Vertex 2]],GroupVertices[Vertex],0)),1,1,"")</f>
        <v>7</v>
      </c>
    </row>
    <row r="282" spans="1:57" x14ac:dyDescent="0.25">
      <c r="A282" s="64" t="s">
        <v>233</v>
      </c>
      <c r="B282" s="64" t="s">
        <v>274</v>
      </c>
      <c r="C282" s="65" t="s">
        <v>2101</v>
      </c>
      <c r="D282" s="66">
        <v>3</v>
      </c>
      <c r="E282" s="67"/>
      <c r="F282" s="68">
        <v>40</v>
      </c>
      <c r="G282" s="65"/>
      <c r="H282" s="69"/>
      <c r="I282" s="70"/>
      <c r="J282" s="70"/>
      <c r="K282" s="35" t="s">
        <v>65</v>
      </c>
      <c r="L282" s="77">
        <v>282</v>
      </c>
      <c r="M28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82" s="72"/>
      <c r="O282" s="79" t="s">
        <v>338</v>
      </c>
      <c r="P282" s="81">
        <v>44404.653032407405</v>
      </c>
      <c r="Q282" s="79" t="s">
        <v>353</v>
      </c>
      <c r="R282" s="79"/>
      <c r="S282" s="79"/>
      <c r="T282" s="85" t="s">
        <v>470</v>
      </c>
      <c r="U282" s="83" t="str">
        <f>HYPERLINK("https://pbs.twimg.com/media/E4GT9sbXwAckPlC.jpg")</f>
        <v>https://pbs.twimg.com/media/E4GT9sbXwAckPlC.jpg</v>
      </c>
      <c r="V282" s="83" t="str">
        <f>HYPERLINK("https://pbs.twimg.com/media/E4GT9sbXwAckPlC.jpg")</f>
        <v>https://pbs.twimg.com/media/E4GT9sbXwAckPlC.jpg</v>
      </c>
      <c r="W282" s="81">
        <v>44404.653032407405</v>
      </c>
      <c r="X282" s="87">
        <v>44404</v>
      </c>
      <c r="Y282" s="85" t="s">
        <v>527</v>
      </c>
      <c r="Z282" s="83" t="str">
        <f>HYPERLINK("https://twitter.com/swasaptrio/status/1420046410918027264")</f>
        <v>https://twitter.com/swasaptrio/status/1420046410918027264</v>
      </c>
      <c r="AA282" s="79"/>
      <c r="AB282" s="79"/>
      <c r="AC282" s="85" t="s">
        <v>704</v>
      </c>
      <c r="AD282" s="79"/>
      <c r="AE282" s="79" t="b">
        <v>0</v>
      </c>
      <c r="AF282" s="79">
        <v>0</v>
      </c>
      <c r="AG282" s="85" t="s">
        <v>867</v>
      </c>
      <c r="AH282" s="79" t="b">
        <v>0</v>
      </c>
      <c r="AI282" s="79" t="s">
        <v>874</v>
      </c>
      <c r="AJ282" s="79"/>
      <c r="AK282" s="85" t="s">
        <v>867</v>
      </c>
      <c r="AL282" s="79" t="b">
        <v>0</v>
      </c>
      <c r="AM282" s="79">
        <v>3</v>
      </c>
      <c r="AN282" s="85" t="s">
        <v>764</v>
      </c>
      <c r="AO282" s="85" t="s">
        <v>882</v>
      </c>
      <c r="AP282" s="79" t="b">
        <v>0</v>
      </c>
      <c r="AQ282" s="85" t="s">
        <v>764</v>
      </c>
      <c r="AR282" s="79" t="s">
        <v>177</v>
      </c>
      <c r="AS282" s="79">
        <v>0</v>
      </c>
      <c r="AT282" s="79">
        <v>0</v>
      </c>
      <c r="AU282" s="79"/>
      <c r="AV282" s="79"/>
      <c r="AW282" s="79"/>
      <c r="AX282" s="79"/>
      <c r="AY282" s="79"/>
      <c r="AZ282" s="79"/>
      <c r="BA282" s="79"/>
      <c r="BB282" s="79"/>
      <c r="BC282">
        <v>1</v>
      </c>
      <c r="BD282" s="78" t="str">
        <f>REPLACE(INDEX(GroupVertices[Group], MATCH(Edges[[#This Row],[Vertex 1]],GroupVertices[Vertex],0)),1,1,"")</f>
        <v>6</v>
      </c>
      <c r="BE282" s="78" t="str">
        <f>REPLACE(INDEX(GroupVertices[Group], MATCH(Edges[[#This Row],[Vertex 2]],GroupVertices[Vertex],0)),1,1,"")</f>
        <v>6</v>
      </c>
    </row>
    <row r="283" spans="1:57" x14ac:dyDescent="0.25">
      <c r="A283" s="64" t="s">
        <v>220</v>
      </c>
      <c r="B283" s="64" t="s">
        <v>220</v>
      </c>
      <c r="C283" s="65" t="s">
        <v>2101</v>
      </c>
      <c r="D283" s="66">
        <v>3</v>
      </c>
      <c r="E283" s="67"/>
      <c r="F283" s="68">
        <v>40</v>
      </c>
      <c r="G283" s="65"/>
      <c r="H283" s="69"/>
      <c r="I283" s="70"/>
      <c r="J283" s="70"/>
      <c r="K283" s="35" t="s">
        <v>65</v>
      </c>
      <c r="L283" s="77">
        <v>283</v>
      </c>
      <c r="M28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83" s="72"/>
      <c r="O283" s="79" t="s">
        <v>177</v>
      </c>
      <c r="P283" s="81">
        <v>44403.55672453704</v>
      </c>
      <c r="Q283" s="79" t="s">
        <v>343</v>
      </c>
      <c r="R283" s="79"/>
      <c r="S283" s="79"/>
      <c r="T283" s="85" t="s">
        <v>461</v>
      </c>
      <c r="U283" s="79"/>
      <c r="V283" s="83" t="str">
        <f>HYPERLINK("https://pbs.twimg.com/profile_images/1410294139736952839/I-Umq40g_normal.jpg")</f>
        <v>https://pbs.twimg.com/profile_images/1410294139736952839/I-Umq40g_normal.jpg</v>
      </c>
      <c r="W283" s="81">
        <v>44403.55672453704</v>
      </c>
      <c r="X283" s="87">
        <v>44403</v>
      </c>
      <c r="Y283" s="85" t="s">
        <v>514</v>
      </c>
      <c r="Z283" s="83" t="str">
        <f>HYPERLINK("https://twitter.com/keyofe_pro/status/1419649123582631950")</f>
        <v>https://twitter.com/keyofe_pro/status/1419649123582631950</v>
      </c>
      <c r="AA283" s="79"/>
      <c r="AB283" s="79"/>
      <c r="AC283" s="85" t="s">
        <v>690</v>
      </c>
      <c r="AD283" s="79"/>
      <c r="AE283" s="79" t="b">
        <v>0</v>
      </c>
      <c r="AF283" s="79">
        <v>1</v>
      </c>
      <c r="AG283" s="85" t="s">
        <v>867</v>
      </c>
      <c r="AH283" s="79" t="b">
        <v>0</v>
      </c>
      <c r="AI283" s="79" t="s">
        <v>874</v>
      </c>
      <c r="AJ283" s="79"/>
      <c r="AK283" s="85" t="s">
        <v>867</v>
      </c>
      <c r="AL283" s="79" t="b">
        <v>0</v>
      </c>
      <c r="AM283" s="79">
        <v>0</v>
      </c>
      <c r="AN283" s="85" t="s">
        <v>867</v>
      </c>
      <c r="AO283" s="85" t="s">
        <v>883</v>
      </c>
      <c r="AP283" s="79" t="b">
        <v>0</v>
      </c>
      <c r="AQ283" s="85" t="s">
        <v>690</v>
      </c>
      <c r="AR283" s="79" t="s">
        <v>177</v>
      </c>
      <c r="AS283" s="79">
        <v>0</v>
      </c>
      <c r="AT283" s="79">
        <v>0</v>
      </c>
      <c r="AU283" s="79"/>
      <c r="AV283" s="79"/>
      <c r="AW283" s="79"/>
      <c r="AX283" s="79"/>
      <c r="AY283" s="79"/>
      <c r="AZ283" s="79"/>
      <c r="BA283" s="79"/>
      <c r="BB283" s="79"/>
      <c r="BC283">
        <v>1</v>
      </c>
      <c r="BD283" s="78" t="str">
        <f>REPLACE(INDEX(GroupVertices[Group], MATCH(Edges[[#This Row],[Vertex 1]],GroupVertices[Vertex],0)),1,1,"")</f>
        <v>5</v>
      </c>
      <c r="BE283" s="78" t="str">
        <f>REPLACE(INDEX(GroupVertices[Group], MATCH(Edges[[#This Row],[Vertex 2]],GroupVertices[Vertex],0)),1,1,"")</f>
        <v>5</v>
      </c>
    </row>
    <row r="284" spans="1:57" x14ac:dyDescent="0.25">
      <c r="A284" s="64" t="s">
        <v>233</v>
      </c>
      <c r="B284" s="64" t="s">
        <v>306</v>
      </c>
      <c r="C284" s="65" t="s">
        <v>2101</v>
      </c>
      <c r="D284" s="66">
        <v>3</v>
      </c>
      <c r="E284" s="67"/>
      <c r="F284" s="68">
        <v>40</v>
      </c>
      <c r="G284" s="65"/>
      <c r="H284" s="69"/>
      <c r="I284" s="70"/>
      <c r="J284" s="70"/>
      <c r="K284" s="35" t="s">
        <v>65</v>
      </c>
      <c r="L284" s="77">
        <v>284</v>
      </c>
      <c r="M28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84" s="72"/>
      <c r="O284" s="79" t="s">
        <v>337</v>
      </c>
      <c r="P284" s="81">
        <v>44404.653032407405</v>
      </c>
      <c r="Q284" s="79" t="s">
        <v>353</v>
      </c>
      <c r="R284" s="79"/>
      <c r="S284" s="79"/>
      <c r="T284" s="85" t="s">
        <v>470</v>
      </c>
      <c r="U284" s="83" t="str">
        <f>HYPERLINK("https://pbs.twimg.com/media/E4GT9sbXwAckPlC.jpg")</f>
        <v>https://pbs.twimg.com/media/E4GT9sbXwAckPlC.jpg</v>
      </c>
      <c r="V284" s="83" t="str">
        <f>HYPERLINK("https://pbs.twimg.com/media/E4GT9sbXwAckPlC.jpg")</f>
        <v>https://pbs.twimg.com/media/E4GT9sbXwAckPlC.jpg</v>
      </c>
      <c r="W284" s="81">
        <v>44404.653032407405</v>
      </c>
      <c r="X284" s="87">
        <v>44404</v>
      </c>
      <c r="Y284" s="85" t="s">
        <v>527</v>
      </c>
      <c r="Z284" s="83" t="str">
        <f>HYPERLINK("https://twitter.com/swasaptrio/status/1420046410918027264")</f>
        <v>https://twitter.com/swasaptrio/status/1420046410918027264</v>
      </c>
      <c r="AA284" s="79"/>
      <c r="AB284" s="79"/>
      <c r="AC284" s="85" t="s">
        <v>704</v>
      </c>
      <c r="AD284" s="79"/>
      <c r="AE284" s="79" t="b">
        <v>0</v>
      </c>
      <c r="AF284" s="79">
        <v>0</v>
      </c>
      <c r="AG284" s="85" t="s">
        <v>867</v>
      </c>
      <c r="AH284" s="79" t="b">
        <v>0</v>
      </c>
      <c r="AI284" s="79" t="s">
        <v>874</v>
      </c>
      <c r="AJ284" s="79"/>
      <c r="AK284" s="85" t="s">
        <v>867</v>
      </c>
      <c r="AL284" s="79" t="b">
        <v>0</v>
      </c>
      <c r="AM284" s="79">
        <v>3</v>
      </c>
      <c r="AN284" s="85" t="s">
        <v>764</v>
      </c>
      <c r="AO284" s="85" t="s">
        <v>882</v>
      </c>
      <c r="AP284" s="79" t="b">
        <v>0</v>
      </c>
      <c r="AQ284" s="85" t="s">
        <v>764</v>
      </c>
      <c r="AR284" s="79" t="s">
        <v>177</v>
      </c>
      <c r="AS284" s="79">
        <v>0</v>
      </c>
      <c r="AT284" s="79">
        <v>0</v>
      </c>
      <c r="AU284" s="79"/>
      <c r="AV284" s="79"/>
      <c r="AW284" s="79"/>
      <c r="AX284" s="79"/>
      <c r="AY284" s="79"/>
      <c r="AZ284" s="79"/>
      <c r="BA284" s="79"/>
      <c r="BB284" s="79"/>
      <c r="BC284">
        <v>1</v>
      </c>
      <c r="BD284" s="78" t="str">
        <f>REPLACE(INDEX(GroupVertices[Group], MATCH(Edges[[#This Row],[Vertex 1]],GroupVertices[Vertex],0)),1,1,"")</f>
        <v>6</v>
      </c>
      <c r="BE284" s="78" t="str">
        <f>REPLACE(INDEX(GroupVertices[Group], MATCH(Edges[[#This Row],[Vertex 2]],GroupVertices[Vertex],0)),1,1,"")</f>
        <v>6</v>
      </c>
    </row>
    <row r="285" spans="1:57" x14ac:dyDescent="0.25">
      <c r="A285" s="64" t="s">
        <v>221</v>
      </c>
      <c r="B285" s="64" t="s">
        <v>221</v>
      </c>
      <c r="C285" s="65" t="s">
        <v>2101</v>
      </c>
      <c r="D285" s="66">
        <v>3</v>
      </c>
      <c r="E285" s="67"/>
      <c r="F285" s="68">
        <v>40</v>
      </c>
      <c r="G285" s="65"/>
      <c r="H285" s="69"/>
      <c r="I285" s="70"/>
      <c r="J285" s="70"/>
      <c r="K285" s="35" t="s">
        <v>65</v>
      </c>
      <c r="L285" s="77">
        <v>285</v>
      </c>
      <c r="M28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85" s="72"/>
      <c r="O285" s="79" t="s">
        <v>177</v>
      </c>
      <c r="P285" s="81">
        <v>44403.597974537035</v>
      </c>
      <c r="Q285" s="79" t="s">
        <v>344</v>
      </c>
      <c r="R285" s="79"/>
      <c r="S285" s="79"/>
      <c r="T285" s="85" t="s">
        <v>462</v>
      </c>
      <c r="U285" s="83" t="str">
        <f>HYPERLINK("https://pbs.twimg.com/media/E7Oo8tBWYAQa1p-.jpg")</f>
        <v>https://pbs.twimg.com/media/E7Oo8tBWYAQa1p-.jpg</v>
      </c>
      <c r="V285" s="83" t="str">
        <f>HYPERLINK("https://pbs.twimg.com/media/E7Oo8tBWYAQa1p-.jpg")</f>
        <v>https://pbs.twimg.com/media/E7Oo8tBWYAQa1p-.jpg</v>
      </c>
      <c r="W285" s="81">
        <v>44403.597974537035</v>
      </c>
      <c r="X285" s="87">
        <v>44403</v>
      </c>
      <c r="Y285" s="85" t="s">
        <v>515</v>
      </c>
      <c r="Z285" s="83" t="str">
        <f>HYPERLINK("https://twitter.com/janetadamsspeak/status/1419664072442884105")</f>
        <v>https://twitter.com/janetadamsspeak/status/1419664072442884105</v>
      </c>
      <c r="AA285" s="79"/>
      <c r="AB285" s="79"/>
      <c r="AC285" s="85" t="s">
        <v>691</v>
      </c>
      <c r="AD285" s="79"/>
      <c r="AE285" s="79" t="b">
        <v>0</v>
      </c>
      <c r="AF285" s="79">
        <v>0</v>
      </c>
      <c r="AG285" s="85" t="s">
        <v>867</v>
      </c>
      <c r="AH285" s="79" t="b">
        <v>0</v>
      </c>
      <c r="AI285" s="79" t="s">
        <v>874</v>
      </c>
      <c r="AJ285" s="79"/>
      <c r="AK285" s="85" t="s">
        <v>867</v>
      </c>
      <c r="AL285" s="79" t="b">
        <v>0</v>
      </c>
      <c r="AM285" s="79">
        <v>0</v>
      </c>
      <c r="AN285" s="85" t="s">
        <v>867</v>
      </c>
      <c r="AO285" s="85" t="s">
        <v>884</v>
      </c>
      <c r="AP285" s="79" t="b">
        <v>0</v>
      </c>
      <c r="AQ285" s="85" t="s">
        <v>691</v>
      </c>
      <c r="AR285" s="79" t="s">
        <v>177</v>
      </c>
      <c r="AS285" s="79">
        <v>0</v>
      </c>
      <c r="AT285" s="79">
        <v>0</v>
      </c>
      <c r="AU285" s="79"/>
      <c r="AV285" s="79"/>
      <c r="AW285" s="79"/>
      <c r="AX285" s="79"/>
      <c r="AY285" s="79"/>
      <c r="AZ285" s="79"/>
      <c r="BA285" s="79"/>
      <c r="BB285" s="79"/>
      <c r="BC285">
        <v>1</v>
      </c>
      <c r="BD285" s="78" t="str">
        <f>REPLACE(INDEX(GroupVertices[Group], MATCH(Edges[[#This Row],[Vertex 1]],GroupVertices[Vertex],0)),1,1,"")</f>
        <v>5</v>
      </c>
      <c r="BE285" s="78" t="str">
        <f>REPLACE(INDEX(GroupVertices[Group], MATCH(Edges[[#This Row],[Vertex 2]],GroupVertices[Vertex],0)),1,1,"")</f>
        <v>5</v>
      </c>
    </row>
    <row r="286" spans="1:57" x14ac:dyDescent="0.25">
      <c r="A286" s="64" t="s">
        <v>261</v>
      </c>
      <c r="B286" s="64" t="s">
        <v>279</v>
      </c>
      <c r="C286" s="65" t="s">
        <v>2101</v>
      </c>
      <c r="D286" s="66">
        <v>3</v>
      </c>
      <c r="E286" s="67"/>
      <c r="F286" s="68">
        <v>40</v>
      </c>
      <c r="G286" s="65"/>
      <c r="H286" s="69"/>
      <c r="I286" s="70"/>
      <c r="J286" s="70"/>
      <c r="K286" s="35" t="s">
        <v>66</v>
      </c>
      <c r="L286" s="77">
        <v>286</v>
      </c>
      <c r="M28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86" s="72"/>
      <c r="O286" s="79" t="s">
        <v>339</v>
      </c>
      <c r="P286" s="81">
        <v>44404.740162037036</v>
      </c>
      <c r="Q286" s="79" t="s">
        <v>374</v>
      </c>
      <c r="R286" s="79"/>
      <c r="S286" s="79"/>
      <c r="T286" s="85" t="s">
        <v>480</v>
      </c>
      <c r="U286" s="79"/>
      <c r="V286" s="83" t="str">
        <f>HYPERLINK("https://pbs.twimg.com/profile_images/1409551882087960582/EN_K-fIZ_normal.jpg")</f>
        <v>https://pbs.twimg.com/profile_images/1409551882087960582/EN_K-fIZ_normal.jpg</v>
      </c>
      <c r="W286" s="81">
        <v>44404.740162037036</v>
      </c>
      <c r="X286" s="87">
        <v>44404</v>
      </c>
      <c r="Y286" s="85" t="s">
        <v>590</v>
      </c>
      <c r="Z286" s="83" t="str">
        <f>HYPERLINK("https://twitter.com/aeeetrio/status/1420077987823865861")</f>
        <v>https://twitter.com/aeeetrio/status/1420077987823865861</v>
      </c>
      <c r="AA286" s="79"/>
      <c r="AB286" s="79"/>
      <c r="AC286" s="85" t="s">
        <v>770</v>
      </c>
      <c r="AD286" s="79"/>
      <c r="AE286" s="79" t="b">
        <v>0</v>
      </c>
      <c r="AF286" s="79">
        <v>2</v>
      </c>
      <c r="AG286" s="85" t="s">
        <v>867</v>
      </c>
      <c r="AH286" s="79" t="b">
        <v>0</v>
      </c>
      <c r="AI286" s="79" t="s">
        <v>874</v>
      </c>
      <c r="AJ286" s="79"/>
      <c r="AK286" s="85" t="s">
        <v>867</v>
      </c>
      <c r="AL286" s="79" t="b">
        <v>0</v>
      </c>
      <c r="AM286" s="79">
        <v>1</v>
      </c>
      <c r="AN286" s="85" t="s">
        <v>867</v>
      </c>
      <c r="AO286" s="85" t="s">
        <v>882</v>
      </c>
      <c r="AP286" s="79" t="b">
        <v>0</v>
      </c>
      <c r="AQ286" s="85" t="s">
        <v>770</v>
      </c>
      <c r="AR286" s="79" t="s">
        <v>177</v>
      </c>
      <c r="AS286" s="79">
        <v>0</v>
      </c>
      <c r="AT286" s="79">
        <v>0</v>
      </c>
      <c r="AU286" s="79"/>
      <c r="AV286" s="79"/>
      <c r="AW286" s="79"/>
      <c r="AX286" s="79"/>
      <c r="AY286" s="79"/>
      <c r="AZ286" s="79"/>
      <c r="BA286" s="79"/>
      <c r="BB286" s="79"/>
      <c r="BC286">
        <v>1</v>
      </c>
      <c r="BD286" s="78" t="str">
        <f>REPLACE(INDEX(GroupVertices[Group], MATCH(Edges[[#This Row],[Vertex 1]],GroupVertices[Vertex],0)),1,1,"")</f>
        <v>8</v>
      </c>
      <c r="BE286" s="78" t="str">
        <f>REPLACE(INDEX(GroupVertices[Group], MATCH(Edges[[#This Row],[Vertex 2]],GroupVertices[Vertex],0)),1,1,"")</f>
        <v>8</v>
      </c>
    </row>
    <row r="287" spans="1:57" x14ac:dyDescent="0.25">
      <c r="A287" s="64" t="s">
        <v>285</v>
      </c>
      <c r="B287" s="64" t="s">
        <v>329</v>
      </c>
      <c r="C287" s="65" t="s">
        <v>2101</v>
      </c>
      <c r="D287" s="66">
        <v>3</v>
      </c>
      <c r="E287" s="67"/>
      <c r="F287" s="68">
        <v>40</v>
      </c>
      <c r="G287" s="65"/>
      <c r="H287" s="69"/>
      <c r="I287" s="70"/>
      <c r="J287" s="70"/>
      <c r="K287" s="35" t="s">
        <v>65</v>
      </c>
      <c r="L287" s="77">
        <v>287</v>
      </c>
      <c r="M28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87" s="72"/>
      <c r="O287" s="79" t="s">
        <v>337</v>
      </c>
      <c r="P287" s="81">
        <v>44406.162175925929</v>
      </c>
      <c r="Q287" s="79" t="s">
        <v>379</v>
      </c>
      <c r="R287" s="79"/>
      <c r="S287" s="79"/>
      <c r="T287" s="85" t="s">
        <v>461</v>
      </c>
      <c r="U287" s="83" t="str">
        <f>HYPERLINK("https://pbs.twimg.com/media/E7a7qL-X0AEub4f.jpg")</f>
        <v>https://pbs.twimg.com/media/E7a7qL-X0AEub4f.jpg</v>
      </c>
      <c r="V287" s="83" t="str">
        <f>HYPERLINK("https://pbs.twimg.com/media/E7a7qL-X0AEub4f.jpg")</f>
        <v>https://pbs.twimg.com/media/E7a7qL-X0AEub4f.jpg</v>
      </c>
      <c r="W287" s="81">
        <v>44406.162175925929</v>
      </c>
      <c r="X287" s="87">
        <v>44406</v>
      </c>
      <c r="Y287" s="85" t="s">
        <v>600</v>
      </c>
      <c r="Z287" s="83" t="str">
        <f>HYPERLINK("https://twitter.com/edabipi/status/1420593306489196551")</f>
        <v>https://twitter.com/edabipi/status/1420593306489196551</v>
      </c>
      <c r="AA287" s="79"/>
      <c r="AB287" s="79"/>
      <c r="AC287" s="85" t="s">
        <v>780</v>
      </c>
      <c r="AD287" s="79"/>
      <c r="AE287" s="79" t="b">
        <v>0</v>
      </c>
      <c r="AF287" s="79">
        <v>0</v>
      </c>
      <c r="AG287" s="85" t="s">
        <v>867</v>
      </c>
      <c r="AH287" s="79" t="b">
        <v>0</v>
      </c>
      <c r="AI287" s="79" t="s">
        <v>874</v>
      </c>
      <c r="AJ287" s="79"/>
      <c r="AK287" s="85" t="s">
        <v>867</v>
      </c>
      <c r="AL287" s="79" t="b">
        <v>0</v>
      </c>
      <c r="AM287" s="79">
        <v>1</v>
      </c>
      <c r="AN287" s="85" t="s">
        <v>793</v>
      </c>
      <c r="AO287" s="85" t="s">
        <v>883</v>
      </c>
      <c r="AP287" s="79" t="b">
        <v>0</v>
      </c>
      <c r="AQ287" s="85" t="s">
        <v>793</v>
      </c>
      <c r="AR287" s="79" t="s">
        <v>177</v>
      </c>
      <c r="AS287" s="79">
        <v>0</v>
      </c>
      <c r="AT287" s="79">
        <v>0</v>
      </c>
      <c r="AU287" s="79"/>
      <c r="AV287" s="79"/>
      <c r="AW287" s="79"/>
      <c r="AX287" s="79"/>
      <c r="AY287" s="79"/>
      <c r="AZ287" s="79"/>
      <c r="BA287" s="79"/>
      <c r="BB287" s="79"/>
      <c r="BC287">
        <v>1</v>
      </c>
      <c r="BD287" s="78" t="str">
        <f>REPLACE(INDEX(GroupVertices[Group], MATCH(Edges[[#This Row],[Vertex 1]],GroupVertices[Vertex],0)),1,1,"")</f>
        <v>3</v>
      </c>
      <c r="BE287" s="78" t="str">
        <f>REPLACE(INDEX(GroupVertices[Group], MATCH(Edges[[#This Row],[Vertex 2]],GroupVertices[Vertex],0)),1,1,"")</f>
        <v>3</v>
      </c>
    </row>
    <row r="288" spans="1:57" x14ac:dyDescent="0.25">
      <c r="A288" s="64" t="s">
        <v>234</v>
      </c>
      <c r="B288" s="64" t="s">
        <v>288</v>
      </c>
      <c r="C288" s="65" t="s">
        <v>2101</v>
      </c>
      <c r="D288" s="66">
        <v>3</v>
      </c>
      <c r="E288" s="67"/>
      <c r="F288" s="68">
        <v>40</v>
      </c>
      <c r="G288" s="65"/>
      <c r="H288" s="69"/>
      <c r="I288" s="70"/>
      <c r="J288" s="70"/>
      <c r="K288" s="35" t="s">
        <v>65</v>
      </c>
      <c r="L288" s="77">
        <v>288</v>
      </c>
      <c r="M28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88" s="72"/>
      <c r="O288" s="79" t="s">
        <v>339</v>
      </c>
      <c r="P288" s="81">
        <v>44404.84003472222</v>
      </c>
      <c r="Q288" s="79" t="s">
        <v>354</v>
      </c>
      <c r="R288" s="79"/>
      <c r="S288" s="79"/>
      <c r="T288" s="85" t="s">
        <v>471</v>
      </c>
      <c r="U288" s="83" t="str">
        <f>HYPERLINK("https://pbs.twimg.com/media/E7VBXq_XMAAMbtc.jpg")</f>
        <v>https://pbs.twimg.com/media/E7VBXq_XMAAMbtc.jpg</v>
      </c>
      <c r="V288" s="83" t="str">
        <f>HYPERLINK("https://pbs.twimg.com/media/E7VBXq_XMAAMbtc.jpg")</f>
        <v>https://pbs.twimg.com/media/E7VBXq_XMAAMbtc.jpg</v>
      </c>
      <c r="W288" s="81">
        <v>44404.84003472222</v>
      </c>
      <c r="X288" s="87">
        <v>44404</v>
      </c>
      <c r="Y288" s="85" t="s">
        <v>528</v>
      </c>
      <c r="Z288" s="83" t="str">
        <f>HYPERLINK("https://twitter.com/sssivytechfw/status/1420114179822862342")</f>
        <v>https://twitter.com/sssivytechfw/status/1420114179822862342</v>
      </c>
      <c r="AA288" s="79"/>
      <c r="AB288" s="79"/>
      <c r="AC288" s="85" t="s">
        <v>705</v>
      </c>
      <c r="AD288" s="79"/>
      <c r="AE288" s="79" t="b">
        <v>0</v>
      </c>
      <c r="AF288" s="79">
        <v>1</v>
      </c>
      <c r="AG288" s="85" t="s">
        <v>867</v>
      </c>
      <c r="AH288" s="79" t="b">
        <v>0</v>
      </c>
      <c r="AI288" s="79" t="s">
        <v>874</v>
      </c>
      <c r="AJ288" s="79"/>
      <c r="AK288" s="85" t="s">
        <v>867</v>
      </c>
      <c r="AL288" s="79" t="b">
        <v>0</v>
      </c>
      <c r="AM288" s="79">
        <v>0</v>
      </c>
      <c r="AN288" s="85" t="s">
        <v>867</v>
      </c>
      <c r="AO288" s="85" t="s">
        <v>882</v>
      </c>
      <c r="AP288" s="79" t="b">
        <v>0</v>
      </c>
      <c r="AQ288" s="85" t="s">
        <v>705</v>
      </c>
      <c r="AR288" s="79" t="s">
        <v>177</v>
      </c>
      <c r="AS288" s="79">
        <v>0</v>
      </c>
      <c r="AT288" s="79">
        <v>0</v>
      </c>
      <c r="AU288" s="79"/>
      <c r="AV288" s="79"/>
      <c r="AW288" s="79"/>
      <c r="AX288" s="79"/>
      <c r="AY288" s="79"/>
      <c r="AZ288" s="79"/>
      <c r="BA288" s="79"/>
      <c r="BB288" s="79"/>
      <c r="BC288">
        <v>1</v>
      </c>
      <c r="BD288" s="78" t="str">
        <f>REPLACE(INDEX(GroupVertices[Group], MATCH(Edges[[#This Row],[Vertex 1]],GroupVertices[Vertex],0)),1,1,"")</f>
        <v>1</v>
      </c>
      <c r="BE288" s="78" t="str">
        <f>REPLACE(INDEX(GroupVertices[Group], MATCH(Edges[[#This Row],[Vertex 2]],GroupVertices[Vertex],0)),1,1,"")</f>
        <v>1</v>
      </c>
    </row>
    <row r="289" spans="1:57" x14ac:dyDescent="0.25">
      <c r="A289" s="64" t="s">
        <v>288</v>
      </c>
      <c r="B289" s="64" t="s">
        <v>288</v>
      </c>
      <c r="C289" s="65" t="s">
        <v>2101</v>
      </c>
      <c r="D289" s="66">
        <v>3</v>
      </c>
      <c r="E289" s="67"/>
      <c r="F289" s="68">
        <v>40</v>
      </c>
      <c r="G289" s="65"/>
      <c r="H289" s="69"/>
      <c r="I289" s="70"/>
      <c r="J289" s="70"/>
      <c r="K289" s="35" t="s">
        <v>65</v>
      </c>
      <c r="L289" s="77">
        <v>289</v>
      </c>
      <c r="M28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89" s="72"/>
      <c r="O289" s="79" t="s">
        <v>177</v>
      </c>
      <c r="P289" s="81">
        <v>44406.657384259262</v>
      </c>
      <c r="Q289" s="79" t="s">
        <v>383</v>
      </c>
      <c r="R289" s="83" t="str">
        <f>HYPERLINK("https://besteducationpractices.squarespace.com/")</f>
        <v>https://besteducationpractices.squarespace.com/</v>
      </c>
      <c r="S289" s="79" t="s">
        <v>453</v>
      </c>
      <c r="T289" s="85" t="s">
        <v>485</v>
      </c>
      <c r="U289" s="83" t="str">
        <f>HYPERLINK("https://pbs.twimg.com/media/E7eZM2FWEAAk4p5.jpg")</f>
        <v>https://pbs.twimg.com/media/E7eZM2FWEAAk4p5.jpg</v>
      </c>
      <c r="V289" s="83" t="str">
        <f>HYPERLINK("https://pbs.twimg.com/media/E7eZM2FWEAAk4p5.jpg")</f>
        <v>https://pbs.twimg.com/media/E7eZM2FWEAAk4p5.jpg</v>
      </c>
      <c r="W289" s="81">
        <v>44406.657384259262</v>
      </c>
      <c r="X289" s="87">
        <v>44406</v>
      </c>
      <c r="Y289" s="85" t="s">
        <v>606</v>
      </c>
      <c r="Z289" s="83" t="str">
        <f>HYPERLINK("https://twitter.com/indianatrio/status/1420772765863485440")</f>
        <v>https://twitter.com/indianatrio/status/1420772765863485440</v>
      </c>
      <c r="AA289" s="79"/>
      <c r="AB289" s="79"/>
      <c r="AC289" s="85" t="s">
        <v>786</v>
      </c>
      <c r="AD289" s="79"/>
      <c r="AE289" s="79" t="b">
        <v>0</v>
      </c>
      <c r="AF289" s="79">
        <v>0</v>
      </c>
      <c r="AG289" s="85" t="s">
        <v>867</v>
      </c>
      <c r="AH289" s="79" t="b">
        <v>0</v>
      </c>
      <c r="AI289" s="79" t="s">
        <v>874</v>
      </c>
      <c r="AJ289" s="79"/>
      <c r="AK289" s="85" t="s">
        <v>867</v>
      </c>
      <c r="AL289" s="79" t="b">
        <v>0</v>
      </c>
      <c r="AM289" s="79">
        <v>0</v>
      </c>
      <c r="AN289" s="85" t="s">
        <v>867</v>
      </c>
      <c r="AO289" s="85" t="s">
        <v>882</v>
      </c>
      <c r="AP289" s="79" t="b">
        <v>0</v>
      </c>
      <c r="AQ289" s="85" t="s">
        <v>786</v>
      </c>
      <c r="AR289" s="79" t="s">
        <v>177</v>
      </c>
      <c r="AS289" s="79">
        <v>0</v>
      </c>
      <c r="AT289" s="79">
        <v>0</v>
      </c>
      <c r="AU289" s="79"/>
      <c r="AV289" s="79"/>
      <c r="AW289" s="79"/>
      <c r="AX289" s="79"/>
      <c r="AY289" s="79"/>
      <c r="AZ289" s="79"/>
      <c r="BA289" s="79"/>
      <c r="BB289" s="79"/>
      <c r="BC289">
        <v>1</v>
      </c>
      <c r="BD289" s="78" t="str">
        <f>REPLACE(INDEX(GroupVertices[Group], MATCH(Edges[[#This Row],[Vertex 1]],GroupVertices[Vertex],0)),1,1,"")</f>
        <v>1</v>
      </c>
      <c r="BE289" s="78" t="str">
        <f>REPLACE(INDEX(GroupVertices[Group], MATCH(Edges[[#This Row],[Vertex 2]],GroupVertices[Vertex],0)),1,1,"")</f>
        <v>1</v>
      </c>
    </row>
    <row r="290" spans="1:57" x14ac:dyDescent="0.25">
      <c r="A290" s="64" t="s">
        <v>287</v>
      </c>
      <c r="B290" s="64" t="s">
        <v>288</v>
      </c>
      <c r="C290" s="65" t="s">
        <v>2101</v>
      </c>
      <c r="D290" s="66">
        <v>3</v>
      </c>
      <c r="E290" s="67"/>
      <c r="F290" s="68">
        <v>40</v>
      </c>
      <c r="G290" s="65"/>
      <c r="H290" s="69"/>
      <c r="I290" s="70"/>
      <c r="J290" s="70"/>
      <c r="K290" s="35" t="s">
        <v>66</v>
      </c>
      <c r="L290" s="77">
        <v>290</v>
      </c>
      <c r="M29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90" s="72"/>
      <c r="O290" s="79" t="s">
        <v>338</v>
      </c>
      <c r="P290" s="81">
        <v>44406.899340277778</v>
      </c>
      <c r="Q290" s="79" t="s">
        <v>384</v>
      </c>
      <c r="R290" s="83" t="str">
        <f>HYPERLINK("https://twitter.com/SSSIvyTechFW/status/1420826156031414278")</f>
        <v>https://twitter.com/SSSIvyTechFW/status/1420826156031414278</v>
      </c>
      <c r="S290" s="79" t="s">
        <v>449</v>
      </c>
      <c r="T290" s="85" t="s">
        <v>461</v>
      </c>
      <c r="U290" s="79"/>
      <c r="V290" s="83" t="str">
        <f>HYPERLINK("https://pbs.twimg.com/profile_images/1311001884824604676/RVdli881_normal.png")</f>
        <v>https://pbs.twimg.com/profile_images/1311001884824604676/RVdli881_normal.png</v>
      </c>
      <c r="W290" s="81">
        <v>44406.899340277778</v>
      </c>
      <c r="X290" s="87">
        <v>44406</v>
      </c>
      <c r="Y290" s="85" t="s">
        <v>608</v>
      </c>
      <c r="Z290" s="83" t="str">
        <f>HYPERLINK("https://twitter.com/coetalk/status/1420860446773481477")</f>
        <v>https://twitter.com/coetalk/status/1420860446773481477</v>
      </c>
      <c r="AA290" s="79"/>
      <c r="AB290" s="79"/>
      <c r="AC290" s="85" t="s">
        <v>788</v>
      </c>
      <c r="AD290" s="79"/>
      <c r="AE290" s="79" t="b">
        <v>0</v>
      </c>
      <c r="AF290" s="79">
        <v>0</v>
      </c>
      <c r="AG290" s="85" t="s">
        <v>867</v>
      </c>
      <c r="AH290" s="79" t="b">
        <v>1</v>
      </c>
      <c r="AI290" s="79" t="s">
        <v>874</v>
      </c>
      <c r="AJ290" s="79"/>
      <c r="AK290" s="85" t="s">
        <v>881</v>
      </c>
      <c r="AL290" s="79" t="b">
        <v>0</v>
      </c>
      <c r="AM290" s="79">
        <v>1</v>
      </c>
      <c r="AN290" s="85" t="s">
        <v>787</v>
      </c>
      <c r="AO290" s="85" t="s">
        <v>883</v>
      </c>
      <c r="AP290" s="79" t="b">
        <v>0</v>
      </c>
      <c r="AQ290" s="85" t="s">
        <v>787</v>
      </c>
      <c r="AR290" s="79" t="s">
        <v>177</v>
      </c>
      <c r="AS290" s="79">
        <v>0</v>
      </c>
      <c r="AT290" s="79">
        <v>0</v>
      </c>
      <c r="AU290" s="79"/>
      <c r="AV290" s="79"/>
      <c r="AW290" s="79"/>
      <c r="AX290" s="79"/>
      <c r="AY290" s="79"/>
      <c r="AZ290" s="79"/>
      <c r="BA290" s="79"/>
      <c r="BB290" s="79"/>
      <c r="BC290">
        <v>1</v>
      </c>
      <c r="BD290" s="78" t="str">
        <f>REPLACE(INDEX(GroupVertices[Group], MATCH(Edges[[#This Row],[Vertex 1]],GroupVertices[Vertex],0)),1,1,"")</f>
        <v>1</v>
      </c>
      <c r="BE290" s="78" t="str">
        <f>REPLACE(INDEX(GroupVertices[Group], MATCH(Edges[[#This Row],[Vertex 2]],GroupVertices[Vertex],0)),1,1,"")</f>
        <v>1</v>
      </c>
    </row>
    <row r="291" spans="1:57" x14ac:dyDescent="0.25">
      <c r="A291" s="64" t="s">
        <v>259</v>
      </c>
      <c r="B291" s="64" t="s">
        <v>317</v>
      </c>
      <c r="C291" s="65" t="s">
        <v>2101</v>
      </c>
      <c r="D291" s="66">
        <v>3</v>
      </c>
      <c r="E291" s="67"/>
      <c r="F291" s="68">
        <v>40</v>
      </c>
      <c r="G291" s="65"/>
      <c r="H291" s="69"/>
      <c r="I291" s="70"/>
      <c r="J291" s="70"/>
      <c r="K291" s="35" t="s">
        <v>65</v>
      </c>
      <c r="L291" s="77">
        <v>291</v>
      </c>
      <c r="M29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91" s="72"/>
      <c r="O291" s="79" t="s">
        <v>339</v>
      </c>
      <c r="P291" s="81">
        <v>44403.688333333332</v>
      </c>
      <c r="Q291" s="79" t="s">
        <v>361</v>
      </c>
      <c r="R291" s="79"/>
      <c r="S291" s="79"/>
      <c r="T291" s="85" t="s">
        <v>475</v>
      </c>
      <c r="U291" s="83" t="str">
        <f>HYPERLINK("https://pbs.twimg.com/media/E7PGuLqXEAAocXy.jpg")</f>
        <v>https://pbs.twimg.com/media/E7PGuLqXEAAocXy.jpg</v>
      </c>
      <c r="V291" s="83" t="str">
        <f>HYPERLINK("https://pbs.twimg.com/media/E7PGuLqXEAAocXy.jpg")</f>
        <v>https://pbs.twimg.com/media/E7PGuLqXEAAocXy.jpg</v>
      </c>
      <c r="W291" s="81">
        <v>44403.688333333332</v>
      </c>
      <c r="X291" s="87">
        <v>44403</v>
      </c>
      <c r="Y291" s="85" t="s">
        <v>555</v>
      </c>
      <c r="Z291" s="83" t="str">
        <f>HYPERLINK("https://twitter.com/ub_trio_sjc/status/1419696816849838083")</f>
        <v>https://twitter.com/ub_trio_sjc/status/1419696816849838083</v>
      </c>
      <c r="AA291" s="79"/>
      <c r="AB291" s="79"/>
      <c r="AC291" s="85" t="s">
        <v>734</v>
      </c>
      <c r="AD291" s="79"/>
      <c r="AE291" s="79" t="b">
        <v>0</v>
      </c>
      <c r="AF291" s="79">
        <v>0</v>
      </c>
      <c r="AG291" s="85" t="s">
        <v>867</v>
      </c>
      <c r="AH291" s="79" t="b">
        <v>0</v>
      </c>
      <c r="AI291" s="79" t="s">
        <v>874</v>
      </c>
      <c r="AJ291" s="79"/>
      <c r="AK291" s="85" t="s">
        <v>867</v>
      </c>
      <c r="AL291" s="79" t="b">
        <v>0</v>
      </c>
      <c r="AM291" s="79">
        <v>0</v>
      </c>
      <c r="AN291" s="85" t="s">
        <v>867</v>
      </c>
      <c r="AO291" s="85" t="s">
        <v>887</v>
      </c>
      <c r="AP291" s="79" t="b">
        <v>0</v>
      </c>
      <c r="AQ291" s="85" t="s">
        <v>734</v>
      </c>
      <c r="AR291" s="79" t="s">
        <v>177</v>
      </c>
      <c r="AS291" s="79">
        <v>0</v>
      </c>
      <c r="AT291" s="79">
        <v>0</v>
      </c>
      <c r="AU291" s="79"/>
      <c r="AV291" s="79"/>
      <c r="AW291" s="79"/>
      <c r="AX291" s="79"/>
      <c r="AY291" s="79"/>
      <c r="AZ291" s="79"/>
      <c r="BA291" s="79"/>
      <c r="BB291" s="79"/>
      <c r="BC291">
        <v>1</v>
      </c>
      <c r="BD291" s="78" t="str">
        <f>REPLACE(INDEX(GroupVertices[Group], MATCH(Edges[[#This Row],[Vertex 1]],GroupVertices[Vertex],0)),1,1,"")</f>
        <v>10</v>
      </c>
      <c r="BE291" s="78" t="str">
        <f>REPLACE(INDEX(GroupVertices[Group], MATCH(Edges[[#This Row],[Vertex 2]],GroupVertices[Vertex],0)),1,1,"")</f>
        <v>10</v>
      </c>
    </row>
    <row r="292" spans="1:57" x14ac:dyDescent="0.25">
      <c r="A292" s="64" t="s">
        <v>268</v>
      </c>
      <c r="B292" s="64" t="s">
        <v>325</v>
      </c>
      <c r="C292" s="65" t="s">
        <v>2101</v>
      </c>
      <c r="D292" s="66">
        <v>3</v>
      </c>
      <c r="E292" s="67"/>
      <c r="F292" s="68">
        <v>40</v>
      </c>
      <c r="G292" s="65"/>
      <c r="H292" s="69"/>
      <c r="I292" s="70"/>
      <c r="J292" s="70"/>
      <c r="K292" s="35" t="s">
        <v>65</v>
      </c>
      <c r="L292" s="77">
        <v>292</v>
      </c>
      <c r="M29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92" s="72"/>
      <c r="O292" s="79" t="s">
        <v>339</v>
      </c>
      <c r="P292" s="81">
        <v>44406.888229166667</v>
      </c>
      <c r="Q292" s="79" t="s">
        <v>372</v>
      </c>
      <c r="R292" s="79"/>
      <c r="S292" s="79"/>
      <c r="T292" s="85" t="s">
        <v>479</v>
      </c>
      <c r="U292" s="83" t="str">
        <f>HYPERLINK("https://pbs.twimg.com/media/E7flQVGUUAETJfT.jpg")</f>
        <v>https://pbs.twimg.com/media/E7flQVGUUAETJfT.jpg</v>
      </c>
      <c r="V292" s="83" t="str">
        <f>HYPERLINK("https://pbs.twimg.com/media/E7flQVGUUAETJfT.jpg")</f>
        <v>https://pbs.twimg.com/media/E7flQVGUUAETJfT.jpg</v>
      </c>
      <c r="W292" s="81">
        <v>44406.888229166667</v>
      </c>
      <c r="X292" s="87">
        <v>44406</v>
      </c>
      <c r="Y292" s="85" t="s">
        <v>579</v>
      </c>
      <c r="Z292" s="83" t="str">
        <f>HYPERLINK("https://twitter.com/trio_sss_mc/status/1420856420522594304")</f>
        <v>https://twitter.com/trio_sss_mc/status/1420856420522594304</v>
      </c>
      <c r="AA292" s="79"/>
      <c r="AB292" s="79"/>
      <c r="AC292" s="85" t="s">
        <v>758</v>
      </c>
      <c r="AD292" s="79"/>
      <c r="AE292" s="79" t="b">
        <v>0</v>
      </c>
      <c r="AF292" s="79">
        <v>0</v>
      </c>
      <c r="AG292" s="85" t="s">
        <v>867</v>
      </c>
      <c r="AH292" s="79" t="b">
        <v>0</v>
      </c>
      <c r="AI292" s="79" t="s">
        <v>874</v>
      </c>
      <c r="AJ292" s="79"/>
      <c r="AK292" s="85" t="s">
        <v>867</v>
      </c>
      <c r="AL292" s="79" t="b">
        <v>0</v>
      </c>
      <c r="AM292" s="79">
        <v>0</v>
      </c>
      <c r="AN292" s="85" t="s">
        <v>867</v>
      </c>
      <c r="AO292" s="85" t="s">
        <v>882</v>
      </c>
      <c r="AP292" s="79" t="b">
        <v>0</v>
      </c>
      <c r="AQ292" s="85" t="s">
        <v>758</v>
      </c>
      <c r="AR292" s="79" t="s">
        <v>177</v>
      </c>
      <c r="AS292" s="79">
        <v>0</v>
      </c>
      <c r="AT292" s="79">
        <v>0</v>
      </c>
      <c r="AU292" s="79"/>
      <c r="AV292" s="79"/>
      <c r="AW292" s="79"/>
      <c r="AX292" s="79"/>
      <c r="AY292" s="79"/>
      <c r="AZ292" s="79"/>
      <c r="BA292" s="79"/>
      <c r="BB292" s="79"/>
      <c r="BC292">
        <v>1</v>
      </c>
      <c r="BD292" s="78" t="str">
        <f>REPLACE(INDEX(GroupVertices[Group], MATCH(Edges[[#This Row],[Vertex 1]],GroupVertices[Vertex],0)),1,1,"")</f>
        <v>13</v>
      </c>
      <c r="BE292" s="78" t="str">
        <f>REPLACE(INDEX(GroupVertices[Group], MATCH(Edges[[#This Row],[Vertex 2]],GroupVertices[Vertex],0)),1,1,"")</f>
        <v>13</v>
      </c>
    </row>
    <row r="293" spans="1:57" x14ac:dyDescent="0.25">
      <c r="A293" s="64" t="s">
        <v>222</v>
      </c>
      <c r="B293" s="64" t="s">
        <v>302</v>
      </c>
      <c r="C293" s="65" t="s">
        <v>2101</v>
      </c>
      <c r="D293" s="66">
        <v>3</v>
      </c>
      <c r="E293" s="67"/>
      <c r="F293" s="68">
        <v>40</v>
      </c>
      <c r="G293" s="65"/>
      <c r="H293" s="69"/>
      <c r="I293" s="70"/>
      <c r="J293" s="70"/>
      <c r="K293" s="35" t="s">
        <v>65</v>
      </c>
      <c r="L293" s="77">
        <v>293</v>
      </c>
      <c r="M29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93" s="72"/>
      <c r="O293" s="79" t="s">
        <v>340</v>
      </c>
      <c r="P293" s="81">
        <v>44403.614363425928</v>
      </c>
      <c r="Q293" s="79" t="s">
        <v>345</v>
      </c>
      <c r="R293" s="83" t="str">
        <f>HYPERLINK("https://go.fiu.edu/sssgoodtrouble")</f>
        <v>https://go.fiu.edu/sssgoodtrouble</v>
      </c>
      <c r="S293" s="79" t="s">
        <v>447</v>
      </c>
      <c r="T293" s="85" t="s">
        <v>463</v>
      </c>
      <c r="U293" s="83" t="str">
        <f>HYPERLINK("https://pbs.twimg.com/media/E7Os9FjX0AAJ6GO.jpg")</f>
        <v>https://pbs.twimg.com/media/E7Os9FjX0AAJ6GO.jpg</v>
      </c>
      <c r="V293" s="83" t="str">
        <f>HYPERLINK("https://pbs.twimg.com/media/E7Os9FjX0AAJ6GO.jpg")</f>
        <v>https://pbs.twimg.com/media/E7Os9FjX0AAJ6GO.jpg</v>
      </c>
      <c r="W293" s="81">
        <v>44403.614363425928</v>
      </c>
      <c r="X293" s="87">
        <v>44403</v>
      </c>
      <c r="Y293" s="85" t="s">
        <v>516</v>
      </c>
      <c r="Z293" s="83" t="str">
        <f>HYPERLINK("https://twitter.com/fiuferre/status/1419670012516868104")</f>
        <v>https://twitter.com/fiuferre/status/1419670012516868104</v>
      </c>
      <c r="AA293" s="79"/>
      <c r="AB293" s="79"/>
      <c r="AC293" s="85" t="s">
        <v>692</v>
      </c>
      <c r="AD293" s="79"/>
      <c r="AE293" s="79" t="b">
        <v>0</v>
      </c>
      <c r="AF293" s="79">
        <v>0</v>
      </c>
      <c r="AG293" s="85" t="s">
        <v>868</v>
      </c>
      <c r="AH293" s="79" t="b">
        <v>0</v>
      </c>
      <c r="AI293" s="79" t="s">
        <v>874</v>
      </c>
      <c r="AJ293" s="79"/>
      <c r="AK293" s="85" t="s">
        <v>867</v>
      </c>
      <c r="AL293" s="79" t="b">
        <v>0</v>
      </c>
      <c r="AM293" s="79">
        <v>0</v>
      </c>
      <c r="AN293" s="85" t="s">
        <v>867</v>
      </c>
      <c r="AO293" s="85" t="s">
        <v>882</v>
      </c>
      <c r="AP293" s="79" t="b">
        <v>0</v>
      </c>
      <c r="AQ293" s="85" t="s">
        <v>692</v>
      </c>
      <c r="AR293" s="79" t="s">
        <v>177</v>
      </c>
      <c r="AS293" s="79">
        <v>0</v>
      </c>
      <c r="AT293" s="79">
        <v>0</v>
      </c>
      <c r="AU293" s="79"/>
      <c r="AV293" s="79"/>
      <c r="AW293" s="79"/>
      <c r="AX293" s="79"/>
      <c r="AY293" s="79"/>
      <c r="AZ293" s="79"/>
      <c r="BA293" s="79"/>
      <c r="BB293" s="79"/>
      <c r="BC293">
        <v>1</v>
      </c>
      <c r="BD293" s="78" t="str">
        <f>REPLACE(INDEX(GroupVertices[Group], MATCH(Edges[[#This Row],[Vertex 1]],GroupVertices[Vertex],0)),1,1,"")</f>
        <v>12</v>
      </c>
      <c r="BE293" s="78" t="str">
        <f>REPLACE(INDEX(GroupVertices[Group], MATCH(Edges[[#This Row],[Vertex 2]],GroupVertices[Vertex],0)),1,1,"")</f>
        <v>12</v>
      </c>
    </row>
    <row r="294" spans="1:57" x14ac:dyDescent="0.25">
      <c r="A294" s="64" t="s">
        <v>299</v>
      </c>
      <c r="B294" s="64" t="s">
        <v>336</v>
      </c>
      <c r="C294" s="65" t="s">
        <v>2101</v>
      </c>
      <c r="D294" s="66">
        <v>3</v>
      </c>
      <c r="E294" s="67"/>
      <c r="F294" s="68">
        <v>40</v>
      </c>
      <c r="G294" s="65"/>
      <c r="H294" s="69"/>
      <c r="I294" s="70"/>
      <c r="J294" s="70"/>
      <c r="K294" s="35" t="s">
        <v>65</v>
      </c>
      <c r="L294" s="77">
        <v>294</v>
      </c>
      <c r="M29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94" s="72"/>
      <c r="O294" s="79" t="s">
        <v>339</v>
      </c>
      <c r="P294" s="81">
        <v>44407.8125</v>
      </c>
      <c r="Q294" s="79" t="s">
        <v>439</v>
      </c>
      <c r="R294" s="83" t="str">
        <f>HYPERLINK("https://firstgen.naspa.org/blog/101-ways-to-celebrate-on-nov-8")</f>
        <v>https://firstgen.naspa.org/blog/101-ways-to-celebrate-on-nov-8</v>
      </c>
      <c r="S294" s="79" t="s">
        <v>458</v>
      </c>
      <c r="T294" s="85" t="s">
        <v>505</v>
      </c>
      <c r="U294" s="79"/>
      <c r="V294" s="83" t="str">
        <f>HYPERLINK("https://pbs.twimg.com/profile_images/1323297412480262144/loo-7mMs_normal.jpg")</f>
        <v>https://pbs.twimg.com/profile_images/1323297412480262144/loo-7mMs_normal.jpg</v>
      </c>
      <c r="W294" s="81">
        <v>44407.8125</v>
      </c>
      <c r="X294" s="87">
        <v>44407</v>
      </c>
      <c r="Y294" s="85" t="s">
        <v>678</v>
      </c>
      <c r="Z294" s="83" t="str">
        <f>HYPERLINK("https://twitter.com/mycencalwestop/status/1421191363983446016")</f>
        <v>https://twitter.com/mycencalwestop/status/1421191363983446016</v>
      </c>
      <c r="AA294" s="79"/>
      <c r="AB294" s="79"/>
      <c r="AC294" s="85" t="s">
        <v>858</v>
      </c>
      <c r="AD294" s="79"/>
      <c r="AE294" s="79" t="b">
        <v>0</v>
      </c>
      <c r="AF294" s="79">
        <v>0</v>
      </c>
      <c r="AG294" s="85" t="s">
        <v>867</v>
      </c>
      <c r="AH294" s="79" t="b">
        <v>0</v>
      </c>
      <c r="AI294" s="79" t="s">
        <v>874</v>
      </c>
      <c r="AJ294" s="79"/>
      <c r="AK294" s="85" t="s">
        <v>867</v>
      </c>
      <c r="AL294" s="79" t="b">
        <v>0</v>
      </c>
      <c r="AM294" s="79">
        <v>0</v>
      </c>
      <c r="AN294" s="85" t="s">
        <v>867</v>
      </c>
      <c r="AO294" s="85" t="s">
        <v>891</v>
      </c>
      <c r="AP294" s="79" t="b">
        <v>0</v>
      </c>
      <c r="AQ294" s="85" t="s">
        <v>858</v>
      </c>
      <c r="AR294" s="79" t="s">
        <v>177</v>
      </c>
      <c r="AS294" s="79">
        <v>0</v>
      </c>
      <c r="AT294" s="79">
        <v>0</v>
      </c>
      <c r="AU294" s="79"/>
      <c r="AV294" s="79"/>
      <c r="AW294" s="79"/>
      <c r="AX294" s="79"/>
      <c r="AY294" s="79"/>
      <c r="AZ294" s="79"/>
      <c r="BA294" s="79"/>
      <c r="BB294" s="79"/>
      <c r="BC294">
        <v>1</v>
      </c>
      <c r="BD294" s="78" t="str">
        <f>REPLACE(INDEX(GroupVertices[Group], MATCH(Edges[[#This Row],[Vertex 1]],GroupVertices[Vertex],0)),1,1,"")</f>
        <v>1</v>
      </c>
      <c r="BE294" s="78" t="str">
        <f>REPLACE(INDEX(GroupVertices[Group], MATCH(Edges[[#This Row],[Vertex 2]],GroupVertices[Vertex],0)),1,1,"")</f>
        <v>1</v>
      </c>
    </row>
    <row r="295" spans="1:57" x14ac:dyDescent="0.25">
      <c r="A295" s="64" t="s">
        <v>224</v>
      </c>
      <c r="B295" s="64" t="s">
        <v>224</v>
      </c>
      <c r="C295" s="65" t="s">
        <v>2101</v>
      </c>
      <c r="D295" s="66">
        <v>3</v>
      </c>
      <c r="E295" s="67"/>
      <c r="F295" s="68">
        <v>40</v>
      </c>
      <c r="G295" s="65"/>
      <c r="H295" s="69"/>
      <c r="I295" s="70"/>
      <c r="J295" s="70"/>
      <c r="K295" s="35" t="s">
        <v>65</v>
      </c>
      <c r="L295" s="77">
        <v>295</v>
      </c>
      <c r="M29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95" s="72"/>
      <c r="O295" s="79" t="s">
        <v>177</v>
      </c>
      <c r="P295" s="81">
        <v>44403.923738425925</v>
      </c>
      <c r="Q295" s="79" t="s">
        <v>347</v>
      </c>
      <c r="R295" s="83" t="str">
        <f>HYPERLINK("https://familycentered.jotform.com/211244643290045?")</f>
        <v>https://familycentered.jotform.com/211244643290045?</v>
      </c>
      <c r="S295" s="79" t="s">
        <v>448</v>
      </c>
      <c r="T295" s="85" t="s">
        <v>464</v>
      </c>
      <c r="U295" s="83" t="str">
        <f>HYPERLINK("https://pbs.twimg.com/ext_tw_video_thumb/1419782084458131459/pu/img/pI-K0wFjdCwZGDfw.jpg")</f>
        <v>https://pbs.twimg.com/ext_tw_video_thumb/1419782084458131459/pu/img/pI-K0wFjdCwZGDfw.jpg</v>
      </c>
      <c r="V295" s="83" t="str">
        <f>HYPERLINK("https://pbs.twimg.com/ext_tw_video_thumb/1419782084458131459/pu/img/pI-K0wFjdCwZGDfw.jpg")</f>
        <v>https://pbs.twimg.com/ext_tw_video_thumb/1419782084458131459/pu/img/pI-K0wFjdCwZGDfw.jpg</v>
      </c>
      <c r="W295" s="81">
        <v>44403.923738425925</v>
      </c>
      <c r="X295" s="87">
        <v>44403</v>
      </c>
      <c r="Y295" s="85" t="s">
        <v>518</v>
      </c>
      <c r="Z295" s="83" t="str">
        <f>HYPERLINK("https://twitter.com/fceatrio/status/1419782124903837697")</f>
        <v>https://twitter.com/fceatrio/status/1419782124903837697</v>
      </c>
      <c r="AA295" s="79"/>
      <c r="AB295" s="79"/>
      <c r="AC295" s="85" t="s">
        <v>694</v>
      </c>
      <c r="AD295" s="79"/>
      <c r="AE295" s="79" t="b">
        <v>0</v>
      </c>
      <c r="AF295" s="79">
        <v>1</v>
      </c>
      <c r="AG295" s="85" t="s">
        <v>867</v>
      </c>
      <c r="AH295" s="79" t="b">
        <v>0</v>
      </c>
      <c r="AI295" s="79" t="s">
        <v>874</v>
      </c>
      <c r="AJ295" s="79"/>
      <c r="AK295" s="85" t="s">
        <v>867</v>
      </c>
      <c r="AL295" s="79" t="b">
        <v>0</v>
      </c>
      <c r="AM295" s="79">
        <v>0</v>
      </c>
      <c r="AN295" s="85" t="s">
        <v>867</v>
      </c>
      <c r="AO295" s="85" t="s">
        <v>886</v>
      </c>
      <c r="AP295" s="79" t="b">
        <v>0</v>
      </c>
      <c r="AQ295" s="85" t="s">
        <v>694</v>
      </c>
      <c r="AR295" s="79" t="s">
        <v>177</v>
      </c>
      <c r="AS295" s="79">
        <v>0</v>
      </c>
      <c r="AT295" s="79">
        <v>0</v>
      </c>
      <c r="AU295" s="79"/>
      <c r="AV295" s="79"/>
      <c r="AW295" s="79"/>
      <c r="AX295" s="79"/>
      <c r="AY295" s="79"/>
      <c r="AZ295" s="79"/>
      <c r="BA295" s="79"/>
      <c r="BB295" s="79"/>
      <c r="BC295">
        <v>1</v>
      </c>
      <c r="BD295" s="78" t="str">
        <f>REPLACE(INDEX(GroupVertices[Group], MATCH(Edges[[#This Row],[Vertex 1]],GroupVertices[Vertex],0)),1,1,"")</f>
        <v>5</v>
      </c>
      <c r="BE295" s="78" t="str">
        <f>REPLACE(INDEX(GroupVertices[Group], MATCH(Edges[[#This Row],[Vertex 2]],GroupVertices[Vertex],0)),1,1,"")</f>
        <v>5</v>
      </c>
    </row>
    <row r="296" spans="1:57" x14ac:dyDescent="0.25">
      <c r="A296" s="64" t="s">
        <v>215</v>
      </c>
      <c r="B296" s="64" t="s">
        <v>216</v>
      </c>
      <c r="C296" s="65" t="s">
        <v>2101</v>
      </c>
      <c r="D296" s="66">
        <v>3</v>
      </c>
      <c r="E296" s="67"/>
      <c r="F296" s="68">
        <v>40</v>
      </c>
      <c r="G296" s="65"/>
      <c r="H296" s="69"/>
      <c r="I296" s="70"/>
      <c r="J296" s="70"/>
      <c r="K296" s="35" t="s">
        <v>65</v>
      </c>
      <c r="L296" s="77">
        <v>296</v>
      </c>
      <c r="M29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96" s="72"/>
      <c r="O296" s="79" t="s">
        <v>338</v>
      </c>
      <c r="P296" s="81">
        <v>44401.744930555556</v>
      </c>
      <c r="Q296" s="79" t="s">
        <v>341</v>
      </c>
      <c r="R296" s="83" t="str">
        <f>HYPERLINK("https://doublepell.org/take-action/")</f>
        <v>https://doublepell.org/take-action/</v>
      </c>
      <c r="S296" s="79" t="s">
        <v>446</v>
      </c>
      <c r="T296" s="85" t="s">
        <v>460</v>
      </c>
      <c r="U296" s="83" t="str">
        <f>HYPERLINK("https://pbs.twimg.com/media/E6_v8_lWUAoUB-Q.jpg")</f>
        <v>https://pbs.twimg.com/media/E6_v8_lWUAoUB-Q.jpg</v>
      </c>
      <c r="V296" s="83" t="str">
        <f>HYPERLINK("https://pbs.twimg.com/media/E6_v8_lWUAoUB-Q.jpg")</f>
        <v>https://pbs.twimg.com/media/E6_v8_lWUAoUB-Q.jpg</v>
      </c>
      <c r="W296" s="81">
        <v>44401.744930555556</v>
      </c>
      <c r="X296" s="87">
        <v>44401</v>
      </c>
      <c r="Y296" s="85" t="s">
        <v>509</v>
      </c>
      <c r="Z296" s="83" t="str">
        <f>HYPERLINK("https://twitter.com/aceducation/status/1418992550153687043")</f>
        <v>https://twitter.com/aceducation/status/1418992550153687043</v>
      </c>
      <c r="AA296" s="79"/>
      <c r="AB296" s="79"/>
      <c r="AC296" s="85" t="s">
        <v>685</v>
      </c>
      <c r="AD296" s="79"/>
      <c r="AE296" s="79" t="b">
        <v>0</v>
      </c>
      <c r="AF296" s="79">
        <v>0</v>
      </c>
      <c r="AG296" s="85" t="s">
        <v>867</v>
      </c>
      <c r="AH296" s="79" t="b">
        <v>0</v>
      </c>
      <c r="AI296" s="79" t="s">
        <v>874</v>
      </c>
      <c r="AJ296" s="79"/>
      <c r="AK296" s="85" t="s">
        <v>867</v>
      </c>
      <c r="AL296" s="79" t="b">
        <v>0</v>
      </c>
      <c r="AM296" s="79">
        <v>2</v>
      </c>
      <c r="AN296" s="85" t="s">
        <v>686</v>
      </c>
      <c r="AO296" s="85" t="s">
        <v>882</v>
      </c>
      <c r="AP296" s="79" t="b">
        <v>0</v>
      </c>
      <c r="AQ296" s="85" t="s">
        <v>686</v>
      </c>
      <c r="AR296" s="79" t="s">
        <v>177</v>
      </c>
      <c r="AS296" s="79">
        <v>0</v>
      </c>
      <c r="AT296" s="79">
        <v>0</v>
      </c>
      <c r="AU296" s="79"/>
      <c r="AV296" s="79"/>
      <c r="AW296" s="79"/>
      <c r="AX296" s="79"/>
      <c r="AY296" s="79"/>
      <c r="AZ296" s="79"/>
      <c r="BA296" s="79"/>
      <c r="BB296" s="79"/>
      <c r="BC296">
        <v>1</v>
      </c>
      <c r="BD296" s="78" t="str">
        <f>REPLACE(INDEX(GroupVertices[Group], MATCH(Edges[[#This Row],[Vertex 1]],GroupVertices[Vertex],0)),1,1,"")</f>
        <v>7</v>
      </c>
      <c r="BE296" s="78" t="str">
        <f>REPLACE(INDEX(GroupVertices[Group], MATCH(Edges[[#This Row],[Vertex 2]],GroupVertices[Vertex],0)),1,1,"")</f>
        <v>7</v>
      </c>
    </row>
    <row r="297" spans="1:57" x14ac:dyDescent="0.25">
      <c r="A297" s="64" t="s">
        <v>217</v>
      </c>
      <c r="B297" s="64" t="s">
        <v>216</v>
      </c>
      <c r="C297" s="65" t="s">
        <v>2101</v>
      </c>
      <c r="D297" s="66">
        <v>3</v>
      </c>
      <c r="E297" s="67"/>
      <c r="F297" s="68">
        <v>40</v>
      </c>
      <c r="G297" s="65"/>
      <c r="H297" s="69"/>
      <c r="I297" s="70"/>
      <c r="J297" s="70"/>
      <c r="K297" s="35" t="s">
        <v>65</v>
      </c>
      <c r="L297" s="77">
        <v>297</v>
      </c>
      <c r="M29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97" s="72"/>
      <c r="O297" s="79" t="s">
        <v>338</v>
      </c>
      <c r="P297" s="81">
        <v>44401.748680555553</v>
      </c>
      <c r="Q297" s="79" t="s">
        <v>341</v>
      </c>
      <c r="R297" s="83" t="str">
        <f>HYPERLINK("https://doublepell.org/take-action/")</f>
        <v>https://doublepell.org/take-action/</v>
      </c>
      <c r="S297" s="79" t="s">
        <v>446</v>
      </c>
      <c r="T297" s="85" t="s">
        <v>460</v>
      </c>
      <c r="U297" s="83" t="str">
        <f>HYPERLINK("https://pbs.twimg.com/media/E6_v8_lWUAoUB-Q.jpg")</f>
        <v>https://pbs.twimg.com/media/E6_v8_lWUAoUB-Q.jpg</v>
      </c>
      <c r="V297" s="83" t="str">
        <f>HYPERLINK("https://pbs.twimg.com/media/E6_v8_lWUAoUB-Q.jpg")</f>
        <v>https://pbs.twimg.com/media/E6_v8_lWUAoUB-Q.jpg</v>
      </c>
      <c r="W297" s="81">
        <v>44401.748680555553</v>
      </c>
      <c r="X297" s="87">
        <v>44401</v>
      </c>
      <c r="Y297" s="85" t="s">
        <v>511</v>
      </c>
      <c r="Z297" s="83" t="str">
        <f>HYPERLINK("https://twitter.com/jonriskindatace/status/1418993911645843456")</f>
        <v>https://twitter.com/jonriskindatace/status/1418993911645843456</v>
      </c>
      <c r="AA297" s="79"/>
      <c r="AB297" s="79"/>
      <c r="AC297" s="85" t="s">
        <v>687</v>
      </c>
      <c r="AD297" s="79"/>
      <c r="AE297" s="79" t="b">
        <v>0</v>
      </c>
      <c r="AF297" s="79">
        <v>0</v>
      </c>
      <c r="AG297" s="85" t="s">
        <v>867</v>
      </c>
      <c r="AH297" s="79" t="b">
        <v>0</v>
      </c>
      <c r="AI297" s="79" t="s">
        <v>874</v>
      </c>
      <c r="AJ297" s="79"/>
      <c r="AK297" s="85" t="s">
        <v>867</v>
      </c>
      <c r="AL297" s="79" t="b">
        <v>0</v>
      </c>
      <c r="AM297" s="79">
        <v>2</v>
      </c>
      <c r="AN297" s="85" t="s">
        <v>686</v>
      </c>
      <c r="AO297" s="85" t="s">
        <v>883</v>
      </c>
      <c r="AP297" s="79" t="b">
        <v>0</v>
      </c>
      <c r="AQ297" s="85" t="s">
        <v>686</v>
      </c>
      <c r="AR297" s="79" t="s">
        <v>177</v>
      </c>
      <c r="AS297" s="79">
        <v>0</v>
      </c>
      <c r="AT297" s="79">
        <v>0</v>
      </c>
      <c r="AU297" s="79"/>
      <c r="AV297" s="79"/>
      <c r="AW297" s="79"/>
      <c r="AX297" s="79"/>
      <c r="AY297" s="79"/>
      <c r="AZ297" s="79"/>
      <c r="BA297" s="79"/>
      <c r="BB297" s="79"/>
      <c r="BC297">
        <v>1</v>
      </c>
      <c r="BD297" s="78" t="str">
        <f>REPLACE(INDEX(GroupVertices[Group], MATCH(Edges[[#This Row],[Vertex 1]],GroupVertices[Vertex],0)),1,1,"")</f>
        <v>7</v>
      </c>
      <c r="BE297" s="78" t="str">
        <f>REPLACE(INDEX(GroupVertices[Group], MATCH(Edges[[#This Row],[Vertex 2]],GroupVertices[Vertex],0)),1,1,"")</f>
        <v>7</v>
      </c>
    </row>
    <row r="298" spans="1:57" x14ac:dyDescent="0.25">
      <c r="A298" s="64" t="s">
        <v>296</v>
      </c>
      <c r="B298" s="64" t="s">
        <v>333</v>
      </c>
      <c r="C298" s="65" t="s">
        <v>2101</v>
      </c>
      <c r="D298" s="66">
        <v>3</v>
      </c>
      <c r="E298" s="67"/>
      <c r="F298" s="68">
        <v>40</v>
      </c>
      <c r="G298" s="65"/>
      <c r="H298" s="69"/>
      <c r="I298" s="70"/>
      <c r="J298" s="70"/>
      <c r="K298" s="35" t="s">
        <v>65</v>
      </c>
      <c r="L298" s="77">
        <v>298</v>
      </c>
      <c r="M29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98" s="72"/>
      <c r="O298" s="79" t="s">
        <v>339</v>
      </c>
      <c r="P298" s="81">
        <v>44405.668310185189</v>
      </c>
      <c r="Q298" s="79" t="s">
        <v>424</v>
      </c>
      <c r="R298" s="79"/>
      <c r="S298" s="79"/>
      <c r="T298" s="85" t="s">
        <v>496</v>
      </c>
      <c r="U298" s="83" t="str">
        <f>HYPERLINK("https://pbs.twimg.com/media/E7ZTTvjX0AIZwC0.jpg")</f>
        <v>https://pbs.twimg.com/media/E7ZTTvjX0AIZwC0.jpg</v>
      </c>
      <c r="V298" s="83" t="str">
        <f>HYPERLINK("https://pbs.twimg.com/media/E7ZTTvjX0AIZwC0.jpg")</f>
        <v>https://pbs.twimg.com/media/E7ZTTvjX0AIZwC0.jpg</v>
      </c>
      <c r="W298" s="81">
        <v>44405.668310185189</v>
      </c>
      <c r="X298" s="87">
        <v>44405</v>
      </c>
      <c r="Y298" s="85" t="s">
        <v>659</v>
      </c>
      <c r="Z298" s="83" t="str">
        <f>HYPERLINK("https://twitter.com/eku_nova/status/1420414335856357376")</f>
        <v>https://twitter.com/eku_nova/status/1420414335856357376</v>
      </c>
      <c r="AA298" s="79"/>
      <c r="AB298" s="79"/>
      <c r="AC298" s="85" t="s">
        <v>839</v>
      </c>
      <c r="AD298" s="79"/>
      <c r="AE298" s="79" t="b">
        <v>0</v>
      </c>
      <c r="AF298" s="79">
        <v>1</v>
      </c>
      <c r="AG298" s="85" t="s">
        <v>867</v>
      </c>
      <c r="AH298" s="79" t="b">
        <v>0</v>
      </c>
      <c r="AI298" s="79" t="s">
        <v>874</v>
      </c>
      <c r="AJ298" s="79"/>
      <c r="AK298" s="85" t="s">
        <v>867</v>
      </c>
      <c r="AL298" s="79" t="b">
        <v>0</v>
      </c>
      <c r="AM298" s="79">
        <v>0</v>
      </c>
      <c r="AN298" s="85" t="s">
        <v>867</v>
      </c>
      <c r="AO298" s="85" t="s">
        <v>885</v>
      </c>
      <c r="AP298" s="79" t="b">
        <v>0</v>
      </c>
      <c r="AQ298" s="85" t="s">
        <v>839</v>
      </c>
      <c r="AR298" s="79" t="s">
        <v>177</v>
      </c>
      <c r="AS298" s="79">
        <v>0</v>
      </c>
      <c r="AT298" s="79">
        <v>0</v>
      </c>
      <c r="AU298" s="79"/>
      <c r="AV298" s="79"/>
      <c r="AW298" s="79"/>
      <c r="AX298" s="79"/>
      <c r="AY298" s="79"/>
      <c r="AZ298" s="79"/>
      <c r="BA298" s="79"/>
      <c r="BB298" s="79"/>
      <c r="BC298">
        <v>1</v>
      </c>
      <c r="BD298" s="78" t="str">
        <f>REPLACE(INDEX(GroupVertices[Group], MATCH(Edges[[#This Row],[Vertex 1]],GroupVertices[Vertex],0)),1,1,"")</f>
        <v>11</v>
      </c>
      <c r="BE298" s="78" t="str">
        <f>REPLACE(INDEX(GroupVertices[Group], MATCH(Edges[[#This Row],[Vertex 2]],GroupVertices[Vertex],0)),1,1,"")</f>
        <v>11</v>
      </c>
    </row>
    <row r="299" spans="1:57" x14ac:dyDescent="0.25">
      <c r="A299" s="64" t="s">
        <v>234</v>
      </c>
      <c r="B299" s="64" t="s">
        <v>307</v>
      </c>
      <c r="C299" s="65" t="s">
        <v>2101</v>
      </c>
      <c r="D299" s="66">
        <v>3</v>
      </c>
      <c r="E299" s="67"/>
      <c r="F299" s="68">
        <v>40</v>
      </c>
      <c r="G299" s="65"/>
      <c r="H299" s="69"/>
      <c r="I299" s="70"/>
      <c r="J299" s="70"/>
      <c r="K299" s="35" t="s">
        <v>65</v>
      </c>
      <c r="L299" s="77">
        <v>299</v>
      </c>
      <c r="M29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299" s="72"/>
      <c r="O299" s="79" t="s">
        <v>339</v>
      </c>
      <c r="P299" s="81">
        <v>44404.84003472222</v>
      </c>
      <c r="Q299" s="79" t="s">
        <v>354</v>
      </c>
      <c r="R299" s="79"/>
      <c r="S299" s="79"/>
      <c r="T299" s="85" t="s">
        <v>471</v>
      </c>
      <c r="U299" s="83" t="str">
        <f>HYPERLINK("https://pbs.twimg.com/media/E7VBXq_XMAAMbtc.jpg")</f>
        <v>https://pbs.twimg.com/media/E7VBXq_XMAAMbtc.jpg</v>
      </c>
      <c r="V299" s="83" t="str">
        <f>HYPERLINK("https://pbs.twimg.com/media/E7VBXq_XMAAMbtc.jpg")</f>
        <v>https://pbs.twimg.com/media/E7VBXq_XMAAMbtc.jpg</v>
      </c>
      <c r="W299" s="81">
        <v>44404.84003472222</v>
      </c>
      <c r="X299" s="87">
        <v>44404</v>
      </c>
      <c r="Y299" s="85" t="s">
        <v>528</v>
      </c>
      <c r="Z299" s="83" t="str">
        <f>HYPERLINK("https://twitter.com/sssivytechfw/status/1420114179822862342")</f>
        <v>https://twitter.com/sssivytechfw/status/1420114179822862342</v>
      </c>
      <c r="AA299" s="79"/>
      <c r="AB299" s="79"/>
      <c r="AC299" s="85" t="s">
        <v>705</v>
      </c>
      <c r="AD299" s="79"/>
      <c r="AE299" s="79" t="b">
        <v>0</v>
      </c>
      <c r="AF299" s="79">
        <v>1</v>
      </c>
      <c r="AG299" s="85" t="s">
        <v>867</v>
      </c>
      <c r="AH299" s="79" t="b">
        <v>0</v>
      </c>
      <c r="AI299" s="79" t="s">
        <v>874</v>
      </c>
      <c r="AJ299" s="79"/>
      <c r="AK299" s="85" t="s">
        <v>867</v>
      </c>
      <c r="AL299" s="79" t="b">
        <v>0</v>
      </c>
      <c r="AM299" s="79">
        <v>0</v>
      </c>
      <c r="AN299" s="85" t="s">
        <v>867</v>
      </c>
      <c r="AO299" s="85" t="s">
        <v>882</v>
      </c>
      <c r="AP299" s="79" t="b">
        <v>0</v>
      </c>
      <c r="AQ299" s="85" t="s">
        <v>705</v>
      </c>
      <c r="AR299" s="79" t="s">
        <v>177</v>
      </c>
      <c r="AS299" s="79">
        <v>0</v>
      </c>
      <c r="AT299" s="79">
        <v>0</v>
      </c>
      <c r="AU299" s="79"/>
      <c r="AV299" s="79"/>
      <c r="AW299" s="79"/>
      <c r="AX299" s="79"/>
      <c r="AY299" s="79"/>
      <c r="AZ299" s="79"/>
      <c r="BA299" s="79"/>
      <c r="BB299" s="79"/>
      <c r="BC299">
        <v>1</v>
      </c>
      <c r="BD299" s="78" t="str">
        <f>REPLACE(INDEX(GroupVertices[Group], MATCH(Edges[[#This Row],[Vertex 1]],GroupVertices[Vertex],0)),1,1,"")</f>
        <v>1</v>
      </c>
      <c r="BE299" s="78" t="str">
        <f>REPLACE(INDEX(GroupVertices[Group], MATCH(Edges[[#This Row],[Vertex 2]],GroupVertices[Vertex],0)),1,1,"")</f>
        <v>1</v>
      </c>
    </row>
    <row r="300" spans="1:57" x14ac:dyDescent="0.25">
      <c r="A300" s="64" t="s">
        <v>287</v>
      </c>
      <c r="B300" s="64" t="s">
        <v>331</v>
      </c>
      <c r="C300" s="65" t="s">
        <v>2101</v>
      </c>
      <c r="D300" s="66">
        <v>3</v>
      </c>
      <c r="E300" s="67"/>
      <c r="F300" s="68">
        <v>40</v>
      </c>
      <c r="G300" s="65"/>
      <c r="H300" s="69"/>
      <c r="I300" s="70"/>
      <c r="J300" s="70"/>
      <c r="K300" s="35" t="s">
        <v>65</v>
      </c>
      <c r="L300" s="77">
        <v>300</v>
      </c>
      <c r="M30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00" s="72"/>
      <c r="O300" s="79" t="s">
        <v>339</v>
      </c>
      <c r="P300" s="81">
        <v>44407.730115740742</v>
      </c>
      <c r="Q300" s="79" t="s">
        <v>422</v>
      </c>
      <c r="R300" s="79"/>
      <c r="S300" s="79"/>
      <c r="T300" s="85" t="s">
        <v>461</v>
      </c>
      <c r="U300" s="83" t="str">
        <f>HYPERLINK("https://pbs.twimg.com/ext_tw_video_thumb/1421161154945093639/pu/img/tbrT6qcfoLxlpRkV.jpg")</f>
        <v>https://pbs.twimg.com/ext_tw_video_thumb/1421161154945093639/pu/img/tbrT6qcfoLxlpRkV.jpg</v>
      </c>
      <c r="V300" s="83" t="str">
        <f>HYPERLINK("https://pbs.twimg.com/ext_tw_video_thumb/1421161154945093639/pu/img/tbrT6qcfoLxlpRkV.jpg")</f>
        <v>https://pbs.twimg.com/ext_tw_video_thumb/1421161154945093639/pu/img/tbrT6qcfoLxlpRkV.jpg</v>
      </c>
      <c r="W300" s="81">
        <v>44407.730115740742</v>
      </c>
      <c r="X300" s="87">
        <v>44407</v>
      </c>
      <c r="Y300" s="85" t="s">
        <v>656</v>
      </c>
      <c r="Z300" s="83" t="str">
        <f>HYPERLINK("https://twitter.com/coetalk/status/1421161509527474187")</f>
        <v>https://twitter.com/coetalk/status/1421161509527474187</v>
      </c>
      <c r="AA300" s="79"/>
      <c r="AB300" s="79"/>
      <c r="AC300" s="85" t="s">
        <v>836</v>
      </c>
      <c r="AD300" s="79"/>
      <c r="AE300" s="79" t="b">
        <v>0</v>
      </c>
      <c r="AF300" s="79">
        <v>4</v>
      </c>
      <c r="AG300" s="85" t="s">
        <v>867</v>
      </c>
      <c r="AH300" s="79" t="b">
        <v>0</v>
      </c>
      <c r="AI300" s="79" t="s">
        <v>874</v>
      </c>
      <c r="AJ300" s="79"/>
      <c r="AK300" s="85" t="s">
        <v>867</v>
      </c>
      <c r="AL300" s="79" t="b">
        <v>0</v>
      </c>
      <c r="AM300" s="79">
        <v>1</v>
      </c>
      <c r="AN300" s="85" t="s">
        <v>867</v>
      </c>
      <c r="AO300" s="85" t="s">
        <v>882</v>
      </c>
      <c r="AP300" s="79" t="b">
        <v>0</v>
      </c>
      <c r="AQ300" s="85" t="s">
        <v>836</v>
      </c>
      <c r="AR300" s="79" t="s">
        <v>177</v>
      </c>
      <c r="AS300" s="79">
        <v>0</v>
      </c>
      <c r="AT300" s="79">
        <v>0</v>
      </c>
      <c r="AU300" s="79"/>
      <c r="AV300" s="79"/>
      <c r="AW300" s="79"/>
      <c r="AX300" s="79"/>
      <c r="AY300" s="79"/>
      <c r="AZ300" s="79"/>
      <c r="BA300" s="79"/>
      <c r="BB300" s="79"/>
      <c r="BC300">
        <v>1</v>
      </c>
      <c r="BD300" s="78" t="str">
        <f>REPLACE(INDEX(GroupVertices[Group], MATCH(Edges[[#This Row],[Vertex 1]],GroupVertices[Vertex],0)),1,1,"")</f>
        <v>1</v>
      </c>
      <c r="BE300" s="78" t="str">
        <f>REPLACE(INDEX(GroupVertices[Group], MATCH(Edges[[#This Row],[Vertex 2]],GroupVertices[Vertex],0)),1,1,"")</f>
        <v>1</v>
      </c>
    </row>
    <row r="301" spans="1:57" x14ac:dyDescent="0.25">
      <c r="A301" s="64" t="s">
        <v>295</v>
      </c>
      <c r="B301" s="64" t="s">
        <v>331</v>
      </c>
      <c r="C301" s="65" t="s">
        <v>2101</v>
      </c>
      <c r="D301" s="66">
        <v>3</v>
      </c>
      <c r="E301" s="67"/>
      <c r="F301" s="68">
        <v>40</v>
      </c>
      <c r="G301" s="65"/>
      <c r="H301" s="69"/>
      <c r="I301" s="70"/>
      <c r="J301" s="70"/>
      <c r="K301" s="35" t="s">
        <v>65</v>
      </c>
      <c r="L301" s="77">
        <v>301</v>
      </c>
      <c r="M30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01" s="72"/>
      <c r="O301" s="79" t="s">
        <v>337</v>
      </c>
      <c r="P301" s="81">
        <v>44407.924224537041</v>
      </c>
      <c r="Q301" s="79" t="s">
        <v>422</v>
      </c>
      <c r="R301" s="79"/>
      <c r="S301" s="79"/>
      <c r="T301" s="85" t="s">
        <v>461</v>
      </c>
      <c r="U301" s="83" t="str">
        <f>HYPERLINK("https://pbs.twimg.com/ext_tw_video_thumb/1421161154945093639/pu/img/tbrT6qcfoLxlpRkV.jpg")</f>
        <v>https://pbs.twimg.com/ext_tw_video_thumb/1421161154945093639/pu/img/tbrT6qcfoLxlpRkV.jpg</v>
      </c>
      <c r="V301" s="83" t="str">
        <f>HYPERLINK("https://pbs.twimg.com/ext_tw_video_thumb/1421161154945093639/pu/img/tbrT6qcfoLxlpRkV.jpg")</f>
        <v>https://pbs.twimg.com/ext_tw_video_thumb/1421161154945093639/pu/img/tbrT6qcfoLxlpRkV.jpg</v>
      </c>
      <c r="W301" s="81">
        <v>44407.924224537041</v>
      </c>
      <c r="X301" s="87">
        <v>44407</v>
      </c>
      <c r="Y301" s="85" t="s">
        <v>657</v>
      </c>
      <c r="Z301" s="83" t="str">
        <f>HYPERLINK("https://twitter.com/terryluiken/status/1421231854368272384")</f>
        <v>https://twitter.com/terryluiken/status/1421231854368272384</v>
      </c>
      <c r="AA301" s="79"/>
      <c r="AB301" s="79"/>
      <c r="AC301" s="85" t="s">
        <v>837</v>
      </c>
      <c r="AD301" s="79"/>
      <c r="AE301" s="79" t="b">
        <v>0</v>
      </c>
      <c r="AF301" s="79">
        <v>0</v>
      </c>
      <c r="AG301" s="85" t="s">
        <v>867</v>
      </c>
      <c r="AH301" s="79" t="b">
        <v>0</v>
      </c>
      <c r="AI301" s="79" t="s">
        <v>874</v>
      </c>
      <c r="AJ301" s="79"/>
      <c r="AK301" s="85" t="s">
        <v>867</v>
      </c>
      <c r="AL301" s="79" t="b">
        <v>0</v>
      </c>
      <c r="AM301" s="79">
        <v>1</v>
      </c>
      <c r="AN301" s="85" t="s">
        <v>836</v>
      </c>
      <c r="AO301" s="85" t="s">
        <v>883</v>
      </c>
      <c r="AP301" s="79" t="b">
        <v>0</v>
      </c>
      <c r="AQ301" s="85" t="s">
        <v>836</v>
      </c>
      <c r="AR301" s="79" t="s">
        <v>177</v>
      </c>
      <c r="AS301" s="79">
        <v>0</v>
      </c>
      <c r="AT301" s="79">
        <v>0</v>
      </c>
      <c r="AU301" s="79"/>
      <c r="AV301" s="79"/>
      <c r="AW301" s="79"/>
      <c r="AX301" s="79"/>
      <c r="AY301" s="79"/>
      <c r="AZ301" s="79"/>
      <c r="BA301" s="79"/>
      <c r="BB301" s="79"/>
      <c r="BC301">
        <v>1</v>
      </c>
      <c r="BD301" s="78" t="str">
        <f>REPLACE(INDEX(GroupVertices[Group], MATCH(Edges[[#This Row],[Vertex 1]],GroupVertices[Vertex],0)),1,1,"")</f>
        <v>1</v>
      </c>
      <c r="BE301" s="78" t="str">
        <f>REPLACE(INDEX(GroupVertices[Group], MATCH(Edges[[#This Row],[Vertex 2]],GroupVertices[Vertex],0)),1,1,"")</f>
        <v>1</v>
      </c>
    </row>
    <row r="302" spans="1:57" x14ac:dyDescent="0.25">
      <c r="A302" s="64" t="s">
        <v>234</v>
      </c>
      <c r="B302" s="64" t="s">
        <v>287</v>
      </c>
      <c r="C302" s="65" t="s">
        <v>2101</v>
      </c>
      <c r="D302" s="66">
        <v>3</v>
      </c>
      <c r="E302" s="67"/>
      <c r="F302" s="68">
        <v>40</v>
      </c>
      <c r="G302" s="65"/>
      <c r="H302" s="69"/>
      <c r="I302" s="70"/>
      <c r="J302" s="70"/>
      <c r="K302" s="35" t="s">
        <v>65</v>
      </c>
      <c r="L302" s="77">
        <v>302</v>
      </c>
      <c r="M30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02" s="72"/>
      <c r="O302" s="79" t="s">
        <v>339</v>
      </c>
      <c r="P302" s="81">
        <v>44404.84003472222</v>
      </c>
      <c r="Q302" s="79" t="s">
        <v>354</v>
      </c>
      <c r="R302" s="79"/>
      <c r="S302" s="79"/>
      <c r="T302" s="85" t="s">
        <v>471</v>
      </c>
      <c r="U302" s="83" t="str">
        <f>HYPERLINK("https://pbs.twimg.com/media/E7VBXq_XMAAMbtc.jpg")</f>
        <v>https://pbs.twimg.com/media/E7VBXq_XMAAMbtc.jpg</v>
      </c>
      <c r="V302" s="83" t="str">
        <f>HYPERLINK("https://pbs.twimg.com/media/E7VBXq_XMAAMbtc.jpg")</f>
        <v>https://pbs.twimg.com/media/E7VBXq_XMAAMbtc.jpg</v>
      </c>
      <c r="W302" s="81">
        <v>44404.84003472222</v>
      </c>
      <c r="X302" s="87">
        <v>44404</v>
      </c>
      <c r="Y302" s="85" t="s">
        <v>528</v>
      </c>
      <c r="Z302" s="83" t="str">
        <f>HYPERLINK("https://twitter.com/sssivytechfw/status/1420114179822862342")</f>
        <v>https://twitter.com/sssivytechfw/status/1420114179822862342</v>
      </c>
      <c r="AA302" s="79"/>
      <c r="AB302" s="79"/>
      <c r="AC302" s="85" t="s">
        <v>705</v>
      </c>
      <c r="AD302" s="79"/>
      <c r="AE302" s="79" t="b">
        <v>0</v>
      </c>
      <c r="AF302" s="79">
        <v>1</v>
      </c>
      <c r="AG302" s="85" t="s">
        <v>867</v>
      </c>
      <c r="AH302" s="79" t="b">
        <v>0</v>
      </c>
      <c r="AI302" s="79" t="s">
        <v>874</v>
      </c>
      <c r="AJ302" s="79"/>
      <c r="AK302" s="85" t="s">
        <v>867</v>
      </c>
      <c r="AL302" s="79" t="b">
        <v>0</v>
      </c>
      <c r="AM302" s="79">
        <v>0</v>
      </c>
      <c r="AN302" s="85" t="s">
        <v>867</v>
      </c>
      <c r="AO302" s="85" t="s">
        <v>882</v>
      </c>
      <c r="AP302" s="79" t="b">
        <v>0</v>
      </c>
      <c r="AQ302" s="85" t="s">
        <v>705</v>
      </c>
      <c r="AR302" s="79" t="s">
        <v>177</v>
      </c>
      <c r="AS302" s="79">
        <v>0</v>
      </c>
      <c r="AT302" s="79">
        <v>0</v>
      </c>
      <c r="AU302" s="79"/>
      <c r="AV302" s="79"/>
      <c r="AW302" s="79"/>
      <c r="AX302" s="79"/>
      <c r="AY302" s="79"/>
      <c r="AZ302" s="79"/>
      <c r="BA302" s="79"/>
      <c r="BB302" s="79"/>
      <c r="BC302">
        <v>1</v>
      </c>
      <c r="BD302" s="78" t="str">
        <f>REPLACE(INDEX(GroupVertices[Group], MATCH(Edges[[#This Row],[Vertex 1]],GroupVertices[Vertex],0)),1,1,"")</f>
        <v>1</v>
      </c>
      <c r="BE302" s="78" t="str">
        <f>REPLACE(INDEX(GroupVertices[Group], MATCH(Edges[[#This Row],[Vertex 2]],GroupVertices[Vertex],0)),1,1,"")</f>
        <v>1</v>
      </c>
    </row>
    <row r="303" spans="1:57" x14ac:dyDescent="0.25">
      <c r="A303" s="64" t="s">
        <v>286</v>
      </c>
      <c r="B303" s="64" t="s">
        <v>287</v>
      </c>
      <c r="C303" s="65" t="s">
        <v>2101</v>
      </c>
      <c r="D303" s="66">
        <v>3</v>
      </c>
      <c r="E303" s="67"/>
      <c r="F303" s="68">
        <v>40</v>
      </c>
      <c r="G303" s="65"/>
      <c r="H303" s="69"/>
      <c r="I303" s="70"/>
      <c r="J303" s="70"/>
      <c r="K303" s="35" t="s">
        <v>66</v>
      </c>
      <c r="L303" s="77">
        <v>303</v>
      </c>
      <c r="M30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03" s="72"/>
      <c r="O303" s="79" t="s">
        <v>340</v>
      </c>
      <c r="P303" s="81">
        <v>44404.995416666665</v>
      </c>
      <c r="Q303" s="79" t="s">
        <v>380</v>
      </c>
      <c r="R303" s="79"/>
      <c r="S303" s="79"/>
      <c r="T303" s="85" t="s">
        <v>461</v>
      </c>
      <c r="U303" s="79"/>
      <c r="V303" s="83" t="str">
        <f>HYPERLINK("https://pbs.twimg.com/profile_images/1277648169476685824/byxD6bs4_normal.jpg")</f>
        <v>https://pbs.twimg.com/profile_images/1277648169476685824/byxD6bs4_normal.jpg</v>
      </c>
      <c r="W303" s="81">
        <v>44404.995416666665</v>
      </c>
      <c r="X303" s="87">
        <v>44404</v>
      </c>
      <c r="Y303" s="85" t="s">
        <v>602</v>
      </c>
      <c r="Z303" s="83" t="str">
        <f>HYPERLINK("https://twitter.com/pisancheznyc/status/1420170486227611648")</f>
        <v>https://twitter.com/pisancheznyc/status/1420170486227611648</v>
      </c>
      <c r="AA303" s="79"/>
      <c r="AB303" s="79"/>
      <c r="AC303" s="85" t="s">
        <v>782</v>
      </c>
      <c r="AD303" s="85" t="s">
        <v>783</v>
      </c>
      <c r="AE303" s="79" t="b">
        <v>0</v>
      </c>
      <c r="AF303" s="79">
        <v>2</v>
      </c>
      <c r="AG303" s="85" t="s">
        <v>871</v>
      </c>
      <c r="AH303" s="79" t="b">
        <v>0</v>
      </c>
      <c r="AI303" s="79" t="s">
        <v>874</v>
      </c>
      <c r="AJ303" s="79"/>
      <c r="AK303" s="85" t="s">
        <v>867</v>
      </c>
      <c r="AL303" s="79" t="b">
        <v>0</v>
      </c>
      <c r="AM303" s="79">
        <v>0</v>
      </c>
      <c r="AN303" s="85" t="s">
        <v>867</v>
      </c>
      <c r="AO303" s="85" t="s">
        <v>882</v>
      </c>
      <c r="AP303" s="79" t="b">
        <v>0</v>
      </c>
      <c r="AQ303" s="85" t="s">
        <v>783</v>
      </c>
      <c r="AR303" s="79" t="s">
        <v>177</v>
      </c>
      <c r="AS303" s="79">
        <v>0</v>
      </c>
      <c r="AT303" s="79">
        <v>0</v>
      </c>
      <c r="AU303" s="79"/>
      <c r="AV303" s="79"/>
      <c r="AW303" s="79"/>
      <c r="AX303" s="79"/>
      <c r="AY303" s="79"/>
      <c r="AZ303" s="79"/>
      <c r="BA303" s="79"/>
      <c r="BB303" s="79"/>
      <c r="BC303">
        <v>1</v>
      </c>
      <c r="BD303" s="78" t="str">
        <f>REPLACE(INDEX(GroupVertices[Group], MATCH(Edges[[#This Row],[Vertex 1]],GroupVertices[Vertex],0)),1,1,"")</f>
        <v>1</v>
      </c>
      <c r="BE303" s="78" t="str">
        <f>REPLACE(INDEX(GroupVertices[Group], MATCH(Edges[[#This Row],[Vertex 2]],GroupVertices[Vertex],0)),1,1,"")</f>
        <v>1</v>
      </c>
    </row>
    <row r="304" spans="1:57" x14ac:dyDescent="0.25">
      <c r="A304" s="64" t="s">
        <v>245</v>
      </c>
      <c r="B304" s="64" t="s">
        <v>287</v>
      </c>
      <c r="C304" s="65" t="s">
        <v>2101</v>
      </c>
      <c r="D304" s="66">
        <v>3</v>
      </c>
      <c r="E304" s="67"/>
      <c r="F304" s="68">
        <v>40</v>
      </c>
      <c r="G304" s="65"/>
      <c r="H304" s="69"/>
      <c r="I304" s="70"/>
      <c r="J304" s="70"/>
      <c r="K304" s="35" t="s">
        <v>65</v>
      </c>
      <c r="L304" s="77">
        <v>304</v>
      </c>
      <c r="M30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04" s="72"/>
      <c r="O304" s="79" t="s">
        <v>337</v>
      </c>
      <c r="P304" s="81">
        <v>44405.008206018516</v>
      </c>
      <c r="Q304" s="79" t="s">
        <v>360</v>
      </c>
      <c r="R304" s="79"/>
      <c r="S304" s="79"/>
      <c r="T304" s="85" t="s">
        <v>474</v>
      </c>
      <c r="U304" s="83" t="str">
        <f>HYPERLINK("https://pbs.twimg.com/media/EQ1_Rq-WsAE6FpH.jpg")</f>
        <v>https://pbs.twimg.com/media/EQ1_Rq-WsAE6FpH.jpg</v>
      </c>
      <c r="V304" s="83" t="str">
        <f>HYPERLINK("https://pbs.twimg.com/media/EQ1_Rq-WsAE6FpH.jpg")</f>
        <v>https://pbs.twimg.com/media/EQ1_Rq-WsAE6FpH.jpg</v>
      </c>
      <c r="W304" s="81">
        <v>44405.008206018516</v>
      </c>
      <c r="X304" s="87">
        <v>44405</v>
      </c>
      <c r="Y304" s="85" t="s">
        <v>540</v>
      </c>
      <c r="Z304" s="83" t="str">
        <f>HYPERLINK("https://twitter.com/aaron_cortes/status/1420175121726255107")</f>
        <v>https://twitter.com/aaron_cortes/status/1420175121726255107</v>
      </c>
      <c r="AA304" s="79"/>
      <c r="AB304" s="79"/>
      <c r="AC304" s="85" t="s">
        <v>719</v>
      </c>
      <c r="AD304" s="79"/>
      <c r="AE304" s="79" t="b">
        <v>0</v>
      </c>
      <c r="AF304" s="79">
        <v>0</v>
      </c>
      <c r="AG304" s="85" t="s">
        <v>867</v>
      </c>
      <c r="AH304" s="79" t="b">
        <v>0</v>
      </c>
      <c r="AI304" s="79" t="s">
        <v>874</v>
      </c>
      <c r="AJ304" s="79"/>
      <c r="AK304" s="85" t="s">
        <v>867</v>
      </c>
      <c r="AL304" s="79" t="b">
        <v>0</v>
      </c>
      <c r="AM304" s="79">
        <v>7</v>
      </c>
      <c r="AN304" s="85" t="s">
        <v>718</v>
      </c>
      <c r="AO304" s="85" t="s">
        <v>883</v>
      </c>
      <c r="AP304" s="79" t="b">
        <v>0</v>
      </c>
      <c r="AQ304" s="85" t="s">
        <v>718</v>
      </c>
      <c r="AR304" s="79" t="s">
        <v>177</v>
      </c>
      <c r="AS304" s="79">
        <v>0</v>
      </c>
      <c r="AT304" s="79">
        <v>0</v>
      </c>
      <c r="AU304" s="79"/>
      <c r="AV304" s="79"/>
      <c r="AW304" s="79"/>
      <c r="AX304" s="79"/>
      <c r="AY304" s="79"/>
      <c r="AZ304" s="79"/>
      <c r="BA304" s="79"/>
      <c r="BB304" s="79"/>
      <c r="BC304">
        <v>1</v>
      </c>
      <c r="BD304" s="78" t="str">
        <f>REPLACE(INDEX(GroupVertices[Group], MATCH(Edges[[#This Row],[Vertex 1]],GroupVertices[Vertex],0)),1,1,"")</f>
        <v>4</v>
      </c>
      <c r="BE304" s="78" t="str">
        <f>REPLACE(INDEX(GroupVertices[Group], MATCH(Edges[[#This Row],[Vertex 2]],GroupVertices[Vertex],0)),1,1,"")</f>
        <v>1</v>
      </c>
    </row>
    <row r="305" spans="1:57" x14ac:dyDescent="0.25">
      <c r="A305" s="64" t="s">
        <v>262</v>
      </c>
      <c r="B305" s="64" t="s">
        <v>287</v>
      </c>
      <c r="C305" s="65" t="s">
        <v>2101</v>
      </c>
      <c r="D305" s="66">
        <v>3</v>
      </c>
      <c r="E305" s="67"/>
      <c r="F305" s="68">
        <v>40</v>
      </c>
      <c r="G305" s="65"/>
      <c r="H305" s="69"/>
      <c r="I305" s="70"/>
      <c r="J305" s="70"/>
      <c r="K305" s="35" t="s">
        <v>65</v>
      </c>
      <c r="L305" s="77">
        <v>305</v>
      </c>
      <c r="M30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05" s="72"/>
      <c r="O305" s="79" t="s">
        <v>338</v>
      </c>
      <c r="P305" s="81">
        <v>44406.182662037034</v>
      </c>
      <c r="Q305" s="79" t="s">
        <v>365</v>
      </c>
      <c r="R305" s="79"/>
      <c r="S305" s="79"/>
      <c r="T305" s="85" t="s">
        <v>461</v>
      </c>
      <c r="U305" s="83" t="str">
        <f t="shared" ref="U305:V307" si="10">HYPERLINK("https://pbs.twimg.com/ext_tw_video_thumb/1420560954690088965/pu/img/mw30pB3lQf5fmFQ8.jpg")</f>
        <v>https://pbs.twimg.com/ext_tw_video_thumb/1420560954690088965/pu/img/mw30pB3lQf5fmFQ8.jpg</v>
      </c>
      <c r="V305" s="83" t="str">
        <f t="shared" si="10"/>
        <v>https://pbs.twimg.com/ext_tw_video_thumb/1420560954690088965/pu/img/mw30pB3lQf5fmFQ8.jpg</v>
      </c>
      <c r="W305" s="81">
        <v>44406.182662037034</v>
      </c>
      <c r="X305" s="87">
        <v>44406</v>
      </c>
      <c r="Y305" s="85" t="s">
        <v>560</v>
      </c>
      <c r="Z305" s="83" t="str">
        <f>HYPERLINK("https://twitter.com/jkkahlden/status/1420600732139524097")</f>
        <v>https://twitter.com/jkkahlden/status/1420600732139524097</v>
      </c>
      <c r="AA305" s="79"/>
      <c r="AB305" s="79"/>
      <c r="AC305" s="85" t="s">
        <v>739</v>
      </c>
      <c r="AD305" s="79"/>
      <c r="AE305" s="79" t="b">
        <v>0</v>
      </c>
      <c r="AF305" s="79">
        <v>0</v>
      </c>
      <c r="AG305" s="85" t="s">
        <v>867</v>
      </c>
      <c r="AH305" s="79" t="b">
        <v>0</v>
      </c>
      <c r="AI305" s="79" t="s">
        <v>874</v>
      </c>
      <c r="AJ305" s="79"/>
      <c r="AK305" s="85" t="s">
        <v>867</v>
      </c>
      <c r="AL305" s="79" t="b">
        <v>0</v>
      </c>
      <c r="AM305" s="79">
        <v>8</v>
      </c>
      <c r="AN305" s="85" t="s">
        <v>784</v>
      </c>
      <c r="AO305" s="85" t="s">
        <v>883</v>
      </c>
      <c r="AP305" s="79" t="b">
        <v>0</v>
      </c>
      <c r="AQ305" s="85" t="s">
        <v>784</v>
      </c>
      <c r="AR305" s="79" t="s">
        <v>177</v>
      </c>
      <c r="AS305" s="79">
        <v>0</v>
      </c>
      <c r="AT305" s="79">
        <v>0</v>
      </c>
      <c r="AU305" s="79"/>
      <c r="AV305" s="79"/>
      <c r="AW305" s="79"/>
      <c r="AX305" s="79"/>
      <c r="AY305" s="79"/>
      <c r="AZ305" s="79"/>
      <c r="BA305" s="79"/>
      <c r="BB305" s="79"/>
      <c r="BC305">
        <v>1</v>
      </c>
      <c r="BD305" s="78" t="str">
        <f>REPLACE(INDEX(GroupVertices[Group], MATCH(Edges[[#This Row],[Vertex 1]],GroupVertices[Vertex],0)),1,1,"")</f>
        <v>1</v>
      </c>
      <c r="BE305" s="78" t="str">
        <f>REPLACE(INDEX(GroupVertices[Group], MATCH(Edges[[#This Row],[Vertex 2]],GroupVertices[Vertex],0)),1,1,"")</f>
        <v>1</v>
      </c>
    </row>
    <row r="306" spans="1:57" x14ac:dyDescent="0.25">
      <c r="A306" s="64" t="s">
        <v>263</v>
      </c>
      <c r="B306" s="64" t="s">
        <v>287</v>
      </c>
      <c r="C306" s="65" t="s">
        <v>2101</v>
      </c>
      <c r="D306" s="66">
        <v>3</v>
      </c>
      <c r="E306" s="67"/>
      <c r="F306" s="68">
        <v>40</v>
      </c>
      <c r="G306" s="65"/>
      <c r="H306" s="69"/>
      <c r="I306" s="70"/>
      <c r="J306" s="70"/>
      <c r="K306" s="35" t="s">
        <v>65</v>
      </c>
      <c r="L306" s="77">
        <v>306</v>
      </c>
      <c r="M30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06" s="72"/>
      <c r="O306" s="79" t="s">
        <v>338</v>
      </c>
      <c r="P306" s="81">
        <v>44406.183032407411</v>
      </c>
      <c r="Q306" s="79" t="s">
        <v>365</v>
      </c>
      <c r="R306" s="79"/>
      <c r="S306" s="79"/>
      <c r="T306" s="85" t="s">
        <v>461</v>
      </c>
      <c r="U306" s="83" t="str">
        <f t="shared" si="10"/>
        <v>https://pbs.twimg.com/ext_tw_video_thumb/1420560954690088965/pu/img/mw30pB3lQf5fmFQ8.jpg</v>
      </c>
      <c r="V306" s="83" t="str">
        <f t="shared" si="10"/>
        <v>https://pbs.twimg.com/ext_tw_video_thumb/1420560954690088965/pu/img/mw30pB3lQf5fmFQ8.jpg</v>
      </c>
      <c r="W306" s="81">
        <v>44406.183032407411</v>
      </c>
      <c r="X306" s="87">
        <v>44406</v>
      </c>
      <c r="Y306" s="85" t="s">
        <v>561</v>
      </c>
      <c r="Z306" s="83" t="str">
        <f>HYPERLINK("https://twitter.com/cory_lemay/status/1420600866482974721")</f>
        <v>https://twitter.com/cory_lemay/status/1420600866482974721</v>
      </c>
      <c r="AA306" s="79"/>
      <c r="AB306" s="79"/>
      <c r="AC306" s="85" t="s">
        <v>740</v>
      </c>
      <c r="AD306" s="79"/>
      <c r="AE306" s="79" t="b">
        <v>0</v>
      </c>
      <c r="AF306" s="79">
        <v>0</v>
      </c>
      <c r="AG306" s="85" t="s">
        <v>867</v>
      </c>
      <c r="AH306" s="79" t="b">
        <v>0</v>
      </c>
      <c r="AI306" s="79" t="s">
        <v>874</v>
      </c>
      <c r="AJ306" s="79"/>
      <c r="AK306" s="85" t="s">
        <v>867</v>
      </c>
      <c r="AL306" s="79" t="b">
        <v>0</v>
      </c>
      <c r="AM306" s="79">
        <v>8</v>
      </c>
      <c r="AN306" s="85" t="s">
        <v>784</v>
      </c>
      <c r="AO306" s="85" t="s">
        <v>882</v>
      </c>
      <c r="AP306" s="79" t="b">
        <v>0</v>
      </c>
      <c r="AQ306" s="85" t="s">
        <v>784</v>
      </c>
      <c r="AR306" s="79" t="s">
        <v>177</v>
      </c>
      <c r="AS306" s="79">
        <v>0</v>
      </c>
      <c r="AT306" s="79">
        <v>0</v>
      </c>
      <c r="AU306" s="79"/>
      <c r="AV306" s="79"/>
      <c r="AW306" s="79"/>
      <c r="AX306" s="79"/>
      <c r="AY306" s="79"/>
      <c r="AZ306" s="79"/>
      <c r="BA306" s="79"/>
      <c r="BB306" s="79"/>
      <c r="BC306">
        <v>1</v>
      </c>
      <c r="BD306" s="78" t="str">
        <f>REPLACE(INDEX(GroupVertices[Group], MATCH(Edges[[#This Row],[Vertex 1]],GroupVertices[Vertex],0)),1,1,"")</f>
        <v>1</v>
      </c>
      <c r="BE306" s="78" t="str">
        <f>REPLACE(INDEX(GroupVertices[Group], MATCH(Edges[[#This Row],[Vertex 2]],GroupVertices[Vertex],0)),1,1,"")</f>
        <v>1</v>
      </c>
    </row>
    <row r="307" spans="1:57" x14ac:dyDescent="0.25">
      <c r="A307" s="64" t="s">
        <v>264</v>
      </c>
      <c r="B307" s="64" t="s">
        <v>287</v>
      </c>
      <c r="C307" s="65" t="s">
        <v>2101</v>
      </c>
      <c r="D307" s="66">
        <v>3</v>
      </c>
      <c r="E307" s="67"/>
      <c r="F307" s="68">
        <v>40</v>
      </c>
      <c r="G307" s="65"/>
      <c r="H307" s="69"/>
      <c r="I307" s="70"/>
      <c r="J307" s="70"/>
      <c r="K307" s="35" t="s">
        <v>65</v>
      </c>
      <c r="L307" s="77">
        <v>307</v>
      </c>
      <c r="M30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07" s="72"/>
      <c r="O307" s="79" t="s">
        <v>338</v>
      </c>
      <c r="P307" s="81">
        <v>44406.594548611109</v>
      </c>
      <c r="Q307" s="79" t="s">
        <v>365</v>
      </c>
      <c r="R307" s="79"/>
      <c r="S307" s="79"/>
      <c r="T307" s="85" t="s">
        <v>461</v>
      </c>
      <c r="U307" s="83" t="str">
        <f t="shared" si="10"/>
        <v>https://pbs.twimg.com/ext_tw_video_thumb/1420560954690088965/pu/img/mw30pB3lQf5fmFQ8.jpg</v>
      </c>
      <c r="V307" s="83" t="str">
        <f t="shared" si="10"/>
        <v>https://pbs.twimg.com/ext_tw_video_thumb/1420560954690088965/pu/img/mw30pB3lQf5fmFQ8.jpg</v>
      </c>
      <c r="W307" s="81">
        <v>44406.594548611109</v>
      </c>
      <c r="X307" s="87">
        <v>44406</v>
      </c>
      <c r="Y307" s="85" t="s">
        <v>562</v>
      </c>
      <c r="Z307" s="83" t="str">
        <f>HYPERLINK("https://twitter.com/upward_boundesu/status/1420749992285724675")</f>
        <v>https://twitter.com/upward_boundesu/status/1420749992285724675</v>
      </c>
      <c r="AA307" s="79"/>
      <c r="AB307" s="79"/>
      <c r="AC307" s="85" t="s">
        <v>741</v>
      </c>
      <c r="AD307" s="79"/>
      <c r="AE307" s="79" t="b">
        <v>0</v>
      </c>
      <c r="AF307" s="79">
        <v>0</v>
      </c>
      <c r="AG307" s="85" t="s">
        <v>867</v>
      </c>
      <c r="AH307" s="79" t="b">
        <v>0</v>
      </c>
      <c r="AI307" s="79" t="s">
        <v>874</v>
      </c>
      <c r="AJ307" s="79"/>
      <c r="AK307" s="85" t="s">
        <v>867</v>
      </c>
      <c r="AL307" s="79" t="b">
        <v>0</v>
      </c>
      <c r="AM307" s="79">
        <v>8</v>
      </c>
      <c r="AN307" s="85" t="s">
        <v>784</v>
      </c>
      <c r="AO307" s="85" t="s">
        <v>882</v>
      </c>
      <c r="AP307" s="79" t="b">
        <v>0</v>
      </c>
      <c r="AQ307" s="85" t="s">
        <v>784</v>
      </c>
      <c r="AR307" s="79" t="s">
        <v>177</v>
      </c>
      <c r="AS307" s="79">
        <v>0</v>
      </c>
      <c r="AT307" s="79">
        <v>0</v>
      </c>
      <c r="AU307" s="79"/>
      <c r="AV307" s="79"/>
      <c r="AW307" s="79"/>
      <c r="AX307" s="79"/>
      <c r="AY307" s="79"/>
      <c r="AZ307" s="79"/>
      <c r="BA307" s="79"/>
      <c r="BB307" s="79"/>
      <c r="BC307">
        <v>1</v>
      </c>
      <c r="BD307" s="78" t="str">
        <f>REPLACE(INDEX(GroupVertices[Group], MATCH(Edges[[#This Row],[Vertex 1]],GroupVertices[Vertex],0)),1,1,"")</f>
        <v>1</v>
      </c>
      <c r="BE307" s="78" t="str">
        <f>REPLACE(INDEX(GroupVertices[Group], MATCH(Edges[[#This Row],[Vertex 2]],GroupVertices[Vertex],0)),1,1,"")</f>
        <v>1</v>
      </c>
    </row>
    <row r="308" spans="1:57" x14ac:dyDescent="0.25">
      <c r="A308" s="64" t="s">
        <v>265</v>
      </c>
      <c r="B308" s="64" t="s">
        <v>287</v>
      </c>
      <c r="C308" s="65" t="s">
        <v>2101</v>
      </c>
      <c r="D308" s="66">
        <v>3</v>
      </c>
      <c r="E308" s="67"/>
      <c r="F308" s="68">
        <v>40</v>
      </c>
      <c r="G308" s="65"/>
      <c r="H308" s="69"/>
      <c r="I308" s="70"/>
      <c r="J308" s="70"/>
      <c r="K308" s="35" t="s">
        <v>65</v>
      </c>
      <c r="L308" s="77">
        <v>308</v>
      </c>
      <c r="M30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08" s="72"/>
      <c r="O308" s="79" t="s">
        <v>337</v>
      </c>
      <c r="P308" s="81">
        <v>44406.629988425928</v>
      </c>
      <c r="Q308" s="79" t="s">
        <v>367</v>
      </c>
      <c r="R308" s="83" t="str">
        <f>HYPERLINK("https://www.youtube.com/shorts/qku6RAs0B3k?feature=share")</f>
        <v>https://www.youtube.com/shorts/qku6RAs0B3k?feature=share</v>
      </c>
      <c r="S308" s="79" t="s">
        <v>450</v>
      </c>
      <c r="T308" s="85" t="s">
        <v>478</v>
      </c>
      <c r="U308" s="83" t="str">
        <f>HYPERLINK("https://pbs.twimg.com/media/E7T3xyJWQAYfYP3.jpg")</f>
        <v>https://pbs.twimg.com/media/E7T3xyJWQAYfYP3.jpg</v>
      </c>
      <c r="V308" s="83" t="str">
        <f>HYPERLINK("https://pbs.twimg.com/media/E7T3xyJWQAYfYP3.jpg")</f>
        <v>https://pbs.twimg.com/media/E7T3xyJWQAYfYP3.jpg</v>
      </c>
      <c r="W308" s="81">
        <v>44406.629988425928</v>
      </c>
      <c r="X308" s="87">
        <v>44406</v>
      </c>
      <c r="Y308" s="85" t="s">
        <v>564</v>
      </c>
      <c r="Z308" s="83" t="str">
        <f>HYPERLINK("https://twitter.com/tabuwinslow/status/1420762838113587200")</f>
        <v>https://twitter.com/tabuwinslow/status/1420762838113587200</v>
      </c>
      <c r="AA308" s="79"/>
      <c r="AB308" s="79"/>
      <c r="AC308" s="85" t="s">
        <v>743</v>
      </c>
      <c r="AD308" s="79"/>
      <c r="AE308" s="79" t="b">
        <v>0</v>
      </c>
      <c r="AF308" s="79">
        <v>0</v>
      </c>
      <c r="AG308" s="85" t="s">
        <v>867</v>
      </c>
      <c r="AH308" s="79" t="b">
        <v>0</v>
      </c>
      <c r="AI308" s="79" t="s">
        <v>874</v>
      </c>
      <c r="AJ308" s="79"/>
      <c r="AK308" s="85" t="s">
        <v>867</v>
      </c>
      <c r="AL308" s="79" t="b">
        <v>0</v>
      </c>
      <c r="AM308" s="79">
        <v>3</v>
      </c>
      <c r="AN308" s="85" t="s">
        <v>789</v>
      </c>
      <c r="AO308" s="85" t="s">
        <v>887</v>
      </c>
      <c r="AP308" s="79" t="b">
        <v>0</v>
      </c>
      <c r="AQ308" s="85" t="s">
        <v>789</v>
      </c>
      <c r="AR308" s="79" t="s">
        <v>177</v>
      </c>
      <c r="AS308" s="79">
        <v>0</v>
      </c>
      <c r="AT308" s="79">
        <v>0</v>
      </c>
      <c r="AU308" s="79"/>
      <c r="AV308" s="79"/>
      <c r="AW308" s="79"/>
      <c r="AX308" s="79"/>
      <c r="AY308" s="79"/>
      <c r="AZ308" s="79"/>
      <c r="BA308" s="79"/>
      <c r="BB308" s="79"/>
      <c r="BC308">
        <v>1</v>
      </c>
      <c r="BD308" s="78" t="str">
        <f>REPLACE(INDEX(GroupVertices[Group], MATCH(Edges[[#This Row],[Vertex 1]],GroupVertices[Vertex],0)),1,1,"")</f>
        <v>3</v>
      </c>
      <c r="BE308" s="78" t="str">
        <f>REPLACE(INDEX(GroupVertices[Group], MATCH(Edges[[#This Row],[Vertex 2]],GroupVertices[Vertex],0)),1,1,"")</f>
        <v>1</v>
      </c>
    </row>
    <row r="309" spans="1:57" x14ac:dyDescent="0.25">
      <c r="A309" s="64" t="s">
        <v>266</v>
      </c>
      <c r="B309" s="64" t="s">
        <v>287</v>
      </c>
      <c r="C309" s="65" t="s">
        <v>2101</v>
      </c>
      <c r="D309" s="66">
        <v>3</v>
      </c>
      <c r="E309" s="67"/>
      <c r="F309" s="68">
        <v>40</v>
      </c>
      <c r="G309" s="65"/>
      <c r="H309" s="69"/>
      <c r="I309" s="70"/>
      <c r="J309" s="70"/>
      <c r="K309" s="35" t="s">
        <v>65</v>
      </c>
      <c r="L309" s="77">
        <v>309</v>
      </c>
      <c r="M30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09" s="72"/>
      <c r="O309" s="79" t="s">
        <v>337</v>
      </c>
      <c r="P309" s="81">
        <v>44406.631354166668</v>
      </c>
      <c r="Q309" s="79" t="s">
        <v>367</v>
      </c>
      <c r="R309" s="83" t="str">
        <f>HYPERLINK("https://www.youtube.com/shorts/qku6RAs0B3k?feature=share")</f>
        <v>https://www.youtube.com/shorts/qku6RAs0B3k?feature=share</v>
      </c>
      <c r="S309" s="79" t="s">
        <v>450</v>
      </c>
      <c r="T309" s="85" t="s">
        <v>478</v>
      </c>
      <c r="U309" s="83" t="str">
        <f>HYPERLINK("https://pbs.twimg.com/media/E7T3xyJWQAYfYP3.jpg")</f>
        <v>https://pbs.twimg.com/media/E7T3xyJWQAYfYP3.jpg</v>
      </c>
      <c r="V309" s="83" t="str">
        <f>HYPERLINK("https://pbs.twimg.com/media/E7T3xyJWQAYfYP3.jpg")</f>
        <v>https://pbs.twimg.com/media/E7T3xyJWQAYfYP3.jpg</v>
      </c>
      <c r="W309" s="81">
        <v>44406.631354166668</v>
      </c>
      <c r="X309" s="87">
        <v>44406</v>
      </c>
      <c r="Y309" s="85" t="s">
        <v>569</v>
      </c>
      <c r="Z309" s="83" t="str">
        <f>HYPERLINK("https://twitter.com/letsplayballan1/status/1420763333368688643")</f>
        <v>https://twitter.com/letsplayballan1/status/1420763333368688643</v>
      </c>
      <c r="AA309" s="79"/>
      <c r="AB309" s="79"/>
      <c r="AC309" s="85" t="s">
        <v>748</v>
      </c>
      <c r="AD309" s="79"/>
      <c r="AE309" s="79" t="b">
        <v>0</v>
      </c>
      <c r="AF309" s="79">
        <v>0</v>
      </c>
      <c r="AG309" s="85" t="s">
        <v>867</v>
      </c>
      <c r="AH309" s="79" t="b">
        <v>0</v>
      </c>
      <c r="AI309" s="79" t="s">
        <v>874</v>
      </c>
      <c r="AJ309" s="79"/>
      <c r="AK309" s="85" t="s">
        <v>867</v>
      </c>
      <c r="AL309" s="79" t="b">
        <v>0</v>
      </c>
      <c r="AM309" s="79">
        <v>3</v>
      </c>
      <c r="AN309" s="85" t="s">
        <v>789</v>
      </c>
      <c r="AO309" s="85" t="s">
        <v>887</v>
      </c>
      <c r="AP309" s="79" t="b">
        <v>0</v>
      </c>
      <c r="AQ309" s="85" t="s">
        <v>789</v>
      </c>
      <c r="AR309" s="79" t="s">
        <v>177</v>
      </c>
      <c r="AS309" s="79">
        <v>0</v>
      </c>
      <c r="AT309" s="79">
        <v>0</v>
      </c>
      <c r="AU309" s="79"/>
      <c r="AV309" s="79"/>
      <c r="AW309" s="79"/>
      <c r="AX309" s="79"/>
      <c r="AY309" s="79"/>
      <c r="AZ309" s="79"/>
      <c r="BA309" s="79"/>
      <c r="BB309" s="79"/>
      <c r="BC309">
        <v>1</v>
      </c>
      <c r="BD309" s="78" t="str">
        <f>REPLACE(INDEX(GroupVertices[Group], MATCH(Edges[[#This Row],[Vertex 1]],GroupVertices[Vertex],0)),1,1,"")</f>
        <v>3</v>
      </c>
      <c r="BE309" s="78" t="str">
        <f>REPLACE(INDEX(GroupVertices[Group], MATCH(Edges[[#This Row],[Vertex 2]],GroupVertices[Vertex],0)),1,1,"")</f>
        <v>1</v>
      </c>
    </row>
    <row r="310" spans="1:57" x14ac:dyDescent="0.25">
      <c r="A310" s="64" t="s">
        <v>288</v>
      </c>
      <c r="B310" s="64" t="s">
        <v>287</v>
      </c>
      <c r="C310" s="65" t="s">
        <v>2101</v>
      </c>
      <c r="D310" s="66">
        <v>3</v>
      </c>
      <c r="E310" s="67"/>
      <c r="F310" s="68">
        <v>40</v>
      </c>
      <c r="G310" s="65"/>
      <c r="H310" s="69"/>
      <c r="I310" s="70"/>
      <c r="J310" s="70"/>
      <c r="K310" s="35" t="s">
        <v>66</v>
      </c>
      <c r="L310" s="77">
        <v>310</v>
      </c>
      <c r="M31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10" s="72"/>
      <c r="O310" s="79" t="s">
        <v>339</v>
      </c>
      <c r="P310" s="81">
        <v>44406.811898148146</v>
      </c>
      <c r="Q310" s="79" t="s">
        <v>384</v>
      </c>
      <c r="R310" s="83" t="str">
        <f>HYPERLINK("https://twitter.com/SSSIvyTechFW/status/1420826156031414278")</f>
        <v>https://twitter.com/SSSIvyTechFW/status/1420826156031414278</v>
      </c>
      <c r="S310" s="79" t="s">
        <v>449</v>
      </c>
      <c r="T310" s="85" t="s">
        <v>461</v>
      </c>
      <c r="U310" s="79"/>
      <c r="V310" s="83" t="str">
        <f>HYPERLINK("https://pbs.twimg.com/profile_images/519942229318594561/V929JwX6_normal.jpeg")</f>
        <v>https://pbs.twimg.com/profile_images/519942229318594561/V929JwX6_normal.jpeg</v>
      </c>
      <c r="W310" s="81">
        <v>44406.811898148146</v>
      </c>
      <c r="X310" s="87">
        <v>44406</v>
      </c>
      <c r="Y310" s="85" t="s">
        <v>607</v>
      </c>
      <c r="Z310" s="83" t="str">
        <f>HYPERLINK("https://twitter.com/indianatrio/status/1420828757791805440")</f>
        <v>https://twitter.com/indianatrio/status/1420828757791805440</v>
      </c>
      <c r="AA310" s="79"/>
      <c r="AB310" s="79"/>
      <c r="AC310" s="85" t="s">
        <v>787</v>
      </c>
      <c r="AD310" s="79"/>
      <c r="AE310" s="79" t="b">
        <v>0</v>
      </c>
      <c r="AF310" s="79">
        <v>0</v>
      </c>
      <c r="AG310" s="85" t="s">
        <v>867</v>
      </c>
      <c r="AH310" s="79" t="b">
        <v>1</v>
      </c>
      <c r="AI310" s="79" t="s">
        <v>874</v>
      </c>
      <c r="AJ310" s="79"/>
      <c r="AK310" s="85" t="s">
        <v>881</v>
      </c>
      <c r="AL310" s="79" t="b">
        <v>0</v>
      </c>
      <c r="AM310" s="79">
        <v>1</v>
      </c>
      <c r="AN310" s="85" t="s">
        <v>867</v>
      </c>
      <c r="AO310" s="85" t="s">
        <v>882</v>
      </c>
      <c r="AP310" s="79" t="b">
        <v>0</v>
      </c>
      <c r="AQ310" s="85" t="s">
        <v>787</v>
      </c>
      <c r="AR310" s="79" t="s">
        <v>177</v>
      </c>
      <c r="AS310" s="79">
        <v>0</v>
      </c>
      <c r="AT310" s="79">
        <v>0</v>
      </c>
      <c r="AU310" s="79"/>
      <c r="AV310" s="79"/>
      <c r="AW310" s="79"/>
      <c r="AX310" s="79"/>
      <c r="AY310" s="79"/>
      <c r="AZ310" s="79"/>
      <c r="BA310" s="79"/>
      <c r="BB310" s="79"/>
      <c r="BC310">
        <v>1</v>
      </c>
      <c r="BD310" s="78" t="str">
        <f>REPLACE(INDEX(GroupVertices[Group], MATCH(Edges[[#This Row],[Vertex 1]],GroupVertices[Vertex],0)),1,1,"")</f>
        <v>1</v>
      </c>
      <c r="BE310" s="78" t="str">
        <f>REPLACE(INDEX(GroupVertices[Group], MATCH(Edges[[#This Row],[Vertex 2]],GroupVertices[Vertex],0)),1,1,"")</f>
        <v>1</v>
      </c>
    </row>
    <row r="311" spans="1:57" x14ac:dyDescent="0.25">
      <c r="A311" s="64" t="s">
        <v>298</v>
      </c>
      <c r="B311" s="64" t="s">
        <v>287</v>
      </c>
      <c r="C311" s="65" t="s">
        <v>2101</v>
      </c>
      <c r="D311" s="66">
        <v>3</v>
      </c>
      <c r="E311" s="67"/>
      <c r="F311" s="68">
        <v>40</v>
      </c>
      <c r="G311" s="65"/>
      <c r="H311" s="69"/>
      <c r="I311" s="70"/>
      <c r="J311" s="70"/>
      <c r="K311" s="35" t="s">
        <v>66</v>
      </c>
      <c r="L311" s="77">
        <v>311</v>
      </c>
      <c r="M31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11" s="72"/>
      <c r="O311" s="79" t="s">
        <v>339</v>
      </c>
      <c r="P311" s="81">
        <v>44406.929166666669</v>
      </c>
      <c r="Q311" s="79" t="s">
        <v>373</v>
      </c>
      <c r="R311" s="79"/>
      <c r="S311" s="79"/>
      <c r="T311" s="85" t="s">
        <v>461</v>
      </c>
      <c r="U311" s="83" t="str">
        <f t="shared" ref="U311:V316" si="11">HYPERLINK("https://pbs.twimg.com/media/E7fhzF6XsAAoddH.jpg")</f>
        <v>https://pbs.twimg.com/media/E7fhzF6XsAAoddH.jpg</v>
      </c>
      <c r="V311" s="83" t="str">
        <f t="shared" si="11"/>
        <v>https://pbs.twimg.com/media/E7fhzF6XsAAoddH.jpg</v>
      </c>
      <c r="W311" s="81">
        <v>44406.929166666669</v>
      </c>
      <c r="X311" s="87">
        <v>44406</v>
      </c>
      <c r="Y311" s="85" t="s">
        <v>671</v>
      </c>
      <c r="Z311" s="83" t="str">
        <f>HYPERLINK("https://twitter.com/seccardona/status/1420871254492565510")</f>
        <v>https://twitter.com/seccardona/status/1420871254492565510</v>
      </c>
      <c r="AA311" s="79"/>
      <c r="AB311" s="79"/>
      <c r="AC311" s="85" t="s">
        <v>851</v>
      </c>
      <c r="AD311" s="79"/>
      <c r="AE311" s="79" t="b">
        <v>0</v>
      </c>
      <c r="AF311" s="79">
        <v>60</v>
      </c>
      <c r="AG311" s="85" t="s">
        <v>867</v>
      </c>
      <c r="AH311" s="79" t="b">
        <v>0</v>
      </c>
      <c r="AI311" s="79" t="s">
        <v>874</v>
      </c>
      <c r="AJ311" s="79"/>
      <c r="AK311" s="85" t="s">
        <v>867</v>
      </c>
      <c r="AL311" s="79" t="b">
        <v>0</v>
      </c>
      <c r="AM311" s="79">
        <v>14</v>
      </c>
      <c r="AN311" s="85" t="s">
        <v>867</v>
      </c>
      <c r="AO311" s="85" t="s">
        <v>882</v>
      </c>
      <c r="AP311" s="79" t="b">
        <v>0</v>
      </c>
      <c r="AQ311" s="85" t="s">
        <v>851</v>
      </c>
      <c r="AR311" s="79" t="s">
        <v>177</v>
      </c>
      <c r="AS311" s="79">
        <v>0</v>
      </c>
      <c r="AT311" s="79">
        <v>0</v>
      </c>
      <c r="AU311" s="79"/>
      <c r="AV311" s="79"/>
      <c r="AW311" s="79"/>
      <c r="AX311" s="79"/>
      <c r="AY311" s="79"/>
      <c r="AZ311" s="79"/>
      <c r="BA311" s="79"/>
      <c r="BB311" s="79"/>
      <c r="BC311">
        <v>1</v>
      </c>
      <c r="BD311" s="78" t="str">
        <f>REPLACE(INDEX(GroupVertices[Group], MATCH(Edges[[#This Row],[Vertex 1]],GroupVertices[Vertex],0)),1,1,"")</f>
        <v>1</v>
      </c>
      <c r="BE311" s="78" t="str">
        <f>REPLACE(INDEX(GroupVertices[Group], MATCH(Edges[[#This Row],[Vertex 2]],GroupVertices[Vertex],0)),1,1,"")</f>
        <v>1</v>
      </c>
    </row>
    <row r="312" spans="1:57" x14ac:dyDescent="0.25">
      <c r="A312" s="64" t="s">
        <v>269</v>
      </c>
      <c r="B312" s="64" t="s">
        <v>287</v>
      </c>
      <c r="C312" s="65" t="s">
        <v>2101</v>
      </c>
      <c r="D312" s="66">
        <v>3</v>
      </c>
      <c r="E312" s="67"/>
      <c r="F312" s="68">
        <v>40</v>
      </c>
      <c r="G312" s="65"/>
      <c r="H312" s="69"/>
      <c r="I312" s="70"/>
      <c r="J312" s="70"/>
      <c r="K312" s="35" t="s">
        <v>65</v>
      </c>
      <c r="L312" s="77">
        <v>312</v>
      </c>
      <c r="M31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12" s="72"/>
      <c r="O312" s="79" t="s">
        <v>337</v>
      </c>
      <c r="P312" s="81">
        <v>44406.929270833331</v>
      </c>
      <c r="Q312" s="79" t="s">
        <v>373</v>
      </c>
      <c r="R312" s="79"/>
      <c r="S312" s="79"/>
      <c r="T312" s="85" t="s">
        <v>461</v>
      </c>
      <c r="U312" s="83" t="str">
        <f t="shared" si="11"/>
        <v>https://pbs.twimg.com/media/E7fhzF6XsAAoddH.jpg</v>
      </c>
      <c r="V312" s="83" t="str">
        <f t="shared" si="11"/>
        <v>https://pbs.twimg.com/media/E7fhzF6XsAAoddH.jpg</v>
      </c>
      <c r="W312" s="81">
        <v>44406.929270833331</v>
      </c>
      <c r="X312" s="87">
        <v>44406</v>
      </c>
      <c r="Y312" s="85" t="s">
        <v>580</v>
      </c>
      <c r="Z312" s="83" t="str">
        <f>HYPERLINK("https://twitter.com/barneskhalid321/status/1420871295147913224")</f>
        <v>https://twitter.com/barneskhalid321/status/1420871295147913224</v>
      </c>
      <c r="AA312" s="79"/>
      <c r="AB312" s="79"/>
      <c r="AC312" s="85" t="s">
        <v>759</v>
      </c>
      <c r="AD312" s="79"/>
      <c r="AE312" s="79" t="b">
        <v>0</v>
      </c>
      <c r="AF312" s="79">
        <v>0</v>
      </c>
      <c r="AG312" s="85" t="s">
        <v>867</v>
      </c>
      <c r="AH312" s="79" t="b">
        <v>0</v>
      </c>
      <c r="AI312" s="79" t="s">
        <v>874</v>
      </c>
      <c r="AJ312" s="79"/>
      <c r="AK312" s="85" t="s">
        <v>867</v>
      </c>
      <c r="AL312" s="79" t="b">
        <v>0</v>
      </c>
      <c r="AM312" s="79">
        <v>14</v>
      </c>
      <c r="AN312" s="85" t="s">
        <v>851</v>
      </c>
      <c r="AO312" s="85" t="s">
        <v>887</v>
      </c>
      <c r="AP312" s="79" t="b">
        <v>0</v>
      </c>
      <c r="AQ312" s="85" t="s">
        <v>851</v>
      </c>
      <c r="AR312" s="79" t="s">
        <v>177</v>
      </c>
      <c r="AS312" s="79">
        <v>0</v>
      </c>
      <c r="AT312" s="79">
        <v>0</v>
      </c>
      <c r="AU312" s="79"/>
      <c r="AV312" s="79"/>
      <c r="AW312" s="79"/>
      <c r="AX312" s="79"/>
      <c r="AY312" s="79"/>
      <c r="AZ312" s="79"/>
      <c r="BA312" s="79"/>
      <c r="BB312" s="79"/>
      <c r="BC312">
        <v>1</v>
      </c>
      <c r="BD312" s="78" t="str">
        <f>REPLACE(INDEX(GroupVertices[Group], MATCH(Edges[[#This Row],[Vertex 1]],GroupVertices[Vertex],0)),1,1,"")</f>
        <v>1</v>
      </c>
      <c r="BE312" s="78" t="str">
        <f>REPLACE(INDEX(GroupVertices[Group], MATCH(Edges[[#This Row],[Vertex 2]],GroupVertices[Vertex],0)),1,1,"")</f>
        <v>1</v>
      </c>
    </row>
    <row r="313" spans="1:57" x14ac:dyDescent="0.25">
      <c r="A313" s="64" t="s">
        <v>270</v>
      </c>
      <c r="B313" s="64" t="s">
        <v>287</v>
      </c>
      <c r="C313" s="65" t="s">
        <v>2101</v>
      </c>
      <c r="D313" s="66">
        <v>3</v>
      </c>
      <c r="E313" s="67"/>
      <c r="F313" s="68">
        <v>40</v>
      </c>
      <c r="G313" s="65"/>
      <c r="H313" s="69"/>
      <c r="I313" s="70"/>
      <c r="J313" s="70"/>
      <c r="K313" s="35" t="s">
        <v>65</v>
      </c>
      <c r="L313" s="77">
        <v>313</v>
      </c>
      <c r="M31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13" s="72"/>
      <c r="O313" s="79" t="s">
        <v>337</v>
      </c>
      <c r="P313" s="81">
        <v>44406.929386574076</v>
      </c>
      <c r="Q313" s="79" t="s">
        <v>373</v>
      </c>
      <c r="R313" s="79"/>
      <c r="S313" s="79"/>
      <c r="T313" s="85" t="s">
        <v>461</v>
      </c>
      <c r="U313" s="83" t="str">
        <f t="shared" si="11"/>
        <v>https://pbs.twimg.com/media/E7fhzF6XsAAoddH.jpg</v>
      </c>
      <c r="V313" s="83" t="str">
        <f t="shared" si="11"/>
        <v>https://pbs.twimg.com/media/E7fhzF6XsAAoddH.jpg</v>
      </c>
      <c r="W313" s="81">
        <v>44406.929386574076</v>
      </c>
      <c r="X313" s="87">
        <v>44406</v>
      </c>
      <c r="Y313" s="85" t="s">
        <v>581</v>
      </c>
      <c r="Z313" s="83" t="str">
        <f>HYPERLINK("https://twitter.com/mizbosslady82/status/1420871336847683588")</f>
        <v>https://twitter.com/mizbosslady82/status/1420871336847683588</v>
      </c>
      <c r="AA313" s="79"/>
      <c r="AB313" s="79"/>
      <c r="AC313" s="85" t="s">
        <v>760</v>
      </c>
      <c r="AD313" s="79"/>
      <c r="AE313" s="79" t="b">
        <v>0</v>
      </c>
      <c r="AF313" s="79">
        <v>0</v>
      </c>
      <c r="AG313" s="85" t="s">
        <v>867</v>
      </c>
      <c r="AH313" s="79" t="b">
        <v>0</v>
      </c>
      <c r="AI313" s="79" t="s">
        <v>874</v>
      </c>
      <c r="AJ313" s="79"/>
      <c r="AK313" s="85" t="s">
        <v>867</v>
      </c>
      <c r="AL313" s="79" t="b">
        <v>0</v>
      </c>
      <c r="AM313" s="79">
        <v>14</v>
      </c>
      <c r="AN313" s="85" t="s">
        <v>851</v>
      </c>
      <c r="AO313" s="85" t="s">
        <v>883</v>
      </c>
      <c r="AP313" s="79" t="b">
        <v>0</v>
      </c>
      <c r="AQ313" s="85" t="s">
        <v>851</v>
      </c>
      <c r="AR313" s="79" t="s">
        <v>177</v>
      </c>
      <c r="AS313" s="79">
        <v>0</v>
      </c>
      <c r="AT313" s="79">
        <v>0</v>
      </c>
      <c r="AU313" s="79"/>
      <c r="AV313" s="79"/>
      <c r="AW313" s="79"/>
      <c r="AX313" s="79"/>
      <c r="AY313" s="79"/>
      <c r="AZ313" s="79"/>
      <c r="BA313" s="79"/>
      <c r="BB313" s="79"/>
      <c r="BC313">
        <v>1</v>
      </c>
      <c r="BD313" s="78" t="str">
        <f>REPLACE(INDEX(GroupVertices[Group], MATCH(Edges[[#This Row],[Vertex 1]],GroupVertices[Vertex],0)),1,1,"")</f>
        <v>1</v>
      </c>
      <c r="BE313" s="78" t="str">
        <f>REPLACE(INDEX(GroupVertices[Group], MATCH(Edges[[#This Row],[Vertex 2]],GroupVertices[Vertex],0)),1,1,"")</f>
        <v>1</v>
      </c>
    </row>
    <row r="314" spans="1:57" x14ac:dyDescent="0.25">
      <c r="A314" s="64" t="s">
        <v>271</v>
      </c>
      <c r="B314" s="64" t="s">
        <v>287</v>
      </c>
      <c r="C314" s="65" t="s">
        <v>2101</v>
      </c>
      <c r="D314" s="66">
        <v>3</v>
      </c>
      <c r="E314" s="67"/>
      <c r="F314" s="68">
        <v>40</v>
      </c>
      <c r="G314" s="65"/>
      <c r="H314" s="69"/>
      <c r="I314" s="70"/>
      <c r="J314" s="70"/>
      <c r="K314" s="35" t="s">
        <v>65</v>
      </c>
      <c r="L314" s="77">
        <v>314</v>
      </c>
      <c r="M31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14" s="72"/>
      <c r="O314" s="79" t="s">
        <v>337</v>
      </c>
      <c r="P314" s="81">
        <v>44406.931215277778</v>
      </c>
      <c r="Q314" s="79" t="s">
        <v>373</v>
      </c>
      <c r="R314" s="79"/>
      <c r="S314" s="79"/>
      <c r="T314" s="85" t="s">
        <v>461</v>
      </c>
      <c r="U314" s="83" t="str">
        <f t="shared" si="11"/>
        <v>https://pbs.twimg.com/media/E7fhzF6XsAAoddH.jpg</v>
      </c>
      <c r="V314" s="83" t="str">
        <f t="shared" si="11"/>
        <v>https://pbs.twimg.com/media/E7fhzF6XsAAoddH.jpg</v>
      </c>
      <c r="W314" s="81">
        <v>44406.931215277778</v>
      </c>
      <c r="X314" s="87">
        <v>44406</v>
      </c>
      <c r="Y314" s="85" t="s">
        <v>582</v>
      </c>
      <c r="Z314" s="83" t="str">
        <f>HYPERLINK("https://twitter.com/shirley10090505/status/1420871998654255107")</f>
        <v>https://twitter.com/shirley10090505/status/1420871998654255107</v>
      </c>
      <c r="AA314" s="79"/>
      <c r="AB314" s="79"/>
      <c r="AC314" s="85" t="s">
        <v>761</v>
      </c>
      <c r="AD314" s="79"/>
      <c r="AE314" s="79" t="b">
        <v>0</v>
      </c>
      <c r="AF314" s="79">
        <v>0</v>
      </c>
      <c r="AG314" s="85" t="s">
        <v>867</v>
      </c>
      <c r="AH314" s="79" t="b">
        <v>0</v>
      </c>
      <c r="AI314" s="79" t="s">
        <v>874</v>
      </c>
      <c r="AJ314" s="79"/>
      <c r="AK314" s="85" t="s">
        <v>867</v>
      </c>
      <c r="AL314" s="79" t="b">
        <v>0</v>
      </c>
      <c r="AM314" s="79">
        <v>14</v>
      </c>
      <c r="AN314" s="85" t="s">
        <v>851</v>
      </c>
      <c r="AO314" s="85" t="s">
        <v>883</v>
      </c>
      <c r="AP314" s="79" t="b">
        <v>0</v>
      </c>
      <c r="AQ314" s="85" t="s">
        <v>851</v>
      </c>
      <c r="AR314" s="79" t="s">
        <v>177</v>
      </c>
      <c r="AS314" s="79">
        <v>0</v>
      </c>
      <c r="AT314" s="79">
        <v>0</v>
      </c>
      <c r="AU314" s="79"/>
      <c r="AV314" s="79"/>
      <c r="AW314" s="79"/>
      <c r="AX314" s="79"/>
      <c r="AY314" s="79"/>
      <c r="AZ314" s="79"/>
      <c r="BA314" s="79"/>
      <c r="BB314" s="79"/>
      <c r="BC314">
        <v>1</v>
      </c>
      <c r="BD314" s="78" t="str">
        <f>REPLACE(INDEX(GroupVertices[Group], MATCH(Edges[[#This Row],[Vertex 1]],GroupVertices[Vertex],0)),1,1,"")</f>
        <v>1</v>
      </c>
      <c r="BE314" s="78" t="str">
        <f>REPLACE(INDEX(GroupVertices[Group], MATCH(Edges[[#This Row],[Vertex 2]],GroupVertices[Vertex],0)),1,1,"")</f>
        <v>1</v>
      </c>
    </row>
    <row r="315" spans="1:57" x14ac:dyDescent="0.25">
      <c r="A315" s="64" t="s">
        <v>272</v>
      </c>
      <c r="B315" s="64" t="s">
        <v>287</v>
      </c>
      <c r="C315" s="65" t="s">
        <v>2101</v>
      </c>
      <c r="D315" s="66">
        <v>3</v>
      </c>
      <c r="E315" s="67"/>
      <c r="F315" s="68">
        <v>40</v>
      </c>
      <c r="G315" s="65"/>
      <c r="H315" s="69"/>
      <c r="I315" s="70"/>
      <c r="J315" s="70"/>
      <c r="K315" s="35" t="s">
        <v>65</v>
      </c>
      <c r="L315" s="77">
        <v>315</v>
      </c>
      <c r="M31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15" s="72"/>
      <c r="O315" s="79" t="s">
        <v>337</v>
      </c>
      <c r="P315" s="81">
        <v>44406.932581018518</v>
      </c>
      <c r="Q315" s="79" t="s">
        <v>373</v>
      </c>
      <c r="R315" s="79"/>
      <c r="S315" s="79"/>
      <c r="T315" s="85" t="s">
        <v>461</v>
      </c>
      <c r="U315" s="83" t="str">
        <f t="shared" si="11"/>
        <v>https://pbs.twimg.com/media/E7fhzF6XsAAoddH.jpg</v>
      </c>
      <c r="V315" s="83" t="str">
        <f t="shared" si="11"/>
        <v>https://pbs.twimg.com/media/E7fhzF6XsAAoddH.jpg</v>
      </c>
      <c r="W315" s="81">
        <v>44406.932581018518</v>
      </c>
      <c r="X315" s="87">
        <v>44406</v>
      </c>
      <c r="Y315" s="85" t="s">
        <v>583</v>
      </c>
      <c r="Z315" s="83" t="str">
        <f>HYPERLINK("https://twitter.com/suemanning6/status/1420872494924304394")</f>
        <v>https://twitter.com/suemanning6/status/1420872494924304394</v>
      </c>
      <c r="AA315" s="79"/>
      <c r="AB315" s="79"/>
      <c r="AC315" s="85" t="s">
        <v>762</v>
      </c>
      <c r="AD315" s="79"/>
      <c r="AE315" s="79" t="b">
        <v>0</v>
      </c>
      <c r="AF315" s="79">
        <v>0</v>
      </c>
      <c r="AG315" s="85" t="s">
        <v>867</v>
      </c>
      <c r="AH315" s="79" t="b">
        <v>0</v>
      </c>
      <c r="AI315" s="79" t="s">
        <v>874</v>
      </c>
      <c r="AJ315" s="79"/>
      <c r="AK315" s="85" t="s">
        <v>867</v>
      </c>
      <c r="AL315" s="79" t="b">
        <v>0</v>
      </c>
      <c r="AM315" s="79">
        <v>14</v>
      </c>
      <c r="AN315" s="85" t="s">
        <v>851</v>
      </c>
      <c r="AO315" s="85" t="s">
        <v>882</v>
      </c>
      <c r="AP315" s="79" t="b">
        <v>0</v>
      </c>
      <c r="AQ315" s="85" t="s">
        <v>851</v>
      </c>
      <c r="AR315" s="79" t="s">
        <v>177</v>
      </c>
      <c r="AS315" s="79">
        <v>0</v>
      </c>
      <c r="AT315" s="79">
        <v>0</v>
      </c>
      <c r="AU315" s="79"/>
      <c r="AV315" s="79"/>
      <c r="AW315" s="79"/>
      <c r="AX315" s="79"/>
      <c r="AY315" s="79"/>
      <c r="AZ315" s="79"/>
      <c r="BA315" s="79"/>
      <c r="BB315" s="79"/>
      <c r="BC315">
        <v>1</v>
      </c>
      <c r="BD315" s="78" t="str">
        <f>REPLACE(INDEX(GroupVertices[Group], MATCH(Edges[[#This Row],[Vertex 1]],GroupVertices[Vertex],0)),1,1,"")</f>
        <v>1</v>
      </c>
      <c r="BE315" s="78" t="str">
        <f>REPLACE(INDEX(GroupVertices[Group], MATCH(Edges[[#This Row],[Vertex 2]],GroupVertices[Vertex],0)),1,1,"")</f>
        <v>1</v>
      </c>
    </row>
    <row r="316" spans="1:57" x14ac:dyDescent="0.25">
      <c r="A316" s="64" t="s">
        <v>273</v>
      </c>
      <c r="B316" s="64" t="s">
        <v>287</v>
      </c>
      <c r="C316" s="65" t="s">
        <v>2101</v>
      </c>
      <c r="D316" s="66">
        <v>3</v>
      </c>
      <c r="E316" s="67"/>
      <c r="F316" s="68">
        <v>40</v>
      </c>
      <c r="G316" s="65"/>
      <c r="H316" s="69"/>
      <c r="I316" s="70"/>
      <c r="J316" s="70"/>
      <c r="K316" s="35" t="s">
        <v>65</v>
      </c>
      <c r="L316" s="77">
        <v>316</v>
      </c>
      <c r="M31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16" s="72"/>
      <c r="O316" s="79" t="s">
        <v>337</v>
      </c>
      <c r="P316" s="81">
        <v>44406.934930555559</v>
      </c>
      <c r="Q316" s="79" t="s">
        <v>373</v>
      </c>
      <c r="R316" s="79"/>
      <c r="S316" s="79"/>
      <c r="T316" s="85" t="s">
        <v>461</v>
      </c>
      <c r="U316" s="83" t="str">
        <f t="shared" si="11"/>
        <v>https://pbs.twimg.com/media/E7fhzF6XsAAoddH.jpg</v>
      </c>
      <c r="V316" s="83" t="str">
        <f t="shared" si="11"/>
        <v>https://pbs.twimg.com/media/E7fhzF6XsAAoddH.jpg</v>
      </c>
      <c r="W316" s="81">
        <v>44406.934930555559</v>
      </c>
      <c r="X316" s="87">
        <v>44406</v>
      </c>
      <c r="Y316" s="85" t="s">
        <v>584</v>
      </c>
      <c r="Z316" s="83" t="str">
        <f>HYPERLINK("https://twitter.com/julieworley14/status/1420873344078028805")</f>
        <v>https://twitter.com/julieworley14/status/1420873344078028805</v>
      </c>
      <c r="AA316" s="79"/>
      <c r="AB316" s="79"/>
      <c r="AC316" s="85" t="s">
        <v>763</v>
      </c>
      <c r="AD316" s="79"/>
      <c r="AE316" s="79" t="b">
        <v>0</v>
      </c>
      <c r="AF316" s="79">
        <v>0</v>
      </c>
      <c r="AG316" s="85" t="s">
        <v>867</v>
      </c>
      <c r="AH316" s="79" t="b">
        <v>0</v>
      </c>
      <c r="AI316" s="79" t="s">
        <v>874</v>
      </c>
      <c r="AJ316" s="79"/>
      <c r="AK316" s="85" t="s">
        <v>867</v>
      </c>
      <c r="AL316" s="79" t="b">
        <v>0</v>
      </c>
      <c r="AM316" s="79">
        <v>14</v>
      </c>
      <c r="AN316" s="85" t="s">
        <v>851</v>
      </c>
      <c r="AO316" s="85" t="s">
        <v>882</v>
      </c>
      <c r="AP316" s="79" t="b">
        <v>0</v>
      </c>
      <c r="AQ316" s="85" t="s">
        <v>851</v>
      </c>
      <c r="AR316" s="79" t="s">
        <v>177</v>
      </c>
      <c r="AS316" s="79">
        <v>0</v>
      </c>
      <c r="AT316" s="79">
        <v>0</v>
      </c>
      <c r="AU316" s="79"/>
      <c r="AV316" s="79"/>
      <c r="AW316" s="79"/>
      <c r="AX316" s="79"/>
      <c r="AY316" s="79"/>
      <c r="AZ316" s="79"/>
      <c r="BA316" s="79"/>
      <c r="BB316" s="79"/>
      <c r="BC316">
        <v>1</v>
      </c>
      <c r="BD316" s="78" t="str">
        <f>REPLACE(INDEX(GroupVertices[Group], MATCH(Edges[[#This Row],[Vertex 1]],GroupVertices[Vertex],0)),1,1,"")</f>
        <v>1</v>
      </c>
      <c r="BE316" s="78" t="str">
        <f>REPLACE(INDEX(GroupVertices[Group], MATCH(Edges[[#This Row],[Vertex 2]],GroupVertices[Vertex],0)),1,1,"")</f>
        <v>1</v>
      </c>
    </row>
    <row r="317" spans="1:57" x14ac:dyDescent="0.25">
      <c r="A317" s="64" t="s">
        <v>274</v>
      </c>
      <c r="B317" s="64" t="s">
        <v>287</v>
      </c>
      <c r="C317" s="65" t="s">
        <v>2101</v>
      </c>
      <c r="D317" s="66">
        <v>3</v>
      </c>
      <c r="E317" s="67"/>
      <c r="F317" s="68">
        <v>40</v>
      </c>
      <c r="G317" s="65"/>
      <c r="H317" s="69"/>
      <c r="I317" s="70"/>
      <c r="J317" s="70"/>
      <c r="K317" s="35" t="s">
        <v>65</v>
      </c>
      <c r="L317" s="77">
        <v>317</v>
      </c>
      <c r="M31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17" s="72"/>
      <c r="O317" s="79" t="s">
        <v>338</v>
      </c>
      <c r="P317" s="81">
        <v>44406.942465277774</v>
      </c>
      <c r="Q317" s="79" t="s">
        <v>365</v>
      </c>
      <c r="R317" s="79"/>
      <c r="S317" s="79"/>
      <c r="T317" s="85" t="s">
        <v>461</v>
      </c>
      <c r="U317" s="83" t="str">
        <f>HYPERLINK("https://pbs.twimg.com/ext_tw_video_thumb/1420560954690088965/pu/img/mw30pB3lQf5fmFQ8.jpg")</f>
        <v>https://pbs.twimg.com/ext_tw_video_thumb/1420560954690088965/pu/img/mw30pB3lQf5fmFQ8.jpg</v>
      </c>
      <c r="V317" s="83" t="str">
        <f>HYPERLINK("https://pbs.twimg.com/ext_tw_video_thumb/1420560954690088965/pu/img/mw30pB3lQf5fmFQ8.jpg")</f>
        <v>https://pbs.twimg.com/ext_tw_video_thumb/1420560954690088965/pu/img/mw30pB3lQf5fmFQ8.jpg</v>
      </c>
      <c r="W317" s="81">
        <v>44406.942465277774</v>
      </c>
      <c r="X317" s="87">
        <v>44406</v>
      </c>
      <c r="Y317" s="85" t="s">
        <v>585</v>
      </c>
      <c r="Z317" s="83" t="str">
        <f>HYPERLINK("https://twitter.com/kjcounsel/status/1420876074184060928")</f>
        <v>https://twitter.com/kjcounsel/status/1420876074184060928</v>
      </c>
      <c r="AA317" s="79"/>
      <c r="AB317" s="79"/>
      <c r="AC317" s="85" t="s">
        <v>765</v>
      </c>
      <c r="AD317" s="79"/>
      <c r="AE317" s="79" t="b">
        <v>0</v>
      </c>
      <c r="AF317" s="79">
        <v>0</v>
      </c>
      <c r="AG317" s="85" t="s">
        <v>867</v>
      </c>
      <c r="AH317" s="79" t="b">
        <v>0</v>
      </c>
      <c r="AI317" s="79" t="s">
        <v>874</v>
      </c>
      <c r="AJ317" s="79"/>
      <c r="AK317" s="85" t="s">
        <v>867</v>
      </c>
      <c r="AL317" s="79" t="b">
        <v>0</v>
      </c>
      <c r="AM317" s="79">
        <v>8</v>
      </c>
      <c r="AN317" s="85" t="s">
        <v>784</v>
      </c>
      <c r="AO317" s="85" t="s">
        <v>883</v>
      </c>
      <c r="AP317" s="79" t="b">
        <v>0</v>
      </c>
      <c r="AQ317" s="85" t="s">
        <v>784</v>
      </c>
      <c r="AR317" s="79" t="s">
        <v>177</v>
      </c>
      <c r="AS317" s="79">
        <v>0</v>
      </c>
      <c r="AT317" s="79">
        <v>0</v>
      </c>
      <c r="AU317" s="79"/>
      <c r="AV317" s="79"/>
      <c r="AW317" s="79"/>
      <c r="AX317" s="79"/>
      <c r="AY317" s="79"/>
      <c r="AZ317" s="79"/>
      <c r="BA317" s="79"/>
      <c r="BB317" s="79"/>
      <c r="BC317">
        <v>1</v>
      </c>
      <c r="BD317" s="78" t="str">
        <f>REPLACE(INDEX(GroupVertices[Group], MATCH(Edges[[#This Row],[Vertex 1]],GroupVertices[Vertex],0)),1,1,"")</f>
        <v>6</v>
      </c>
      <c r="BE317" s="78" t="str">
        <f>REPLACE(INDEX(GroupVertices[Group], MATCH(Edges[[#This Row],[Vertex 2]],GroupVertices[Vertex],0)),1,1,"")</f>
        <v>1</v>
      </c>
    </row>
    <row r="318" spans="1:57" x14ac:dyDescent="0.25">
      <c r="A318" s="64" t="s">
        <v>275</v>
      </c>
      <c r="B318" s="64" t="s">
        <v>287</v>
      </c>
      <c r="C318" s="65" t="s">
        <v>2101</v>
      </c>
      <c r="D318" s="66">
        <v>3</v>
      </c>
      <c r="E318" s="67"/>
      <c r="F318" s="68">
        <v>40</v>
      </c>
      <c r="G318" s="65"/>
      <c r="H318" s="69"/>
      <c r="I318" s="70"/>
      <c r="J318" s="70"/>
      <c r="K318" s="35" t="s">
        <v>65</v>
      </c>
      <c r="L318" s="77">
        <v>318</v>
      </c>
      <c r="M31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18" s="72"/>
      <c r="O318" s="79" t="s">
        <v>337</v>
      </c>
      <c r="P318" s="81">
        <v>44406.94740740741</v>
      </c>
      <c r="Q318" s="79" t="s">
        <v>373</v>
      </c>
      <c r="R318" s="79"/>
      <c r="S318" s="79"/>
      <c r="T318" s="85" t="s">
        <v>461</v>
      </c>
      <c r="U318" s="83" t="str">
        <f>HYPERLINK("https://pbs.twimg.com/media/E7fhzF6XsAAoddH.jpg")</f>
        <v>https://pbs.twimg.com/media/E7fhzF6XsAAoddH.jpg</v>
      </c>
      <c r="V318" s="83" t="str">
        <f>HYPERLINK("https://pbs.twimg.com/media/E7fhzF6XsAAoddH.jpg")</f>
        <v>https://pbs.twimg.com/media/E7fhzF6XsAAoddH.jpg</v>
      </c>
      <c r="W318" s="81">
        <v>44406.94740740741</v>
      </c>
      <c r="X318" s="87">
        <v>44406</v>
      </c>
      <c r="Y318" s="85" t="s">
        <v>586</v>
      </c>
      <c r="Z318" s="83" t="str">
        <f>HYPERLINK("https://twitter.com/danadlaurens/status/1420877864895979523")</f>
        <v>https://twitter.com/danadlaurens/status/1420877864895979523</v>
      </c>
      <c r="AA318" s="79"/>
      <c r="AB318" s="79"/>
      <c r="AC318" s="85" t="s">
        <v>766</v>
      </c>
      <c r="AD318" s="79"/>
      <c r="AE318" s="79" t="b">
        <v>0</v>
      </c>
      <c r="AF318" s="79">
        <v>0</v>
      </c>
      <c r="AG318" s="85" t="s">
        <v>867</v>
      </c>
      <c r="AH318" s="79" t="b">
        <v>0</v>
      </c>
      <c r="AI318" s="79" t="s">
        <v>874</v>
      </c>
      <c r="AJ318" s="79"/>
      <c r="AK318" s="85" t="s">
        <v>867</v>
      </c>
      <c r="AL318" s="79" t="b">
        <v>0</v>
      </c>
      <c r="AM318" s="79">
        <v>14</v>
      </c>
      <c r="AN318" s="85" t="s">
        <v>851</v>
      </c>
      <c r="AO318" s="85" t="s">
        <v>883</v>
      </c>
      <c r="AP318" s="79" t="b">
        <v>0</v>
      </c>
      <c r="AQ318" s="85" t="s">
        <v>851</v>
      </c>
      <c r="AR318" s="79" t="s">
        <v>177</v>
      </c>
      <c r="AS318" s="79">
        <v>0</v>
      </c>
      <c r="AT318" s="79">
        <v>0</v>
      </c>
      <c r="AU318" s="79"/>
      <c r="AV318" s="79"/>
      <c r="AW318" s="79"/>
      <c r="AX318" s="79"/>
      <c r="AY318" s="79"/>
      <c r="AZ318" s="79"/>
      <c r="BA318" s="79"/>
      <c r="BB318" s="79"/>
      <c r="BC318">
        <v>1</v>
      </c>
      <c r="BD318" s="78" t="str">
        <f>REPLACE(INDEX(GroupVertices[Group], MATCH(Edges[[#This Row],[Vertex 1]],GroupVertices[Vertex],0)),1,1,"")</f>
        <v>1</v>
      </c>
      <c r="BE318" s="78" t="str">
        <f>REPLACE(INDEX(GroupVertices[Group], MATCH(Edges[[#This Row],[Vertex 2]],GroupVertices[Vertex],0)),1,1,"")</f>
        <v>1</v>
      </c>
    </row>
    <row r="319" spans="1:57" x14ac:dyDescent="0.25">
      <c r="A319" s="64" t="s">
        <v>276</v>
      </c>
      <c r="B319" s="64" t="s">
        <v>287</v>
      </c>
      <c r="C319" s="65" t="s">
        <v>2101</v>
      </c>
      <c r="D319" s="66">
        <v>3</v>
      </c>
      <c r="E319" s="67"/>
      <c r="F319" s="68">
        <v>40</v>
      </c>
      <c r="G319" s="65"/>
      <c r="H319" s="69"/>
      <c r="I319" s="70"/>
      <c r="J319" s="70"/>
      <c r="K319" s="35" t="s">
        <v>65</v>
      </c>
      <c r="L319" s="77">
        <v>319</v>
      </c>
      <c r="M31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19" s="72"/>
      <c r="O319" s="79" t="s">
        <v>338</v>
      </c>
      <c r="P319" s="81">
        <v>44406.95076388889</v>
      </c>
      <c r="Q319" s="79" t="s">
        <v>365</v>
      </c>
      <c r="R319" s="79"/>
      <c r="S319" s="79"/>
      <c r="T319" s="85" t="s">
        <v>461</v>
      </c>
      <c r="U319" s="83" t="str">
        <f>HYPERLINK("https://pbs.twimg.com/ext_tw_video_thumb/1420560954690088965/pu/img/mw30pB3lQf5fmFQ8.jpg")</f>
        <v>https://pbs.twimg.com/ext_tw_video_thumb/1420560954690088965/pu/img/mw30pB3lQf5fmFQ8.jpg</v>
      </c>
      <c r="V319" s="83" t="str">
        <f>HYPERLINK("https://pbs.twimg.com/ext_tw_video_thumb/1420560954690088965/pu/img/mw30pB3lQf5fmFQ8.jpg")</f>
        <v>https://pbs.twimg.com/ext_tw_video_thumb/1420560954690088965/pu/img/mw30pB3lQf5fmFQ8.jpg</v>
      </c>
      <c r="W319" s="81">
        <v>44406.95076388889</v>
      </c>
      <c r="X319" s="87">
        <v>44406</v>
      </c>
      <c r="Y319" s="85" t="s">
        <v>587</v>
      </c>
      <c r="Z319" s="83" t="str">
        <f>HYPERLINK("https://twitter.com/independantdemo/status/1420879083693436928")</f>
        <v>https://twitter.com/independantdemo/status/1420879083693436928</v>
      </c>
      <c r="AA319" s="79"/>
      <c r="AB319" s="79"/>
      <c r="AC319" s="85" t="s">
        <v>767</v>
      </c>
      <c r="AD319" s="79"/>
      <c r="AE319" s="79" t="b">
        <v>0</v>
      </c>
      <c r="AF319" s="79">
        <v>0</v>
      </c>
      <c r="AG319" s="85" t="s">
        <v>867</v>
      </c>
      <c r="AH319" s="79" t="b">
        <v>0</v>
      </c>
      <c r="AI319" s="79" t="s">
        <v>874</v>
      </c>
      <c r="AJ319" s="79"/>
      <c r="AK319" s="85" t="s">
        <v>867</v>
      </c>
      <c r="AL319" s="79" t="b">
        <v>0</v>
      </c>
      <c r="AM319" s="79">
        <v>8</v>
      </c>
      <c r="AN319" s="85" t="s">
        <v>784</v>
      </c>
      <c r="AO319" s="85" t="s">
        <v>883</v>
      </c>
      <c r="AP319" s="79" t="b">
        <v>0</v>
      </c>
      <c r="AQ319" s="85" t="s">
        <v>784</v>
      </c>
      <c r="AR319" s="79" t="s">
        <v>177</v>
      </c>
      <c r="AS319" s="79">
        <v>0</v>
      </c>
      <c r="AT319" s="79">
        <v>0</v>
      </c>
      <c r="AU319" s="79"/>
      <c r="AV319" s="79"/>
      <c r="AW319" s="79"/>
      <c r="AX319" s="79"/>
      <c r="AY319" s="79"/>
      <c r="AZ319" s="79"/>
      <c r="BA319" s="79"/>
      <c r="BB319" s="79"/>
      <c r="BC319">
        <v>1</v>
      </c>
      <c r="BD319" s="78" t="str">
        <f>REPLACE(INDEX(GroupVertices[Group], MATCH(Edges[[#This Row],[Vertex 1]],GroupVertices[Vertex],0)),1,1,"")</f>
        <v>1</v>
      </c>
      <c r="BE319" s="78" t="str">
        <f>REPLACE(INDEX(GroupVertices[Group], MATCH(Edges[[#This Row],[Vertex 2]],GroupVertices[Vertex],0)),1,1,"")</f>
        <v>1</v>
      </c>
    </row>
    <row r="320" spans="1:57" x14ac:dyDescent="0.25">
      <c r="A320" s="64" t="s">
        <v>277</v>
      </c>
      <c r="B320" s="64" t="s">
        <v>287</v>
      </c>
      <c r="C320" s="65" t="s">
        <v>2101</v>
      </c>
      <c r="D320" s="66">
        <v>3</v>
      </c>
      <c r="E320" s="67"/>
      <c r="F320" s="68">
        <v>40</v>
      </c>
      <c r="G320" s="65"/>
      <c r="H320" s="69"/>
      <c r="I320" s="70"/>
      <c r="J320" s="70"/>
      <c r="K320" s="35" t="s">
        <v>65</v>
      </c>
      <c r="L320" s="77">
        <v>320</v>
      </c>
      <c r="M32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20" s="72"/>
      <c r="O320" s="79" t="s">
        <v>337</v>
      </c>
      <c r="P320" s="81">
        <v>44406.952615740738</v>
      </c>
      <c r="Q320" s="79" t="s">
        <v>373</v>
      </c>
      <c r="R320" s="79"/>
      <c r="S320" s="79"/>
      <c r="T320" s="85" t="s">
        <v>461</v>
      </c>
      <c r="U320" s="83" t="str">
        <f>HYPERLINK("https://pbs.twimg.com/media/E7fhzF6XsAAoddH.jpg")</f>
        <v>https://pbs.twimg.com/media/E7fhzF6XsAAoddH.jpg</v>
      </c>
      <c r="V320" s="83" t="str">
        <f>HYPERLINK("https://pbs.twimg.com/media/E7fhzF6XsAAoddH.jpg")</f>
        <v>https://pbs.twimg.com/media/E7fhzF6XsAAoddH.jpg</v>
      </c>
      <c r="W320" s="81">
        <v>44406.952615740738</v>
      </c>
      <c r="X320" s="87">
        <v>44406</v>
      </c>
      <c r="Y320" s="85" t="s">
        <v>588</v>
      </c>
      <c r="Z320" s="83" t="str">
        <f>HYPERLINK("https://twitter.com/perla_51/status/1420879751233814529")</f>
        <v>https://twitter.com/perla_51/status/1420879751233814529</v>
      </c>
      <c r="AA320" s="79"/>
      <c r="AB320" s="79"/>
      <c r="AC320" s="85" t="s">
        <v>768</v>
      </c>
      <c r="AD320" s="79"/>
      <c r="AE320" s="79" t="b">
        <v>0</v>
      </c>
      <c r="AF320" s="79">
        <v>0</v>
      </c>
      <c r="AG320" s="85" t="s">
        <v>867</v>
      </c>
      <c r="AH320" s="79" t="b">
        <v>0</v>
      </c>
      <c r="AI320" s="79" t="s">
        <v>874</v>
      </c>
      <c r="AJ320" s="79"/>
      <c r="AK320" s="85" t="s">
        <v>867</v>
      </c>
      <c r="AL320" s="79" t="b">
        <v>0</v>
      </c>
      <c r="AM320" s="79">
        <v>14</v>
      </c>
      <c r="AN320" s="85" t="s">
        <v>851</v>
      </c>
      <c r="AO320" s="85" t="s">
        <v>887</v>
      </c>
      <c r="AP320" s="79" t="b">
        <v>0</v>
      </c>
      <c r="AQ320" s="85" t="s">
        <v>851</v>
      </c>
      <c r="AR320" s="79" t="s">
        <v>177</v>
      </c>
      <c r="AS320" s="79">
        <v>0</v>
      </c>
      <c r="AT320" s="79">
        <v>0</v>
      </c>
      <c r="AU320" s="79"/>
      <c r="AV320" s="79"/>
      <c r="AW320" s="79"/>
      <c r="AX320" s="79"/>
      <c r="AY320" s="79"/>
      <c r="AZ320" s="79"/>
      <c r="BA320" s="79"/>
      <c r="BB320" s="79"/>
      <c r="BC320">
        <v>1</v>
      </c>
      <c r="BD320" s="78" t="str">
        <f>REPLACE(INDEX(GroupVertices[Group], MATCH(Edges[[#This Row],[Vertex 1]],GroupVertices[Vertex],0)),1,1,"")</f>
        <v>1</v>
      </c>
      <c r="BE320" s="78" t="str">
        <f>REPLACE(INDEX(GroupVertices[Group], MATCH(Edges[[#This Row],[Vertex 2]],GroupVertices[Vertex],0)),1,1,"")</f>
        <v>1</v>
      </c>
    </row>
    <row r="321" spans="1:57" x14ac:dyDescent="0.25">
      <c r="A321" s="64" t="s">
        <v>278</v>
      </c>
      <c r="B321" s="64" t="s">
        <v>287</v>
      </c>
      <c r="C321" s="65" t="s">
        <v>2101</v>
      </c>
      <c r="D321" s="66">
        <v>3</v>
      </c>
      <c r="E321" s="67"/>
      <c r="F321" s="68">
        <v>40</v>
      </c>
      <c r="G321" s="65"/>
      <c r="H321" s="69"/>
      <c r="I321" s="70"/>
      <c r="J321" s="70"/>
      <c r="K321" s="35" t="s">
        <v>65</v>
      </c>
      <c r="L321" s="77">
        <v>321</v>
      </c>
      <c r="M32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21" s="72"/>
      <c r="O321" s="79" t="s">
        <v>338</v>
      </c>
      <c r="P321" s="81">
        <v>44406.953831018516</v>
      </c>
      <c r="Q321" s="79" t="s">
        <v>365</v>
      </c>
      <c r="R321" s="79"/>
      <c r="S321" s="79"/>
      <c r="T321" s="85" t="s">
        <v>461</v>
      </c>
      <c r="U321" s="83" t="str">
        <f>HYPERLINK("https://pbs.twimg.com/ext_tw_video_thumb/1420560954690088965/pu/img/mw30pB3lQf5fmFQ8.jpg")</f>
        <v>https://pbs.twimg.com/ext_tw_video_thumb/1420560954690088965/pu/img/mw30pB3lQf5fmFQ8.jpg</v>
      </c>
      <c r="V321" s="83" t="str">
        <f>HYPERLINK("https://pbs.twimg.com/ext_tw_video_thumb/1420560954690088965/pu/img/mw30pB3lQf5fmFQ8.jpg")</f>
        <v>https://pbs.twimg.com/ext_tw_video_thumb/1420560954690088965/pu/img/mw30pB3lQf5fmFQ8.jpg</v>
      </c>
      <c r="W321" s="81">
        <v>44406.953831018516</v>
      </c>
      <c r="X321" s="87">
        <v>44406</v>
      </c>
      <c r="Y321" s="85" t="s">
        <v>589</v>
      </c>
      <c r="Z321" s="83" t="str">
        <f>HYPERLINK("https://twitter.com/mickeybellet/status/1420880191577001985")</f>
        <v>https://twitter.com/mickeybellet/status/1420880191577001985</v>
      </c>
      <c r="AA321" s="79"/>
      <c r="AB321" s="79"/>
      <c r="AC321" s="85" t="s">
        <v>769</v>
      </c>
      <c r="AD321" s="79"/>
      <c r="AE321" s="79" t="b">
        <v>0</v>
      </c>
      <c r="AF321" s="79">
        <v>0</v>
      </c>
      <c r="AG321" s="85" t="s">
        <v>867</v>
      </c>
      <c r="AH321" s="79" t="b">
        <v>0</v>
      </c>
      <c r="AI321" s="79" t="s">
        <v>874</v>
      </c>
      <c r="AJ321" s="79"/>
      <c r="AK321" s="85" t="s">
        <v>867</v>
      </c>
      <c r="AL321" s="79" t="b">
        <v>0</v>
      </c>
      <c r="AM321" s="79">
        <v>8</v>
      </c>
      <c r="AN321" s="85" t="s">
        <v>784</v>
      </c>
      <c r="AO321" s="85" t="s">
        <v>887</v>
      </c>
      <c r="AP321" s="79" t="b">
        <v>0</v>
      </c>
      <c r="AQ321" s="85" t="s">
        <v>784</v>
      </c>
      <c r="AR321" s="79" t="s">
        <v>177</v>
      </c>
      <c r="AS321" s="79">
        <v>0</v>
      </c>
      <c r="AT321" s="79">
        <v>0</v>
      </c>
      <c r="AU321" s="79"/>
      <c r="AV321" s="79"/>
      <c r="AW321" s="79"/>
      <c r="AX321" s="79"/>
      <c r="AY321" s="79"/>
      <c r="AZ321" s="79"/>
      <c r="BA321" s="79"/>
      <c r="BB321" s="79"/>
      <c r="BC321">
        <v>1</v>
      </c>
      <c r="BD321" s="78" t="str">
        <f>REPLACE(INDEX(GroupVertices[Group], MATCH(Edges[[#This Row],[Vertex 1]],GroupVertices[Vertex],0)),1,1,"")</f>
        <v>1</v>
      </c>
      <c r="BE321" s="78" t="str">
        <f>REPLACE(INDEX(GroupVertices[Group], MATCH(Edges[[#This Row],[Vertex 2]],GroupVertices[Vertex],0)),1,1,"")</f>
        <v>1</v>
      </c>
    </row>
    <row r="322" spans="1:57" x14ac:dyDescent="0.25">
      <c r="A322" s="64" t="s">
        <v>280</v>
      </c>
      <c r="B322" s="64" t="s">
        <v>287</v>
      </c>
      <c r="C322" s="65" t="s">
        <v>2101</v>
      </c>
      <c r="D322" s="66">
        <v>3</v>
      </c>
      <c r="E322" s="67"/>
      <c r="F322" s="68">
        <v>40</v>
      </c>
      <c r="G322" s="65"/>
      <c r="H322" s="69"/>
      <c r="I322" s="70"/>
      <c r="J322" s="70"/>
      <c r="K322" s="35" t="s">
        <v>65</v>
      </c>
      <c r="L322" s="77">
        <v>322</v>
      </c>
      <c r="M32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22" s="72"/>
      <c r="O322" s="79" t="s">
        <v>337</v>
      </c>
      <c r="P322" s="81">
        <v>44406.966400462959</v>
      </c>
      <c r="Q322" s="79" t="s">
        <v>373</v>
      </c>
      <c r="R322" s="79"/>
      <c r="S322" s="79"/>
      <c r="T322" s="85" t="s">
        <v>461</v>
      </c>
      <c r="U322" s="83" t="str">
        <f>HYPERLINK("https://pbs.twimg.com/media/E7fhzF6XsAAoddH.jpg")</f>
        <v>https://pbs.twimg.com/media/E7fhzF6XsAAoddH.jpg</v>
      </c>
      <c r="V322" s="83" t="str">
        <f>HYPERLINK("https://pbs.twimg.com/media/E7fhzF6XsAAoddH.jpg")</f>
        <v>https://pbs.twimg.com/media/E7fhzF6XsAAoddH.jpg</v>
      </c>
      <c r="W322" s="81">
        <v>44406.966400462959</v>
      </c>
      <c r="X322" s="87">
        <v>44406</v>
      </c>
      <c r="Y322" s="85" t="s">
        <v>593</v>
      </c>
      <c r="Z322" s="83" t="str">
        <f>HYPERLINK("https://twitter.com/tlharnisch/status/1420884747157446657")</f>
        <v>https://twitter.com/tlharnisch/status/1420884747157446657</v>
      </c>
      <c r="AA322" s="79"/>
      <c r="AB322" s="79"/>
      <c r="AC322" s="85" t="s">
        <v>773</v>
      </c>
      <c r="AD322" s="79"/>
      <c r="AE322" s="79" t="b">
        <v>0</v>
      </c>
      <c r="AF322" s="79">
        <v>0</v>
      </c>
      <c r="AG322" s="85" t="s">
        <v>867</v>
      </c>
      <c r="AH322" s="79" t="b">
        <v>0</v>
      </c>
      <c r="AI322" s="79" t="s">
        <v>874</v>
      </c>
      <c r="AJ322" s="79"/>
      <c r="AK322" s="85" t="s">
        <v>867</v>
      </c>
      <c r="AL322" s="79" t="b">
        <v>0</v>
      </c>
      <c r="AM322" s="79">
        <v>14</v>
      </c>
      <c r="AN322" s="85" t="s">
        <v>851</v>
      </c>
      <c r="AO322" s="85" t="s">
        <v>882</v>
      </c>
      <c r="AP322" s="79" t="b">
        <v>0</v>
      </c>
      <c r="AQ322" s="85" t="s">
        <v>851</v>
      </c>
      <c r="AR322" s="79" t="s">
        <v>177</v>
      </c>
      <c r="AS322" s="79">
        <v>0</v>
      </c>
      <c r="AT322" s="79">
        <v>0</v>
      </c>
      <c r="AU322" s="79"/>
      <c r="AV322" s="79"/>
      <c r="AW322" s="79"/>
      <c r="AX322" s="79"/>
      <c r="AY322" s="79"/>
      <c r="AZ322" s="79"/>
      <c r="BA322" s="79"/>
      <c r="BB322" s="79"/>
      <c r="BC322">
        <v>1</v>
      </c>
      <c r="BD322" s="78" t="str">
        <f>REPLACE(INDEX(GroupVertices[Group], MATCH(Edges[[#This Row],[Vertex 1]],GroupVertices[Vertex],0)),1,1,"")</f>
        <v>1</v>
      </c>
      <c r="BE322" s="78" t="str">
        <f>REPLACE(INDEX(GroupVertices[Group], MATCH(Edges[[#This Row],[Vertex 2]],GroupVertices[Vertex],0)),1,1,"")</f>
        <v>1</v>
      </c>
    </row>
    <row r="323" spans="1:57" x14ac:dyDescent="0.25">
      <c r="A323" s="64" t="s">
        <v>281</v>
      </c>
      <c r="B323" s="64" t="s">
        <v>287</v>
      </c>
      <c r="C323" s="65" t="s">
        <v>2101</v>
      </c>
      <c r="D323" s="66">
        <v>3</v>
      </c>
      <c r="E323" s="67"/>
      <c r="F323" s="68">
        <v>40</v>
      </c>
      <c r="G323" s="65"/>
      <c r="H323" s="69"/>
      <c r="I323" s="70"/>
      <c r="J323" s="70"/>
      <c r="K323" s="35" t="s">
        <v>65</v>
      </c>
      <c r="L323" s="77">
        <v>323</v>
      </c>
      <c r="M32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23" s="72"/>
      <c r="O323" s="79" t="s">
        <v>338</v>
      </c>
      <c r="P323" s="81">
        <v>44406.986979166664</v>
      </c>
      <c r="Q323" s="79" t="s">
        <v>365</v>
      </c>
      <c r="R323" s="79"/>
      <c r="S323" s="79"/>
      <c r="T323" s="85" t="s">
        <v>461</v>
      </c>
      <c r="U323" s="83" t="str">
        <f>HYPERLINK("https://pbs.twimg.com/ext_tw_video_thumb/1420560954690088965/pu/img/mw30pB3lQf5fmFQ8.jpg")</f>
        <v>https://pbs.twimg.com/ext_tw_video_thumb/1420560954690088965/pu/img/mw30pB3lQf5fmFQ8.jpg</v>
      </c>
      <c r="V323" s="83" t="str">
        <f>HYPERLINK("https://pbs.twimg.com/ext_tw_video_thumb/1420560954690088965/pu/img/mw30pB3lQf5fmFQ8.jpg")</f>
        <v>https://pbs.twimg.com/ext_tw_video_thumb/1420560954690088965/pu/img/mw30pB3lQf5fmFQ8.jpg</v>
      </c>
      <c r="W323" s="81">
        <v>44406.986979166664</v>
      </c>
      <c r="X323" s="87">
        <v>44406</v>
      </c>
      <c r="Y323" s="85" t="s">
        <v>594</v>
      </c>
      <c r="Z323" s="83" t="str">
        <f>HYPERLINK("https://twitter.com/divinelyteressa/status/1420892207108825094")</f>
        <v>https://twitter.com/divinelyteressa/status/1420892207108825094</v>
      </c>
      <c r="AA323" s="79"/>
      <c r="AB323" s="79"/>
      <c r="AC323" s="85" t="s">
        <v>774</v>
      </c>
      <c r="AD323" s="79"/>
      <c r="AE323" s="79" t="b">
        <v>0</v>
      </c>
      <c r="AF323" s="79">
        <v>0</v>
      </c>
      <c r="AG323" s="85" t="s">
        <v>867</v>
      </c>
      <c r="AH323" s="79" t="b">
        <v>0</v>
      </c>
      <c r="AI323" s="79" t="s">
        <v>874</v>
      </c>
      <c r="AJ323" s="79"/>
      <c r="AK323" s="85" t="s">
        <v>867</v>
      </c>
      <c r="AL323" s="79" t="b">
        <v>0</v>
      </c>
      <c r="AM323" s="79">
        <v>8</v>
      </c>
      <c r="AN323" s="85" t="s">
        <v>784</v>
      </c>
      <c r="AO323" s="85" t="s">
        <v>883</v>
      </c>
      <c r="AP323" s="79" t="b">
        <v>0</v>
      </c>
      <c r="AQ323" s="85" t="s">
        <v>784</v>
      </c>
      <c r="AR323" s="79" t="s">
        <v>177</v>
      </c>
      <c r="AS323" s="79">
        <v>0</v>
      </c>
      <c r="AT323" s="79">
        <v>0</v>
      </c>
      <c r="AU323" s="79"/>
      <c r="AV323" s="79"/>
      <c r="AW323" s="79"/>
      <c r="AX323" s="79"/>
      <c r="AY323" s="79"/>
      <c r="AZ323" s="79"/>
      <c r="BA323" s="79"/>
      <c r="BB323" s="79"/>
      <c r="BC323">
        <v>1</v>
      </c>
      <c r="BD323" s="78" t="str">
        <f>REPLACE(INDEX(GroupVertices[Group], MATCH(Edges[[#This Row],[Vertex 1]],GroupVertices[Vertex],0)),1,1,"")</f>
        <v>1</v>
      </c>
      <c r="BE323" s="78" t="str">
        <f>REPLACE(INDEX(GroupVertices[Group], MATCH(Edges[[#This Row],[Vertex 2]],GroupVertices[Vertex],0)),1,1,"")</f>
        <v>1</v>
      </c>
    </row>
    <row r="324" spans="1:57" x14ac:dyDescent="0.25">
      <c r="A324" s="64" t="s">
        <v>282</v>
      </c>
      <c r="B324" s="64" t="s">
        <v>287</v>
      </c>
      <c r="C324" s="65" t="s">
        <v>2101</v>
      </c>
      <c r="D324" s="66">
        <v>3</v>
      </c>
      <c r="E324" s="67"/>
      <c r="F324" s="68">
        <v>40</v>
      </c>
      <c r="G324" s="65"/>
      <c r="H324" s="69"/>
      <c r="I324" s="70"/>
      <c r="J324" s="70"/>
      <c r="K324" s="35" t="s">
        <v>65</v>
      </c>
      <c r="L324" s="77">
        <v>324</v>
      </c>
      <c r="M32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24" s="72"/>
      <c r="O324" s="79" t="s">
        <v>338</v>
      </c>
      <c r="P324" s="81">
        <v>44407.096400462964</v>
      </c>
      <c r="Q324" s="79" t="s">
        <v>365</v>
      </c>
      <c r="R324" s="79"/>
      <c r="S324" s="79"/>
      <c r="T324" s="85" t="s">
        <v>461</v>
      </c>
      <c r="U324" s="83" t="str">
        <f>HYPERLINK("https://pbs.twimg.com/ext_tw_video_thumb/1420560954690088965/pu/img/mw30pB3lQf5fmFQ8.jpg")</f>
        <v>https://pbs.twimg.com/ext_tw_video_thumb/1420560954690088965/pu/img/mw30pB3lQf5fmFQ8.jpg</v>
      </c>
      <c r="V324" s="83" t="str">
        <f>HYPERLINK("https://pbs.twimg.com/ext_tw_video_thumb/1420560954690088965/pu/img/mw30pB3lQf5fmFQ8.jpg")</f>
        <v>https://pbs.twimg.com/ext_tw_video_thumb/1420560954690088965/pu/img/mw30pB3lQf5fmFQ8.jpg</v>
      </c>
      <c r="W324" s="81">
        <v>44407.096400462964</v>
      </c>
      <c r="X324" s="87">
        <v>44407</v>
      </c>
      <c r="Y324" s="85" t="s">
        <v>595</v>
      </c>
      <c r="Z324" s="83" t="str">
        <f>HYPERLINK("https://twitter.com/socanderstacey/status/1420931858834104324")</f>
        <v>https://twitter.com/socanderstacey/status/1420931858834104324</v>
      </c>
      <c r="AA324" s="79"/>
      <c r="AB324" s="79"/>
      <c r="AC324" s="85" t="s">
        <v>775</v>
      </c>
      <c r="AD324" s="79"/>
      <c r="AE324" s="79" t="b">
        <v>0</v>
      </c>
      <c r="AF324" s="79">
        <v>0</v>
      </c>
      <c r="AG324" s="85" t="s">
        <v>867</v>
      </c>
      <c r="AH324" s="79" t="b">
        <v>0</v>
      </c>
      <c r="AI324" s="79" t="s">
        <v>874</v>
      </c>
      <c r="AJ324" s="79"/>
      <c r="AK324" s="85" t="s">
        <v>867</v>
      </c>
      <c r="AL324" s="79" t="b">
        <v>0</v>
      </c>
      <c r="AM324" s="79">
        <v>8</v>
      </c>
      <c r="AN324" s="85" t="s">
        <v>784</v>
      </c>
      <c r="AO324" s="85" t="s">
        <v>883</v>
      </c>
      <c r="AP324" s="79" t="b">
        <v>0</v>
      </c>
      <c r="AQ324" s="85" t="s">
        <v>784</v>
      </c>
      <c r="AR324" s="79" t="s">
        <v>177</v>
      </c>
      <c r="AS324" s="79">
        <v>0</v>
      </c>
      <c r="AT324" s="79">
        <v>0</v>
      </c>
      <c r="AU324" s="79"/>
      <c r="AV324" s="79"/>
      <c r="AW324" s="79"/>
      <c r="AX324" s="79"/>
      <c r="AY324" s="79"/>
      <c r="AZ324" s="79"/>
      <c r="BA324" s="79"/>
      <c r="BB324" s="79"/>
      <c r="BC324">
        <v>1</v>
      </c>
      <c r="BD324" s="78" t="str">
        <f>REPLACE(INDEX(GroupVertices[Group], MATCH(Edges[[#This Row],[Vertex 1]],GroupVertices[Vertex],0)),1,1,"")</f>
        <v>1</v>
      </c>
      <c r="BE324" s="78" t="str">
        <f>REPLACE(INDEX(GroupVertices[Group], MATCH(Edges[[#This Row],[Vertex 2]],GroupVertices[Vertex],0)),1,1,"")</f>
        <v>1</v>
      </c>
    </row>
    <row r="325" spans="1:57" x14ac:dyDescent="0.25">
      <c r="A325" s="64" t="s">
        <v>283</v>
      </c>
      <c r="B325" s="64" t="s">
        <v>287</v>
      </c>
      <c r="C325" s="65" t="s">
        <v>2101</v>
      </c>
      <c r="D325" s="66">
        <v>3</v>
      </c>
      <c r="E325" s="67"/>
      <c r="F325" s="68">
        <v>40</v>
      </c>
      <c r="G325" s="65"/>
      <c r="H325" s="69"/>
      <c r="I325" s="70"/>
      <c r="J325" s="70"/>
      <c r="K325" s="35" t="s">
        <v>65</v>
      </c>
      <c r="L325" s="77">
        <v>325</v>
      </c>
      <c r="M32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25" s="72"/>
      <c r="O325" s="79" t="s">
        <v>337</v>
      </c>
      <c r="P325" s="81">
        <v>44407.646527777775</v>
      </c>
      <c r="Q325" s="79" t="s">
        <v>373</v>
      </c>
      <c r="R325" s="79"/>
      <c r="S325" s="79"/>
      <c r="T325" s="85" t="s">
        <v>461</v>
      </c>
      <c r="U325" s="83" t="str">
        <f t="shared" ref="U325:V327" si="12">HYPERLINK("https://pbs.twimg.com/media/E7fhzF6XsAAoddH.jpg")</f>
        <v>https://pbs.twimg.com/media/E7fhzF6XsAAoddH.jpg</v>
      </c>
      <c r="V325" s="83" t="str">
        <f t="shared" si="12"/>
        <v>https://pbs.twimg.com/media/E7fhzF6XsAAoddH.jpg</v>
      </c>
      <c r="W325" s="81">
        <v>44407.646527777775</v>
      </c>
      <c r="X325" s="87">
        <v>44407</v>
      </c>
      <c r="Y325" s="85" t="s">
        <v>596</v>
      </c>
      <c r="Z325" s="83" t="str">
        <f>HYPERLINK("https://twitter.com/msn100ms46/status/1421131218402246657")</f>
        <v>https://twitter.com/msn100ms46/status/1421131218402246657</v>
      </c>
      <c r="AA325" s="79"/>
      <c r="AB325" s="79"/>
      <c r="AC325" s="85" t="s">
        <v>776</v>
      </c>
      <c r="AD325" s="79"/>
      <c r="AE325" s="79" t="b">
        <v>0</v>
      </c>
      <c r="AF325" s="79">
        <v>0</v>
      </c>
      <c r="AG325" s="85" t="s">
        <v>867</v>
      </c>
      <c r="AH325" s="79" t="b">
        <v>0</v>
      </c>
      <c r="AI325" s="79" t="s">
        <v>874</v>
      </c>
      <c r="AJ325" s="79"/>
      <c r="AK325" s="85" t="s">
        <v>867</v>
      </c>
      <c r="AL325" s="79" t="b">
        <v>0</v>
      </c>
      <c r="AM325" s="79">
        <v>14</v>
      </c>
      <c r="AN325" s="85" t="s">
        <v>851</v>
      </c>
      <c r="AO325" s="85" t="s">
        <v>883</v>
      </c>
      <c r="AP325" s="79" t="b">
        <v>0</v>
      </c>
      <c r="AQ325" s="85" t="s">
        <v>851</v>
      </c>
      <c r="AR325" s="79" t="s">
        <v>177</v>
      </c>
      <c r="AS325" s="79">
        <v>0</v>
      </c>
      <c r="AT325" s="79">
        <v>0</v>
      </c>
      <c r="AU325" s="79"/>
      <c r="AV325" s="79"/>
      <c r="AW325" s="79"/>
      <c r="AX325" s="79"/>
      <c r="AY325" s="79"/>
      <c r="AZ325" s="79"/>
      <c r="BA325" s="79"/>
      <c r="BB325" s="79"/>
      <c r="BC325">
        <v>1</v>
      </c>
      <c r="BD325" s="78" t="str">
        <f>REPLACE(INDEX(GroupVertices[Group], MATCH(Edges[[#This Row],[Vertex 1]],GroupVertices[Vertex],0)),1,1,"")</f>
        <v>1</v>
      </c>
      <c r="BE325" s="78" t="str">
        <f>REPLACE(INDEX(GroupVertices[Group], MATCH(Edges[[#This Row],[Vertex 2]],GroupVertices[Vertex],0)),1,1,"")</f>
        <v>1</v>
      </c>
    </row>
    <row r="326" spans="1:57" x14ac:dyDescent="0.25">
      <c r="A326" s="64" t="s">
        <v>290</v>
      </c>
      <c r="B326" s="64" t="s">
        <v>287</v>
      </c>
      <c r="C326" s="65" t="s">
        <v>2101</v>
      </c>
      <c r="D326" s="66">
        <v>3</v>
      </c>
      <c r="E326" s="67"/>
      <c r="F326" s="68">
        <v>40</v>
      </c>
      <c r="G326" s="65"/>
      <c r="H326" s="69"/>
      <c r="I326" s="70"/>
      <c r="J326" s="70"/>
      <c r="K326" s="35" t="s">
        <v>65</v>
      </c>
      <c r="L326" s="77">
        <v>326</v>
      </c>
      <c r="M32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26" s="72"/>
      <c r="O326" s="79" t="s">
        <v>337</v>
      </c>
      <c r="P326" s="81">
        <v>44407.769409722219</v>
      </c>
      <c r="Q326" s="79" t="s">
        <v>373</v>
      </c>
      <c r="R326" s="79"/>
      <c r="S326" s="79"/>
      <c r="T326" s="85" t="s">
        <v>461</v>
      </c>
      <c r="U326" s="83" t="str">
        <f t="shared" si="12"/>
        <v>https://pbs.twimg.com/media/E7fhzF6XsAAoddH.jpg</v>
      </c>
      <c r="V326" s="83" t="str">
        <f t="shared" si="12"/>
        <v>https://pbs.twimg.com/media/E7fhzF6XsAAoddH.jpg</v>
      </c>
      <c r="W326" s="81">
        <v>44407.769409722219</v>
      </c>
      <c r="X326" s="87">
        <v>44407</v>
      </c>
      <c r="Y326" s="85" t="s">
        <v>625</v>
      </c>
      <c r="Z326" s="83" t="str">
        <f>HYPERLINK("https://twitter.com/444sai/status/1421175748602126336")</f>
        <v>https://twitter.com/444sai/status/1421175748602126336</v>
      </c>
      <c r="AA326" s="79"/>
      <c r="AB326" s="79"/>
      <c r="AC326" s="85" t="s">
        <v>805</v>
      </c>
      <c r="AD326" s="79"/>
      <c r="AE326" s="79" t="b">
        <v>0</v>
      </c>
      <c r="AF326" s="79">
        <v>0</v>
      </c>
      <c r="AG326" s="85" t="s">
        <v>867</v>
      </c>
      <c r="AH326" s="79" t="b">
        <v>0</v>
      </c>
      <c r="AI326" s="79" t="s">
        <v>874</v>
      </c>
      <c r="AJ326" s="79"/>
      <c r="AK326" s="85" t="s">
        <v>867</v>
      </c>
      <c r="AL326" s="79" t="b">
        <v>0</v>
      </c>
      <c r="AM326" s="79">
        <v>14</v>
      </c>
      <c r="AN326" s="85" t="s">
        <v>851</v>
      </c>
      <c r="AO326" s="85" t="s">
        <v>883</v>
      </c>
      <c r="AP326" s="79" t="b">
        <v>0</v>
      </c>
      <c r="AQ326" s="85" t="s">
        <v>851</v>
      </c>
      <c r="AR326" s="79" t="s">
        <v>177</v>
      </c>
      <c r="AS326" s="79">
        <v>0</v>
      </c>
      <c r="AT326" s="79">
        <v>0</v>
      </c>
      <c r="AU326" s="79"/>
      <c r="AV326" s="79"/>
      <c r="AW326" s="79"/>
      <c r="AX326" s="79"/>
      <c r="AY326" s="79"/>
      <c r="AZ326" s="79"/>
      <c r="BA326" s="79"/>
      <c r="BB326" s="79"/>
      <c r="BC326">
        <v>1</v>
      </c>
      <c r="BD326" s="78" t="str">
        <f>REPLACE(INDEX(GroupVertices[Group], MATCH(Edges[[#This Row],[Vertex 1]],GroupVertices[Vertex],0)),1,1,"")</f>
        <v>1</v>
      </c>
      <c r="BE326" s="78" t="str">
        <f>REPLACE(INDEX(GroupVertices[Group], MATCH(Edges[[#This Row],[Vertex 2]],GroupVertices[Vertex],0)),1,1,"")</f>
        <v>1</v>
      </c>
    </row>
    <row r="327" spans="1:57" x14ac:dyDescent="0.25">
      <c r="A327" s="64" t="s">
        <v>293</v>
      </c>
      <c r="B327" s="64" t="s">
        <v>287</v>
      </c>
      <c r="C327" s="65" t="s">
        <v>2101</v>
      </c>
      <c r="D327" s="66">
        <v>3</v>
      </c>
      <c r="E327" s="67"/>
      <c r="F327" s="68">
        <v>40</v>
      </c>
      <c r="G327" s="65"/>
      <c r="H327" s="69"/>
      <c r="I327" s="70"/>
      <c r="J327" s="70"/>
      <c r="K327" s="35" t="s">
        <v>65</v>
      </c>
      <c r="L327" s="77">
        <v>327</v>
      </c>
      <c r="M32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27" s="72"/>
      <c r="O327" s="79" t="s">
        <v>337</v>
      </c>
      <c r="P327" s="81">
        <v>44407.894363425927</v>
      </c>
      <c r="Q327" s="79" t="s">
        <v>373</v>
      </c>
      <c r="R327" s="79"/>
      <c r="S327" s="79"/>
      <c r="T327" s="85" t="s">
        <v>461</v>
      </c>
      <c r="U327" s="83" t="str">
        <f t="shared" si="12"/>
        <v>https://pbs.twimg.com/media/E7fhzF6XsAAoddH.jpg</v>
      </c>
      <c r="V327" s="83" t="str">
        <f t="shared" si="12"/>
        <v>https://pbs.twimg.com/media/E7fhzF6XsAAoddH.jpg</v>
      </c>
      <c r="W327" s="81">
        <v>44407.894363425927</v>
      </c>
      <c r="X327" s="87">
        <v>44407</v>
      </c>
      <c r="Y327" s="85" t="s">
        <v>633</v>
      </c>
      <c r="Z327" s="83" t="str">
        <f>HYPERLINK("https://twitter.com/nikolasvision/status/1421221030736154625")</f>
        <v>https://twitter.com/nikolasvision/status/1421221030736154625</v>
      </c>
      <c r="AA327" s="79"/>
      <c r="AB327" s="79"/>
      <c r="AC327" s="85" t="s">
        <v>813</v>
      </c>
      <c r="AD327" s="79"/>
      <c r="AE327" s="79" t="b">
        <v>0</v>
      </c>
      <c r="AF327" s="79">
        <v>0</v>
      </c>
      <c r="AG327" s="85" t="s">
        <v>867</v>
      </c>
      <c r="AH327" s="79" t="b">
        <v>0</v>
      </c>
      <c r="AI327" s="79" t="s">
        <v>874</v>
      </c>
      <c r="AJ327" s="79"/>
      <c r="AK327" s="85" t="s">
        <v>867</v>
      </c>
      <c r="AL327" s="79" t="b">
        <v>0</v>
      </c>
      <c r="AM327" s="79">
        <v>14</v>
      </c>
      <c r="AN327" s="85" t="s">
        <v>851</v>
      </c>
      <c r="AO327" s="85" t="s">
        <v>882</v>
      </c>
      <c r="AP327" s="79" t="b">
        <v>0</v>
      </c>
      <c r="AQ327" s="85" t="s">
        <v>851</v>
      </c>
      <c r="AR327" s="79" t="s">
        <v>177</v>
      </c>
      <c r="AS327" s="79">
        <v>0</v>
      </c>
      <c r="AT327" s="79">
        <v>0</v>
      </c>
      <c r="AU327" s="79"/>
      <c r="AV327" s="79"/>
      <c r="AW327" s="79"/>
      <c r="AX327" s="79"/>
      <c r="AY327" s="79"/>
      <c r="AZ327" s="79"/>
      <c r="BA327" s="79"/>
      <c r="BB327" s="79"/>
      <c r="BC327">
        <v>1</v>
      </c>
      <c r="BD327" s="78" t="str">
        <f>REPLACE(INDEX(GroupVertices[Group], MATCH(Edges[[#This Row],[Vertex 1]],GroupVertices[Vertex],0)),1,1,"")</f>
        <v>1</v>
      </c>
      <c r="BE327" s="78" t="str">
        <f>REPLACE(INDEX(GroupVertices[Group], MATCH(Edges[[#This Row],[Vertex 2]],GroupVertices[Vertex],0)),1,1,"")</f>
        <v>1</v>
      </c>
    </row>
    <row r="328" spans="1:57" x14ac:dyDescent="0.25">
      <c r="A328" s="64" t="s">
        <v>295</v>
      </c>
      <c r="B328" s="64" t="s">
        <v>287</v>
      </c>
      <c r="C328" s="65" t="s">
        <v>2101</v>
      </c>
      <c r="D328" s="66">
        <v>3</v>
      </c>
      <c r="E328" s="67"/>
      <c r="F328" s="68">
        <v>40</v>
      </c>
      <c r="G328" s="65"/>
      <c r="H328" s="69"/>
      <c r="I328" s="70"/>
      <c r="J328" s="70"/>
      <c r="K328" s="35" t="s">
        <v>65</v>
      </c>
      <c r="L328" s="77">
        <v>328</v>
      </c>
      <c r="M32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28" s="72"/>
      <c r="O328" s="79" t="s">
        <v>338</v>
      </c>
      <c r="P328" s="81">
        <v>44407.924224537041</v>
      </c>
      <c r="Q328" s="79" t="s">
        <v>422</v>
      </c>
      <c r="R328" s="79"/>
      <c r="S328" s="79"/>
      <c r="T328" s="85" t="s">
        <v>461</v>
      </c>
      <c r="U328" s="83" t="str">
        <f>HYPERLINK("https://pbs.twimg.com/ext_tw_video_thumb/1421161154945093639/pu/img/tbrT6qcfoLxlpRkV.jpg")</f>
        <v>https://pbs.twimg.com/ext_tw_video_thumb/1421161154945093639/pu/img/tbrT6qcfoLxlpRkV.jpg</v>
      </c>
      <c r="V328" s="83" t="str">
        <f>HYPERLINK("https://pbs.twimg.com/ext_tw_video_thumb/1421161154945093639/pu/img/tbrT6qcfoLxlpRkV.jpg")</f>
        <v>https://pbs.twimg.com/ext_tw_video_thumb/1421161154945093639/pu/img/tbrT6qcfoLxlpRkV.jpg</v>
      </c>
      <c r="W328" s="81">
        <v>44407.924224537041</v>
      </c>
      <c r="X328" s="87">
        <v>44407</v>
      </c>
      <c r="Y328" s="85" t="s">
        <v>657</v>
      </c>
      <c r="Z328" s="83" t="str">
        <f>HYPERLINK("https://twitter.com/terryluiken/status/1421231854368272384")</f>
        <v>https://twitter.com/terryluiken/status/1421231854368272384</v>
      </c>
      <c r="AA328" s="79"/>
      <c r="AB328" s="79"/>
      <c r="AC328" s="85" t="s">
        <v>837</v>
      </c>
      <c r="AD328" s="79"/>
      <c r="AE328" s="79" t="b">
        <v>0</v>
      </c>
      <c r="AF328" s="79">
        <v>0</v>
      </c>
      <c r="AG328" s="85" t="s">
        <v>867</v>
      </c>
      <c r="AH328" s="79" t="b">
        <v>0</v>
      </c>
      <c r="AI328" s="79" t="s">
        <v>874</v>
      </c>
      <c r="AJ328" s="79"/>
      <c r="AK328" s="85" t="s">
        <v>867</v>
      </c>
      <c r="AL328" s="79" t="b">
        <v>0</v>
      </c>
      <c r="AM328" s="79">
        <v>1</v>
      </c>
      <c r="AN328" s="85" t="s">
        <v>836</v>
      </c>
      <c r="AO328" s="85" t="s">
        <v>883</v>
      </c>
      <c r="AP328" s="79" t="b">
        <v>0</v>
      </c>
      <c r="AQ328" s="85" t="s">
        <v>836</v>
      </c>
      <c r="AR328" s="79" t="s">
        <v>177</v>
      </c>
      <c r="AS328" s="79">
        <v>0</v>
      </c>
      <c r="AT328" s="79">
        <v>0</v>
      </c>
      <c r="AU328" s="79"/>
      <c r="AV328" s="79"/>
      <c r="AW328" s="79"/>
      <c r="AX328" s="79"/>
      <c r="AY328" s="79"/>
      <c r="AZ328" s="79"/>
      <c r="BA328" s="79"/>
      <c r="BB328" s="79"/>
      <c r="BC328">
        <v>1</v>
      </c>
      <c r="BD328" s="78" t="str">
        <f>REPLACE(INDEX(GroupVertices[Group], MATCH(Edges[[#This Row],[Vertex 1]],GroupVertices[Vertex],0)),1,1,"")</f>
        <v>1</v>
      </c>
      <c r="BE328" s="78" t="str">
        <f>REPLACE(INDEX(GroupVertices[Group], MATCH(Edges[[#This Row],[Vertex 2]],GroupVertices[Vertex],0)),1,1,"")</f>
        <v>1</v>
      </c>
    </row>
    <row r="329" spans="1:57" x14ac:dyDescent="0.25">
      <c r="A329" s="64" t="s">
        <v>256</v>
      </c>
      <c r="B329" s="64" t="s">
        <v>308</v>
      </c>
      <c r="C329" s="65" t="s">
        <v>2101</v>
      </c>
      <c r="D329" s="66">
        <v>3</v>
      </c>
      <c r="E329" s="67"/>
      <c r="F329" s="68">
        <v>40</v>
      </c>
      <c r="G329" s="65"/>
      <c r="H329" s="69"/>
      <c r="I329" s="70"/>
      <c r="J329" s="70"/>
      <c r="K329" s="35" t="s">
        <v>65</v>
      </c>
      <c r="L329" s="77">
        <v>329</v>
      </c>
      <c r="M32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29" s="72"/>
      <c r="O329" s="79" t="s">
        <v>339</v>
      </c>
      <c r="P329" s="81">
        <v>44404.867418981485</v>
      </c>
      <c r="Q329" s="79" t="s">
        <v>358</v>
      </c>
      <c r="R329" s="83" t="str">
        <f t="shared" ref="R329:R334" si="13">HYPERLINK("https://twitter.com/_MABurnett/status/1420114213658402821")</f>
        <v>https://twitter.com/_MABurnett/status/1420114213658402821</v>
      </c>
      <c r="S329" s="79" t="s">
        <v>449</v>
      </c>
      <c r="T329" s="85" t="s">
        <v>461</v>
      </c>
      <c r="U329" s="79"/>
      <c r="V329" s="83" t="str">
        <f>HYPERLINK("https://pbs.twimg.com/profile_images/694541205259042818/QcSFzUsp_normal.png")</f>
        <v>https://pbs.twimg.com/profile_images/694541205259042818/QcSFzUsp_normal.png</v>
      </c>
      <c r="W329" s="81">
        <v>44404.867418981485</v>
      </c>
      <c r="X329" s="87">
        <v>44404</v>
      </c>
      <c r="Y329" s="85" t="s">
        <v>551</v>
      </c>
      <c r="Z329" s="83" t="str">
        <f>HYPERLINK("https://twitter.com/mcnairunc/status/1420124103806234635")</f>
        <v>https://twitter.com/mcnairunc/status/1420124103806234635</v>
      </c>
      <c r="AA329" s="79"/>
      <c r="AB329" s="79"/>
      <c r="AC329" s="85" t="s">
        <v>730</v>
      </c>
      <c r="AD329" s="79"/>
      <c r="AE329" s="79" t="b">
        <v>0</v>
      </c>
      <c r="AF329" s="79">
        <v>35</v>
      </c>
      <c r="AG329" s="85" t="s">
        <v>867</v>
      </c>
      <c r="AH329" s="79" t="b">
        <v>1</v>
      </c>
      <c r="AI329" s="79" t="s">
        <v>874</v>
      </c>
      <c r="AJ329" s="79"/>
      <c r="AK329" s="85" t="s">
        <v>736</v>
      </c>
      <c r="AL329" s="79" t="b">
        <v>0</v>
      </c>
      <c r="AM329" s="79">
        <v>5</v>
      </c>
      <c r="AN329" s="85" t="s">
        <v>867</v>
      </c>
      <c r="AO329" s="85" t="s">
        <v>882</v>
      </c>
      <c r="AP329" s="79" t="b">
        <v>0</v>
      </c>
      <c r="AQ329" s="85" t="s">
        <v>730</v>
      </c>
      <c r="AR329" s="79" t="s">
        <v>177</v>
      </c>
      <c r="AS329" s="79">
        <v>0</v>
      </c>
      <c r="AT329" s="79">
        <v>0</v>
      </c>
      <c r="AU329" s="79"/>
      <c r="AV329" s="79"/>
      <c r="AW329" s="79"/>
      <c r="AX329" s="79"/>
      <c r="AY329" s="79"/>
      <c r="AZ329" s="79"/>
      <c r="BA329" s="79"/>
      <c r="BB329" s="79"/>
      <c r="BC329">
        <v>1</v>
      </c>
      <c r="BD329" s="78" t="str">
        <f>REPLACE(INDEX(GroupVertices[Group], MATCH(Edges[[#This Row],[Vertex 1]],GroupVertices[Vertex],0)),1,1,"")</f>
        <v>2</v>
      </c>
      <c r="BE329" s="78" t="str">
        <f>REPLACE(INDEX(GroupVertices[Group], MATCH(Edges[[#This Row],[Vertex 2]],GroupVertices[Vertex],0)),1,1,"")</f>
        <v>2</v>
      </c>
    </row>
    <row r="330" spans="1:57" x14ac:dyDescent="0.25">
      <c r="A330" s="64" t="s">
        <v>257</v>
      </c>
      <c r="B330" s="64" t="s">
        <v>308</v>
      </c>
      <c r="C330" s="65" t="s">
        <v>2101</v>
      </c>
      <c r="D330" s="66">
        <v>3</v>
      </c>
      <c r="E330" s="67"/>
      <c r="F330" s="68">
        <v>40</v>
      </c>
      <c r="G330" s="65"/>
      <c r="H330" s="69"/>
      <c r="I330" s="70"/>
      <c r="J330" s="70"/>
      <c r="K330" s="35" t="s">
        <v>65</v>
      </c>
      <c r="L330" s="77">
        <v>330</v>
      </c>
      <c r="M33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30" s="72"/>
      <c r="O330" s="79" t="s">
        <v>337</v>
      </c>
      <c r="P330" s="81">
        <v>44404.872256944444</v>
      </c>
      <c r="Q330" s="79" t="s">
        <v>358</v>
      </c>
      <c r="R330" s="83" t="str">
        <f t="shared" si="13"/>
        <v>https://twitter.com/_MABurnett/status/1420114213658402821</v>
      </c>
      <c r="S330" s="79" t="s">
        <v>449</v>
      </c>
      <c r="T330" s="85" t="s">
        <v>461</v>
      </c>
      <c r="U330" s="79"/>
      <c r="V330" s="83" t="str">
        <f>HYPERLINK("https://pbs.twimg.com/profile_images/1097350935356063744/0kWU7Jqp_normal.jpg")</f>
        <v>https://pbs.twimg.com/profile_images/1097350935356063744/0kWU7Jqp_normal.jpg</v>
      </c>
      <c r="W330" s="81">
        <v>44404.872256944444</v>
      </c>
      <c r="X330" s="87">
        <v>44404</v>
      </c>
      <c r="Y330" s="85" t="s">
        <v>552</v>
      </c>
      <c r="Z330" s="83" t="str">
        <f>HYPERLINK("https://twitter.com/_maburnett/status/1420125856312221701")</f>
        <v>https://twitter.com/_maburnett/status/1420125856312221701</v>
      </c>
      <c r="AA330" s="79"/>
      <c r="AB330" s="79"/>
      <c r="AC330" s="85" t="s">
        <v>731</v>
      </c>
      <c r="AD330" s="79"/>
      <c r="AE330" s="79" t="b">
        <v>0</v>
      </c>
      <c r="AF330" s="79">
        <v>0</v>
      </c>
      <c r="AG330" s="85" t="s">
        <v>867</v>
      </c>
      <c r="AH330" s="79" t="b">
        <v>1</v>
      </c>
      <c r="AI330" s="79" t="s">
        <v>874</v>
      </c>
      <c r="AJ330" s="79"/>
      <c r="AK330" s="85" t="s">
        <v>736</v>
      </c>
      <c r="AL330" s="79" t="b">
        <v>0</v>
      </c>
      <c r="AM330" s="79">
        <v>5</v>
      </c>
      <c r="AN330" s="85" t="s">
        <v>730</v>
      </c>
      <c r="AO330" s="85" t="s">
        <v>883</v>
      </c>
      <c r="AP330" s="79" t="b">
        <v>0</v>
      </c>
      <c r="AQ330" s="85" t="s">
        <v>730</v>
      </c>
      <c r="AR330" s="79" t="s">
        <v>177</v>
      </c>
      <c r="AS330" s="79">
        <v>0</v>
      </c>
      <c r="AT330" s="79">
        <v>0</v>
      </c>
      <c r="AU330" s="79"/>
      <c r="AV330" s="79"/>
      <c r="AW330" s="79"/>
      <c r="AX330" s="79"/>
      <c r="AY330" s="79"/>
      <c r="AZ330" s="79"/>
      <c r="BA330" s="79"/>
      <c r="BB330" s="79"/>
      <c r="BC330">
        <v>1</v>
      </c>
      <c r="BD330" s="78" t="str">
        <f>REPLACE(INDEX(GroupVertices[Group], MATCH(Edges[[#This Row],[Vertex 1]],GroupVertices[Vertex],0)),1,1,"")</f>
        <v>2</v>
      </c>
      <c r="BE330" s="78" t="str">
        <f>REPLACE(INDEX(GroupVertices[Group], MATCH(Edges[[#This Row],[Vertex 2]],GroupVertices[Vertex],0)),1,1,"")</f>
        <v>2</v>
      </c>
    </row>
    <row r="331" spans="1:57" x14ac:dyDescent="0.25">
      <c r="A331" s="64" t="s">
        <v>243</v>
      </c>
      <c r="B331" s="64" t="s">
        <v>308</v>
      </c>
      <c r="C331" s="65" t="s">
        <v>2101</v>
      </c>
      <c r="D331" s="66">
        <v>3</v>
      </c>
      <c r="E331" s="67"/>
      <c r="F331" s="68">
        <v>40</v>
      </c>
      <c r="G331" s="65"/>
      <c r="H331" s="69"/>
      <c r="I331" s="70"/>
      <c r="J331" s="70"/>
      <c r="K331" s="35" t="s">
        <v>65</v>
      </c>
      <c r="L331" s="77">
        <v>331</v>
      </c>
      <c r="M33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31" s="72"/>
      <c r="O331" s="79" t="s">
        <v>337</v>
      </c>
      <c r="P331" s="81">
        <v>44404.98777777778</v>
      </c>
      <c r="Q331" s="79" t="s">
        <v>358</v>
      </c>
      <c r="R331" s="83" t="str">
        <f t="shared" si="13"/>
        <v>https://twitter.com/_MABurnett/status/1420114213658402821</v>
      </c>
      <c r="S331" s="79" t="s">
        <v>449</v>
      </c>
      <c r="T331" s="85" t="s">
        <v>461</v>
      </c>
      <c r="U331" s="79"/>
      <c r="V331" s="83" t="str">
        <f>HYPERLINK("https://pbs.twimg.com/profile_images/1397201966644830209/6IwLm778_normal.jpg")</f>
        <v>https://pbs.twimg.com/profile_images/1397201966644830209/6IwLm778_normal.jpg</v>
      </c>
      <c r="W331" s="81">
        <v>44404.98777777778</v>
      </c>
      <c r="X331" s="87">
        <v>44404</v>
      </c>
      <c r="Y331" s="85" t="s">
        <v>537</v>
      </c>
      <c r="Z331" s="83" t="str">
        <f>HYPERLINK("https://twitter.com/miajanai_/status/1420167720784515080")</f>
        <v>https://twitter.com/miajanai_/status/1420167720784515080</v>
      </c>
      <c r="AA331" s="79"/>
      <c r="AB331" s="79"/>
      <c r="AC331" s="85" t="s">
        <v>714</v>
      </c>
      <c r="AD331" s="79"/>
      <c r="AE331" s="79" t="b">
        <v>0</v>
      </c>
      <c r="AF331" s="79">
        <v>0</v>
      </c>
      <c r="AG331" s="85" t="s">
        <v>867</v>
      </c>
      <c r="AH331" s="79" t="b">
        <v>1</v>
      </c>
      <c r="AI331" s="79" t="s">
        <v>874</v>
      </c>
      <c r="AJ331" s="79"/>
      <c r="AK331" s="85" t="s">
        <v>736</v>
      </c>
      <c r="AL331" s="79" t="b">
        <v>0</v>
      </c>
      <c r="AM331" s="79">
        <v>5</v>
      </c>
      <c r="AN331" s="85" t="s">
        <v>730</v>
      </c>
      <c r="AO331" s="85" t="s">
        <v>883</v>
      </c>
      <c r="AP331" s="79" t="b">
        <v>0</v>
      </c>
      <c r="AQ331" s="85" t="s">
        <v>730</v>
      </c>
      <c r="AR331" s="79" t="s">
        <v>177</v>
      </c>
      <c r="AS331" s="79">
        <v>0</v>
      </c>
      <c r="AT331" s="79">
        <v>0</v>
      </c>
      <c r="AU331" s="79"/>
      <c r="AV331" s="79"/>
      <c r="AW331" s="79"/>
      <c r="AX331" s="79"/>
      <c r="AY331" s="79"/>
      <c r="AZ331" s="79"/>
      <c r="BA331" s="79"/>
      <c r="BB331" s="79"/>
      <c r="BC331">
        <v>1</v>
      </c>
      <c r="BD331" s="78" t="str">
        <f>REPLACE(INDEX(GroupVertices[Group], MATCH(Edges[[#This Row],[Vertex 1]],GroupVertices[Vertex],0)),1,1,"")</f>
        <v>2</v>
      </c>
      <c r="BE331" s="78" t="str">
        <f>REPLACE(INDEX(GroupVertices[Group], MATCH(Edges[[#This Row],[Vertex 2]],GroupVertices[Vertex],0)),1,1,"")</f>
        <v>2</v>
      </c>
    </row>
    <row r="332" spans="1:57" x14ac:dyDescent="0.25">
      <c r="A332" s="64" t="s">
        <v>246</v>
      </c>
      <c r="B332" s="64" t="s">
        <v>308</v>
      </c>
      <c r="C332" s="65" t="s">
        <v>2101</v>
      </c>
      <c r="D332" s="66">
        <v>3</v>
      </c>
      <c r="E332" s="67"/>
      <c r="F332" s="68">
        <v>40</v>
      </c>
      <c r="G332" s="65"/>
      <c r="H332" s="69"/>
      <c r="I332" s="70"/>
      <c r="J332" s="70"/>
      <c r="K332" s="35" t="s">
        <v>65</v>
      </c>
      <c r="L332" s="77">
        <v>332</v>
      </c>
      <c r="M33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32" s="72"/>
      <c r="O332" s="79" t="s">
        <v>337</v>
      </c>
      <c r="P332" s="81">
        <v>44405.043622685182</v>
      </c>
      <c r="Q332" s="79" t="s">
        <v>358</v>
      </c>
      <c r="R332" s="83" t="str">
        <f t="shared" si="13"/>
        <v>https://twitter.com/_MABurnett/status/1420114213658402821</v>
      </c>
      <c r="S332" s="79" t="s">
        <v>449</v>
      </c>
      <c r="T332" s="85" t="s">
        <v>461</v>
      </c>
      <c r="U332" s="79"/>
      <c r="V332" s="83" t="str">
        <f>HYPERLINK("https://pbs.twimg.com/profile_images/1149100954437869568/ADya6w5m_normal.jpg")</f>
        <v>https://pbs.twimg.com/profile_images/1149100954437869568/ADya6w5m_normal.jpg</v>
      </c>
      <c r="W332" s="81">
        <v>44405.043622685182</v>
      </c>
      <c r="X332" s="87">
        <v>44405</v>
      </c>
      <c r="Y332" s="85" t="s">
        <v>541</v>
      </c>
      <c r="Z332" s="83" t="str">
        <f>HYPERLINK("https://twitter.com/logangin/status/1420187958502588417")</f>
        <v>https://twitter.com/logangin/status/1420187958502588417</v>
      </c>
      <c r="AA332" s="79"/>
      <c r="AB332" s="79"/>
      <c r="AC332" s="85" t="s">
        <v>720</v>
      </c>
      <c r="AD332" s="79"/>
      <c r="AE332" s="79" t="b">
        <v>0</v>
      </c>
      <c r="AF332" s="79">
        <v>0</v>
      </c>
      <c r="AG332" s="85" t="s">
        <v>867</v>
      </c>
      <c r="AH332" s="79" t="b">
        <v>1</v>
      </c>
      <c r="AI332" s="79" t="s">
        <v>874</v>
      </c>
      <c r="AJ332" s="79"/>
      <c r="AK332" s="85" t="s">
        <v>736</v>
      </c>
      <c r="AL332" s="79" t="b">
        <v>0</v>
      </c>
      <c r="AM332" s="79">
        <v>5</v>
      </c>
      <c r="AN332" s="85" t="s">
        <v>730</v>
      </c>
      <c r="AO332" s="85" t="s">
        <v>883</v>
      </c>
      <c r="AP332" s="79" t="b">
        <v>0</v>
      </c>
      <c r="AQ332" s="85" t="s">
        <v>730</v>
      </c>
      <c r="AR332" s="79" t="s">
        <v>177</v>
      </c>
      <c r="AS332" s="79">
        <v>0</v>
      </c>
      <c r="AT332" s="79">
        <v>0</v>
      </c>
      <c r="AU332" s="79"/>
      <c r="AV332" s="79"/>
      <c r="AW332" s="79"/>
      <c r="AX332" s="79"/>
      <c r="AY332" s="79"/>
      <c r="AZ332" s="79"/>
      <c r="BA332" s="79"/>
      <c r="BB332" s="79"/>
      <c r="BC332">
        <v>1</v>
      </c>
      <c r="BD332" s="78" t="str">
        <f>REPLACE(INDEX(GroupVertices[Group], MATCH(Edges[[#This Row],[Vertex 1]],GroupVertices[Vertex],0)),1,1,"")</f>
        <v>2</v>
      </c>
      <c r="BE332" s="78" t="str">
        <f>REPLACE(INDEX(GroupVertices[Group], MATCH(Edges[[#This Row],[Vertex 2]],GroupVertices[Vertex],0)),1,1,"")</f>
        <v>2</v>
      </c>
    </row>
    <row r="333" spans="1:57" x14ac:dyDescent="0.25">
      <c r="A333" s="64" t="s">
        <v>254</v>
      </c>
      <c r="B333" s="64" t="s">
        <v>308</v>
      </c>
      <c r="C333" s="65" t="s">
        <v>2101</v>
      </c>
      <c r="D333" s="66">
        <v>3</v>
      </c>
      <c r="E333" s="67"/>
      <c r="F333" s="68">
        <v>40</v>
      </c>
      <c r="G333" s="65"/>
      <c r="H333" s="69"/>
      <c r="I333" s="70"/>
      <c r="J333" s="70"/>
      <c r="K333" s="35" t="s">
        <v>65</v>
      </c>
      <c r="L333" s="77">
        <v>333</v>
      </c>
      <c r="M33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33" s="72"/>
      <c r="O333" s="79" t="s">
        <v>337</v>
      </c>
      <c r="P333" s="81">
        <v>44405.494467592594</v>
      </c>
      <c r="Q333" s="79" t="s">
        <v>358</v>
      </c>
      <c r="R333" s="83" t="str">
        <f t="shared" si="13"/>
        <v>https://twitter.com/_MABurnett/status/1420114213658402821</v>
      </c>
      <c r="S333" s="79" t="s">
        <v>449</v>
      </c>
      <c r="T333" s="85" t="s">
        <v>461</v>
      </c>
      <c r="U333" s="79"/>
      <c r="V333" s="83" t="str">
        <f>HYPERLINK("https://pbs.twimg.com/profile_images/1321252358664454145/7HmMzwjD_normal.jpg")</f>
        <v>https://pbs.twimg.com/profile_images/1321252358664454145/7HmMzwjD_normal.jpg</v>
      </c>
      <c r="W333" s="81">
        <v>44405.494467592594</v>
      </c>
      <c r="X333" s="87">
        <v>44405</v>
      </c>
      <c r="Y333" s="85" t="s">
        <v>549</v>
      </c>
      <c r="Z333" s="83" t="str">
        <f>HYPERLINK("https://twitter.com/ecsuhonors/status/1420351339348074501")</f>
        <v>https://twitter.com/ecsuhonors/status/1420351339348074501</v>
      </c>
      <c r="AA333" s="79"/>
      <c r="AB333" s="79"/>
      <c r="AC333" s="85" t="s">
        <v>728</v>
      </c>
      <c r="AD333" s="79"/>
      <c r="AE333" s="79" t="b">
        <v>0</v>
      </c>
      <c r="AF333" s="79">
        <v>0</v>
      </c>
      <c r="AG333" s="85" t="s">
        <v>867</v>
      </c>
      <c r="AH333" s="79" t="b">
        <v>1</v>
      </c>
      <c r="AI333" s="79" t="s">
        <v>874</v>
      </c>
      <c r="AJ333" s="79"/>
      <c r="AK333" s="85" t="s">
        <v>736</v>
      </c>
      <c r="AL333" s="79" t="b">
        <v>0</v>
      </c>
      <c r="AM333" s="79">
        <v>5</v>
      </c>
      <c r="AN333" s="85" t="s">
        <v>730</v>
      </c>
      <c r="AO333" s="85" t="s">
        <v>882</v>
      </c>
      <c r="AP333" s="79" t="b">
        <v>0</v>
      </c>
      <c r="AQ333" s="85" t="s">
        <v>730</v>
      </c>
      <c r="AR333" s="79" t="s">
        <v>177</v>
      </c>
      <c r="AS333" s="79">
        <v>0</v>
      </c>
      <c r="AT333" s="79">
        <v>0</v>
      </c>
      <c r="AU333" s="79"/>
      <c r="AV333" s="79"/>
      <c r="AW333" s="79"/>
      <c r="AX333" s="79"/>
      <c r="AY333" s="79"/>
      <c r="AZ333" s="79"/>
      <c r="BA333" s="79"/>
      <c r="BB333" s="79"/>
      <c r="BC333">
        <v>1</v>
      </c>
      <c r="BD333" s="78" t="str">
        <f>REPLACE(INDEX(GroupVertices[Group], MATCH(Edges[[#This Row],[Vertex 1]],GroupVertices[Vertex],0)),1,1,"")</f>
        <v>2</v>
      </c>
      <c r="BE333" s="78" t="str">
        <f>REPLACE(INDEX(GroupVertices[Group], MATCH(Edges[[#This Row],[Vertex 2]],GroupVertices[Vertex],0)),1,1,"")</f>
        <v>2</v>
      </c>
    </row>
    <row r="334" spans="1:57" x14ac:dyDescent="0.25">
      <c r="A334" s="64" t="s">
        <v>258</v>
      </c>
      <c r="B334" s="64" t="s">
        <v>308</v>
      </c>
      <c r="C334" s="65" t="s">
        <v>2101</v>
      </c>
      <c r="D334" s="66">
        <v>3</v>
      </c>
      <c r="E334" s="67"/>
      <c r="F334" s="68">
        <v>40</v>
      </c>
      <c r="G334" s="65"/>
      <c r="H334" s="69"/>
      <c r="I334" s="70"/>
      <c r="J334" s="70"/>
      <c r="K334" s="35" t="s">
        <v>65</v>
      </c>
      <c r="L334" s="77">
        <v>334</v>
      </c>
      <c r="M33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34" s="72"/>
      <c r="O334" s="79" t="s">
        <v>337</v>
      </c>
      <c r="P334" s="81">
        <v>44405.530972222223</v>
      </c>
      <c r="Q334" s="79" t="s">
        <v>358</v>
      </c>
      <c r="R334" s="83" t="str">
        <f t="shared" si="13"/>
        <v>https://twitter.com/_MABurnett/status/1420114213658402821</v>
      </c>
      <c r="S334" s="79" t="s">
        <v>449</v>
      </c>
      <c r="T334" s="85" t="s">
        <v>461</v>
      </c>
      <c r="U334" s="79"/>
      <c r="V334" s="83" t="str">
        <f>HYPERLINK("https://pbs.twimg.com/profile_images/616240390400704513/E83Hn7QQ_normal.png")</f>
        <v>https://pbs.twimg.com/profile_images/616240390400704513/E83Hn7QQ_normal.png</v>
      </c>
      <c r="W334" s="81">
        <v>44405.530972222223</v>
      </c>
      <c r="X334" s="87">
        <v>44405</v>
      </c>
      <c r="Y334" s="85" t="s">
        <v>553</v>
      </c>
      <c r="Z334" s="83" t="str">
        <f>HYPERLINK("https://twitter.com/uncpsych/status/1420364565968130048")</f>
        <v>https://twitter.com/uncpsych/status/1420364565968130048</v>
      </c>
      <c r="AA334" s="79"/>
      <c r="AB334" s="79"/>
      <c r="AC334" s="85" t="s">
        <v>732</v>
      </c>
      <c r="AD334" s="79"/>
      <c r="AE334" s="79" t="b">
        <v>0</v>
      </c>
      <c r="AF334" s="79">
        <v>0</v>
      </c>
      <c r="AG334" s="85" t="s">
        <v>867</v>
      </c>
      <c r="AH334" s="79" t="b">
        <v>1</v>
      </c>
      <c r="AI334" s="79" t="s">
        <v>874</v>
      </c>
      <c r="AJ334" s="79"/>
      <c r="AK334" s="85" t="s">
        <v>736</v>
      </c>
      <c r="AL334" s="79" t="b">
        <v>0</v>
      </c>
      <c r="AM334" s="79">
        <v>5</v>
      </c>
      <c r="AN334" s="85" t="s">
        <v>730</v>
      </c>
      <c r="AO334" s="85" t="s">
        <v>882</v>
      </c>
      <c r="AP334" s="79" t="b">
        <v>0</v>
      </c>
      <c r="AQ334" s="85" t="s">
        <v>730</v>
      </c>
      <c r="AR334" s="79" t="s">
        <v>177</v>
      </c>
      <c r="AS334" s="79">
        <v>0</v>
      </c>
      <c r="AT334" s="79">
        <v>0</v>
      </c>
      <c r="AU334" s="79"/>
      <c r="AV334" s="79"/>
      <c r="AW334" s="79"/>
      <c r="AX334" s="79"/>
      <c r="AY334" s="79"/>
      <c r="AZ334" s="79"/>
      <c r="BA334" s="79"/>
      <c r="BB334" s="79"/>
      <c r="BC334">
        <v>1</v>
      </c>
      <c r="BD334" s="78" t="str">
        <f>REPLACE(INDEX(GroupVertices[Group], MATCH(Edges[[#This Row],[Vertex 1]],GroupVertices[Vertex],0)),1,1,"")</f>
        <v>2</v>
      </c>
      <c r="BE334" s="78" t="str">
        <f>REPLACE(INDEX(GroupVertices[Group], MATCH(Edges[[#This Row],[Vertex 2]],GroupVertices[Vertex],0)),1,1,"")</f>
        <v>2</v>
      </c>
    </row>
    <row r="335" spans="1:57" x14ac:dyDescent="0.25">
      <c r="A335" s="64" t="s">
        <v>219</v>
      </c>
      <c r="B335" s="64" t="s">
        <v>218</v>
      </c>
      <c r="C335" s="65" t="s">
        <v>2101</v>
      </c>
      <c r="D335" s="66">
        <v>3</v>
      </c>
      <c r="E335" s="67"/>
      <c r="F335" s="68">
        <v>40</v>
      </c>
      <c r="G335" s="65"/>
      <c r="H335" s="69"/>
      <c r="I335" s="70"/>
      <c r="J335" s="70"/>
      <c r="K335" s="35" t="s">
        <v>66</v>
      </c>
      <c r="L335" s="77">
        <v>335</v>
      </c>
      <c r="M33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35" s="72"/>
      <c r="O335" s="79" t="s">
        <v>338</v>
      </c>
      <c r="P335" s="81">
        <v>44401.802743055552</v>
      </c>
      <c r="Q335" s="79" t="s">
        <v>342</v>
      </c>
      <c r="R335" s="79"/>
      <c r="S335" s="79"/>
      <c r="T335" s="85" t="s">
        <v>461</v>
      </c>
      <c r="U335" s="83" t="str">
        <f>HYPERLINK("https://pbs.twimg.com/media/E7AvFTuWEAIxRbr.jpg")</f>
        <v>https://pbs.twimg.com/media/E7AvFTuWEAIxRbr.jpg</v>
      </c>
      <c r="V335" s="83" t="str">
        <f>HYPERLINK("https://pbs.twimg.com/media/E7AvFTuWEAIxRbr.jpg")</f>
        <v>https://pbs.twimg.com/media/E7AvFTuWEAIxRbr.jpg</v>
      </c>
      <c r="W335" s="81">
        <v>44401.802743055552</v>
      </c>
      <c r="X335" s="87">
        <v>44401</v>
      </c>
      <c r="Y335" s="85" t="s">
        <v>513</v>
      </c>
      <c r="Z335" s="83" t="str">
        <f>HYPERLINK("https://twitter.com/kumcnair/status/1419013502350630914")</f>
        <v>https://twitter.com/kumcnair/status/1419013502350630914</v>
      </c>
      <c r="AA335" s="79"/>
      <c r="AB335" s="79"/>
      <c r="AC335" s="85" t="s">
        <v>689</v>
      </c>
      <c r="AD335" s="79"/>
      <c r="AE335" s="79" t="b">
        <v>0</v>
      </c>
      <c r="AF335" s="79">
        <v>0</v>
      </c>
      <c r="AG335" s="85" t="s">
        <v>867</v>
      </c>
      <c r="AH335" s="79" t="b">
        <v>0</v>
      </c>
      <c r="AI335" s="79" t="s">
        <v>874</v>
      </c>
      <c r="AJ335" s="79"/>
      <c r="AK335" s="85" t="s">
        <v>867</v>
      </c>
      <c r="AL335" s="79" t="b">
        <v>0</v>
      </c>
      <c r="AM335" s="79">
        <v>1</v>
      </c>
      <c r="AN335" s="85" t="s">
        <v>688</v>
      </c>
      <c r="AO335" s="85" t="s">
        <v>882</v>
      </c>
      <c r="AP335" s="79" t="b">
        <v>0</v>
      </c>
      <c r="AQ335" s="85" t="s">
        <v>688</v>
      </c>
      <c r="AR335" s="79" t="s">
        <v>177</v>
      </c>
      <c r="AS335" s="79">
        <v>0</v>
      </c>
      <c r="AT335" s="79">
        <v>0</v>
      </c>
      <c r="AU335" s="79"/>
      <c r="AV335" s="79"/>
      <c r="AW335" s="79"/>
      <c r="AX335" s="79"/>
      <c r="AY335" s="79"/>
      <c r="AZ335" s="79"/>
      <c r="BA335" s="79"/>
      <c r="BB335" s="79"/>
      <c r="BC335">
        <v>1</v>
      </c>
      <c r="BD335" s="78" t="str">
        <f>REPLACE(INDEX(GroupVertices[Group], MATCH(Edges[[#This Row],[Vertex 1]],GroupVertices[Vertex],0)),1,1,"")</f>
        <v>14</v>
      </c>
      <c r="BE335" s="78" t="str">
        <f>REPLACE(INDEX(GroupVertices[Group], MATCH(Edges[[#This Row],[Vertex 2]],GroupVertices[Vertex],0)),1,1,"")</f>
        <v>14</v>
      </c>
    </row>
    <row r="336" spans="1:57" x14ac:dyDescent="0.25">
      <c r="A336" s="64" t="s">
        <v>289</v>
      </c>
      <c r="B336" s="64" t="s">
        <v>330</v>
      </c>
      <c r="C336" s="65" t="s">
        <v>2101</v>
      </c>
      <c r="D336" s="66">
        <v>3</v>
      </c>
      <c r="E336" s="67"/>
      <c r="F336" s="68">
        <v>40</v>
      </c>
      <c r="G336" s="65"/>
      <c r="H336" s="69"/>
      <c r="I336" s="70"/>
      <c r="J336" s="70"/>
      <c r="K336" s="35" t="s">
        <v>65</v>
      </c>
      <c r="L336" s="77">
        <v>336</v>
      </c>
      <c r="M33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36" s="72"/>
      <c r="O336" s="79" t="s">
        <v>339</v>
      </c>
      <c r="P336" s="81">
        <v>44407.767523148148</v>
      </c>
      <c r="Q336" s="79" t="s">
        <v>391</v>
      </c>
      <c r="R336" s="83" t="str">
        <f>HYPERLINK("https://youtu.be/AblrrbQT5AE")</f>
        <v>https://youtu.be/AblrrbQT5AE</v>
      </c>
      <c r="S336" s="79" t="s">
        <v>454</v>
      </c>
      <c r="T336" s="85" t="s">
        <v>461</v>
      </c>
      <c r="U336" s="79"/>
      <c r="V336" s="83" t="str">
        <f>HYPERLINK("https://pbs.twimg.com/profile_images/1280188684483076097/hDD1guXX_normal.jpg")</f>
        <v>https://pbs.twimg.com/profile_images/1280188684483076097/hDD1guXX_normal.jpg</v>
      </c>
      <c r="W336" s="81">
        <v>44407.767523148148</v>
      </c>
      <c r="X336" s="87">
        <v>44407</v>
      </c>
      <c r="Y336" s="85" t="s">
        <v>620</v>
      </c>
      <c r="Z336" s="83" t="str">
        <f>HYPERLINK("https://twitter.com/ucatonsville/status/1421175066356850692")</f>
        <v>https://twitter.com/ucatonsville/status/1421175066356850692</v>
      </c>
      <c r="AA336" s="79"/>
      <c r="AB336" s="79"/>
      <c r="AC336" s="85" t="s">
        <v>800</v>
      </c>
      <c r="AD336" s="79"/>
      <c r="AE336" s="79" t="b">
        <v>0</v>
      </c>
      <c r="AF336" s="79">
        <v>0</v>
      </c>
      <c r="AG336" s="85" t="s">
        <v>867</v>
      </c>
      <c r="AH336" s="79" t="b">
        <v>0</v>
      </c>
      <c r="AI336" s="79" t="s">
        <v>874</v>
      </c>
      <c r="AJ336" s="79"/>
      <c r="AK336" s="85" t="s">
        <v>867</v>
      </c>
      <c r="AL336" s="79" t="b">
        <v>0</v>
      </c>
      <c r="AM336" s="79">
        <v>0</v>
      </c>
      <c r="AN336" s="85" t="s">
        <v>867</v>
      </c>
      <c r="AO336" s="85" t="s">
        <v>883</v>
      </c>
      <c r="AP336" s="79" t="b">
        <v>0</v>
      </c>
      <c r="AQ336" s="85" t="s">
        <v>800</v>
      </c>
      <c r="AR336" s="79" t="s">
        <v>177</v>
      </c>
      <c r="AS336" s="79">
        <v>0</v>
      </c>
      <c r="AT336" s="79">
        <v>0</v>
      </c>
      <c r="AU336" s="79"/>
      <c r="AV336" s="79"/>
      <c r="AW336" s="79"/>
      <c r="AX336" s="79"/>
      <c r="AY336" s="79"/>
      <c r="AZ336" s="79"/>
      <c r="BA336" s="79"/>
      <c r="BB336" s="79"/>
      <c r="BC336">
        <v>1</v>
      </c>
      <c r="BD336" s="78" t="str">
        <f>REPLACE(INDEX(GroupVertices[Group], MATCH(Edges[[#This Row],[Vertex 1]],GroupVertices[Vertex],0)),1,1,"")</f>
        <v>3</v>
      </c>
      <c r="BE336" s="78" t="str">
        <f>REPLACE(INDEX(GroupVertices[Group], MATCH(Edges[[#This Row],[Vertex 2]],GroupVertices[Vertex],0)),1,1,"")</f>
        <v>3</v>
      </c>
    </row>
    <row r="337" spans="1:57" x14ac:dyDescent="0.25">
      <c r="A337" s="64" t="s">
        <v>265</v>
      </c>
      <c r="B337" s="64" t="s">
        <v>324</v>
      </c>
      <c r="C337" s="65" t="s">
        <v>2101</v>
      </c>
      <c r="D337" s="66">
        <v>3</v>
      </c>
      <c r="E337" s="67"/>
      <c r="F337" s="68">
        <v>40</v>
      </c>
      <c r="G337" s="65"/>
      <c r="H337" s="69"/>
      <c r="I337" s="70"/>
      <c r="J337" s="70"/>
      <c r="K337" s="35" t="s">
        <v>65</v>
      </c>
      <c r="L337" s="77">
        <v>337</v>
      </c>
      <c r="M33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37" s="72"/>
      <c r="O337" s="79" t="s">
        <v>337</v>
      </c>
      <c r="P337" s="81">
        <v>44406.629988425928</v>
      </c>
      <c r="Q337" s="79" t="s">
        <v>367</v>
      </c>
      <c r="R337" s="83" t="str">
        <f>HYPERLINK("https://www.youtube.com/shorts/qku6RAs0B3k?feature=share")</f>
        <v>https://www.youtube.com/shorts/qku6RAs0B3k?feature=share</v>
      </c>
      <c r="S337" s="79" t="s">
        <v>450</v>
      </c>
      <c r="T337" s="85" t="s">
        <v>478</v>
      </c>
      <c r="U337" s="83" t="str">
        <f>HYPERLINK("https://pbs.twimg.com/media/E7T3xyJWQAYfYP3.jpg")</f>
        <v>https://pbs.twimg.com/media/E7T3xyJWQAYfYP3.jpg</v>
      </c>
      <c r="V337" s="83" t="str">
        <f>HYPERLINK("https://pbs.twimg.com/media/E7T3xyJWQAYfYP3.jpg")</f>
        <v>https://pbs.twimg.com/media/E7T3xyJWQAYfYP3.jpg</v>
      </c>
      <c r="W337" s="81">
        <v>44406.629988425928</v>
      </c>
      <c r="X337" s="87">
        <v>44406</v>
      </c>
      <c r="Y337" s="85" t="s">
        <v>564</v>
      </c>
      <c r="Z337" s="83" t="str">
        <f>HYPERLINK("https://twitter.com/tabuwinslow/status/1420762838113587200")</f>
        <v>https://twitter.com/tabuwinslow/status/1420762838113587200</v>
      </c>
      <c r="AA337" s="79"/>
      <c r="AB337" s="79"/>
      <c r="AC337" s="85" t="s">
        <v>743</v>
      </c>
      <c r="AD337" s="79"/>
      <c r="AE337" s="79" t="b">
        <v>0</v>
      </c>
      <c r="AF337" s="79">
        <v>0</v>
      </c>
      <c r="AG337" s="85" t="s">
        <v>867</v>
      </c>
      <c r="AH337" s="79" t="b">
        <v>0</v>
      </c>
      <c r="AI337" s="79" t="s">
        <v>874</v>
      </c>
      <c r="AJ337" s="79"/>
      <c r="AK337" s="85" t="s">
        <v>867</v>
      </c>
      <c r="AL337" s="79" t="b">
        <v>0</v>
      </c>
      <c r="AM337" s="79">
        <v>3</v>
      </c>
      <c r="AN337" s="85" t="s">
        <v>789</v>
      </c>
      <c r="AO337" s="85" t="s">
        <v>887</v>
      </c>
      <c r="AP337" s="79" t="b">
        <v>0</v>
      </c>
      <c r="AQ337" s="85" t="s">
        <v>789</v>
      </c>
      <c r="AR337" s="79" t="s">
        <v>177</v>
      </c>
      <c r="AS337" s="79">
        <v>0</v>
      </c>
      <c r="AT337" s="79">
        <v>0</v>
      </c>
      <c r="AU337" s="79"/>
      <c r="AV337" s="79"/>
      <c r="AW337" s="79"/>
      <c r="AX337" s="79"/>
      <c r="AY337" s="79"/>
      <c r="AZ337" s="79"/>
      <c r="BA337" s="79"/>
      <c r="BB337" s="79"/>
      <c r="BC337">
        <v>1</v>
      </c>
      <c r="BD337" s="78" t="str">
        <f>REPLACE(INDEX(GroupVertices[Group], MATCH(Edges[[#This Row],[Vertex 1]],GroupVertices[Vertex],0)),1,1,"")</f>
        <v>3</v>
      </c>
      <c r="BE337" s="78" t="str">
        <f>REPLACE(INDEX(GroupVertices[Group], MATCH(Edges[[#This Row],[Vertex 2]],GroupVertices[Vertex],0)),1,1,"")</f>
        <v>3</v>
      </c>
    </row>
    <row r="338" spans="1:57" x14ac:dyDescent="0.25">
      <c r="A338" s="64" t="s">
        <v>266</v>
      </c>
      <c r="B338" s="64" t="s">
        <v>324</v>
      </c>
      <c r="C338" s="65" t="s">
        <v>2101</v>
      </c>
      <c r="D338" s="66">
        <v>3</v>
      </c>
      <c r="E338" s="67"/>
      <c r="F338" s="68">
        <v>40</v>
      </c>
      <c r="G338" s="65"/>
      <c r="H338" s="69"/>
      <c r="I338" s="70"/>
      <c r="J338" s="70"/>
      <c r="K338" s="35" t="s">
        <v>65</v>
      </c>
      <c r="L338" s="77">
        <v>338</v>
      </c>
      <c r="M33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38" s="72"/>
      <c r="O338" s="79" t="s">
        <v>337</v>
      </c>
      <c r="P338" s="81">
        <v>44406.631354166668</v>
      </c>
      <c r="Q338" s="79" t="s">
        <v>367</v>
      </c>
      <c r="R338" s="83" t="str">
        <f>HYPERLINK("https://www.youtube.com/shorts/qku6RAs0B3k?feature=share")</f>
        <v>https://www.youtube.com/shorts/qku6RAs0B3k?feature=share</v>
      </c>
      <c r="S338" s="79" t="s">
        <v>450</v>
      </c>
      <c r="T338" s="85" t="s">
        <v>478</v>
      </c>
      <c r="U338" s="83" t="str">
        <f>HYPERLINK("https://pbs.twimg.com/media/E7T3xyJWQAYfYP3.jpg")</f>
        <v>https://pbs.twimg.com/media/E7T3xyJWQAYfYP3.jpg</v>
      </c>
      <c r="V338" s="83" t="str">
        <f>HYPERLINK("https://pbs.twimg.com/media/E7T3xyJWQAYfYP3.jpg")</f>
        <v>https://pbs.twimg.com/media/E7T3xyJWQAYfYP3.jpg</v>
      </c>
      <c r="W338" s="81">
        <v>44406.631354166668</v>
      </c>
      <c r="X338" s="87">
        <v>44406</v>
      </c>
      <c r="Y338" s="85" t="s">
        <v>569</v>
      </c>
      <c r="Z338" s="83" t="str">
        <f>HYPERLINK("https://twitter.com/letsplayballan1/status/1420763333368688643")</f>
        <v>https://twitter.com/letsplayballan1/status/1420763333368688643</v>
      </c>
      <c r="AA338" s="79"/>
      <c r="AB338" s="79"/>
      <c r="AC338" s="85" t="s">
        <v>748</v>
      </c>
      <c r="AD338" s="79"/>
      <c r="AE338" s="79" t="b">
        <v>0</v>
      </c>
      <c r="AF338" s="79">
        <v>0</v>
      </c>
      <c r="AG338" s="85" t="s">
        <v>867</v>
      </c>
      <c r="AH338" s="79" t="b">
        <v>0</v>
      </c>
      <c r="AI338" s="79" t="s">
        <v>874</v>
      </c>
      <c r="AJ338" s="79"/>
      <c r="AK338" s="85" t="s">
        <v>867</v>
      </c>
      <c r="AL338" s="79" t="b">
        <v>0</v>
      </c>
      <c r="AM338" s="79">
        <v>3</v>
      </c>
      <c r="AN338" s="85" t="s">
        <v>789</v>
      </c>
      <c r="AO338" s="85" t="s">
        <v>887</v>
      </c>
      <c r="AP338" s="79" t="b">
        <v>0</v>
      </c>
      <c r="AQ338" s="85" t="s">
        <v>789</v>
      </c>
      <c r="AR338" s="79" t="s">
        <v>177</v>
      </c>
      <c r="AS338" s="79">
        <v>0</v>
      </c>
      <c r="AT338" s="79">
        <v>0</v>
      </c>
      <c r="AU338" s="79"/>
      <c r="AV338" s="79"/>
      <c r="AW338" s="79"/>
      <c r="AX338" s="79"/>
      <c r="AY338" s="79"/>
      <c r="AZ338" s="79"/>
      <c r="BA338" s="79"/>
      <c r="BB338" s="79"/>
      <c r="BC338">
        <v>1</v>
      </c>
      <c r="BD338" s="78" t="str">
        <f>REPLACE(INDEX(GroupVertices[Group], MATCH(Edges[[#This Row],[Vertex 1]],GroupVertices[Vertex],0)),1,1,"")</f>
        <v>3</v>
      </c>
      <c r="BE338" s="78" t="str">
        <f>REPLACE(INDEX(GroupVertices[Group], MATCH(Edges[[#This Row],[Vertex 2]],GroupVertices[Vertex],0)),1,1,"")</f>
        <v>3</v>
      </c>
    </row>
    <row r="339" spans="1:57" x14ac:dyDescent="0.25">
      <c r="A339" s="64" t="s">
        <v>245</v>
      </c>
      <c r="B339" s="64" t="s">
        <v>310</v>
      </c>
      <c r="C339" s="65" t="s">
        <v>2101</v>
      </c>
      <c r="D339" s="66">
        <v>3</v>
      </c>
      <c r="E339" s="67"/>
      <c r="F339" s="68">
        <v>40</v>
      </c>
      <c r="G339" s="65"/>
      <c r="H339" s="69"/>
      <c r="I339" s="70"/>
      <c r="J339" s="70"/>
      <c r="K339" s="35" t="s">
        <v>65</v>
      </c>
      <c r="L339" s="77">
        <v>339</v>
      </c>
      <c r="M33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39" s="72"/>
      <c r="O339" s="79" t="s">
        <v>337</v>
      </c>
      <c r="P339" s="81">
        <v>44405.000763888886</v>
      </c>
      <c r="Q339" s="79" t="s">
        <v>359</v>
      </c>
      <c r="R339" s="79"/>
      <c r="S339" s="79"/>
      <c r="T339" s="85" t="s">
        <v>473</v>
      </c>
      <c r="U339" s="83" t="str">
        <f>HYPERLINK("https://pbs.twimg.com/ext_tw_video_thumb/1165283058448252928/pu/img/pTNEY01XgvTHzPju.jpg")</f>
        <v>https://pbs.twimg.com/ext_tw_video_thumb/1165283058448252928/pu/img/pTNEY01XgvTHzPju.jpg</v>
      </c>
      <c r="V339" s="83" t="str">
        <f>HYPERLINK("https://pbs.twimg.com/ext_tw_video_thumb/1165283058448252928/pu/img/pTNEY01XgvTHzPju.jpg")</f>
        <v>https://pbs.twimg.com/ext_tw_video_thumb/1165283058448252928/pu/img/pTNEY01XgvTHzPju.jpg</v>
      </c>
      <c r="W339" s="81">
        <v>44405.000763888886</v>
      </c>
      <c r="X339" s="87">
        <v>44405</v>
      </c>
      <c r="Y339" s="85" t="s">
        <v>539</v>
      </c>
      <c r="Z339" s="83" t="str">
        <f>HYPERLINK("https://twitter.com/aaron_cortes/status/1420172426143469570")</f>
        <v>https://twitter.com/aaron_cortes/status/1420172426143469570</v>
      </c>
      <c r="AA339" s="79"/>
      <c r="AB339" s="79"/>
      <c r="AC339" s="85" t="s">
        <v>717</v>
      </c>
      <c r="AD339" s="79"/>
      <c r="AE339" s="79" t="b">
        <v>0</v>
      </c>
      <c r="AF339" s="79">
        <v>0</v>
      </c>
      <c r="AG339" s="85" t="s">
        <v>867</v>
      </c>
      <c r="AH339" s="79" t="b">
        <v>0</v>
      </c>
      <c r="AI339" s="79" t="s">
        <v>874</v>
      </c>
      <c r="AJ339" s="79"/>
      <c r="AK339" s="85" t="s">
        <v>867</v>
      </c>
      <c r="AL339" s="79" t="b">
        <v>0</v>
      </c>
      <c r="AM339" s="79">
        <v>3</v>
      </c>
      <c r="AN339" s="85" t="s">
        <v>716</v>
      </c>
      <c r="AO339" s="85" t="s">
        <v>883</v>
      </c>
      <c r="AP339" s="79" t="b">
        <v>0</v>
      </c>
      <c r="AQ339" s="85" t="s">
        <v>716</v>
      </c>
      <c r="AR339" s="79" t="s">
        <v>177</v>
      </c>
      <c r="AS339" s="79">
        <v>0</v>
      </c>
      <c r="AT339" s="79">
        <v>0</v>
      </c>
      <c r="AU339" s="79"/>
      <c r="AV339" s="79"/>
      <c r="AW339" s="79"/>
      <c r="AX339" s="79"/>
      <c r="AY339" s="79"/>
      <c r="AZ339" s="79"/>
      <c r="BA339" s="79"/>
      <c r="BB339" s="79"/>
      <c r="BC339">
        <v>1</v>
      </c>
      <c r="BD339" s="78" t="str">
        <f>REPLACE(INDEX(GroupVertices[Group], MATCH(Edges[[#This Row],[Vertex 1]],GroupVertices[Vertex],0)),1,1,"")</f>
        <v>4</v>
      </c>
      <c r="BE339" s="78" t="str">
        <f>REPLACE(INDEX(GroupVertices[Group], MATCH(Edges[[#This Row],[Vertex 2]],GroupVertices[Vertex],0)),1,1,"")</f>
        <v>4</v>
      </c>
    </row>
    <row r="340" spans="1:57" x14ac:dyDescent="0.25">
      <c r="A340" s="64" t="s">
        <v>261</v>
      </c>
      <c r="B340" s="64" t="s">
        <v>261</v>
      </c>
      <c r="C340" s="65" t="s">
        <v>2101</v>
      </c>
      <c r="D340" s="66">
        <v>3</v>
      </c>
      <c r="E340" s="67"/>
      <c r="F340" s="68">
        <v>40</v>
      </c>
      <c r="G340" s="65"/>
      <c r="H340" s="69"/>
      <c r="I340" s="70"/>
      <c r="J340" s="70"/>
      <c r="K340" s="35" t="s">
        <v>65</v>
      </c>
      <c r="L340" s="77">
        <v>340</v>
      </c>
      <c r="M34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40" s="72"/>
      <c r="O340" s="79" t="s">
        <v>177</v>
      </c>
      <c r="P340" s="81">
        <v>44405.957245370373</v>
      </c>
      <c r="Q340" s="79" t="s">
        <v>375</v>
      </c>
      <c r="R340" s="79"/>
      <c r="S340" s="79"/>
      <c r="T340" s="85" t="s">
        <v>481</v>
      </c>
      <c r="U340" s="79"/>
      <c r="V340" s="83" t="str">
        <f>HYPERLINK("https://pbs.twimg.com/profile_images/1409551882087960582/EN_K-fIZ_normal.jpg")</f>
        <v>https://pbs.twimg.com/profile_images/1409551882087960582/EN_K-fIZ_normal.jpg</v>
      </c>
      <c r="W340" s="81">
        <v>44405.957245370373</v>
      </c>
      <c r="X340" s="87">
        <v>44405</v>
      </c>
      <c r="Y340" s="85" t="s">
        <v>592</v>
      </c>
      <c r="Z340" s="83" t="str">
        <f>HYPERLINK("https://twitter.com/aeeetrio/status/1420519044868972545")</f>
        <v>https://twitter.com/aeeetrio/status/1420519044868972545</v>
      </c>
      <c r="AA340" s="79"/>
      <c r="AB340" s="79"/>
      <c r="AC340" s="85" t="s">
        <v>772</v>
      </c>
      <c r="AD340" s="79"/>
      <c r="AE340" s="79" t="b">
        <v>0</v>
      </c>
      <c r="AF340" s="79">
        <v>1</v>
      </c>
      <c r="AG340" s="85" t="s">
        <v>867</v>
      </c>
      <c r="AH340" s="79" t="b">
        <v>0</v>
      </c>
      <c r="AI340" s="79" t="s">
        <v>874</v>
      </c>
      <c r="AJ340" s="79"/>
      <c r="AK340" s="85" t="s">
        <v>867</v>
      </c>
      <c r="AL340" s="79" t="b">
        <v>0</v>
      </c>
      <c r="AM340" s="79">
        <v>0</v>
      </c>
      <c r="AN340" s="85" t="s">
        <v>867</v>
      </c>
      <c r="AO340" s="85" t="s">
        <v>882</v>
      </c>
      <c r="AP340" s="79" t="b">
        <v>0</v>
      </c>
      <c r="AQ340" s="85" t="s">
        <v>772</v>
      </c>
      <c r="AR340" s="79" t="s">
        <v>177</v>
      </c>
      <c r="AS340" s="79">
        <v>0</v>
      </c>
      <c r="AT340" s="79">
        <v>0</v>
      </c>
      <c r="AU340" s="79"/>
      <c r="AV340" s="79"/>
      <c r="AW340" s="79"/>
      <c r="AX340" s="79"/>
      <c r="AY340" s="79"/>
      <c r="AZ340" s="79"/>
      <c r="BA340" s="79"/>
      <c r="BB340" s="79"/>
      <c r="BC340">
        <v>1</v>
      </c>
      <c r="BD340" s="78" t="str">
        <f>REPLACE(INDEX(GroupVertices[Group], MATCH(Edges[[#This Row],[Vertex 1]],GroupVertices[Vertex],0)),1,1,"")</f>
        <v>8</v>
      </c>
      <c r="BE340" s="78" t="str">
        <f>REPLACE(INDEX(GroupVertices[Group], MATCH(Edges[[#This Row],[Vertex 2]],GroupVertices[Vertex],0)),1,1,"")</f>
        <v>8</v>
      </c>
    </row>
    <row r="341" spans="1:57" x14ac:dyDescent="0.25">
      <c r="A341" s="64" t="s">
        <v>279</v>
      </c>
      <c r="B341" s="64" t="s">
        <v>261</v>
      </c>
      <c r="C341" s="65" t="s">
        <v>2101</v>
      </c>
      <c r="D341" s="66">
        <v>3</v>
      </c>
      <c r="E341" s="67"/>
      <c r="F341" s="68">
        <v>40</v>
      </c>
      <c r="G341" s="65"/>
      <c r="H341" s="69"/>
      <c r="I341" s="70"/>
      <c r="J341" s="70"/>
      <c r="K341" s="35" t="s">
        <v>66</v>
      </c>
      <c r="L341" s="77">
        <v>341</v>
      </c>
      <c r="M34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41" s="72"/>
      <c r="O341" s="79" t="s">
        <v>338</v>
      </c>
      <c r="P341" s="81">
        <v>44406.963402777779</v>
      </c>
      <c r="Q341" s="79" t="s">
        <v>374</v>
      </c>
      <c r="R341" s="79"/>
      <c r="S341" s="79"/>
      <c r="T341" s="85" t="s">
        <v>480</v>
      </c>
      <c r="U341" s="79"/>
      <c r="V341" s="83" t="str">
        <f>HYPERLINK("https://pbs.twimg.com/profile_images/1394673346823000065/USX0VQdW_normal.jpg")</f>
        <v>https://pbs.twimg.com/profile_images/1394673346823000065/USX0VQdW_normal.jpg</v>
      </c>
      <c r="W341" s="81">
        <v>44406.963402777779</v>
      </c>
      <c r="X341" s="87">
        <v>44406</v>
      </c>
      <c r="Y341" s="85" t="s">
        <v>591</v>
      </c>
      <c r="Z341" s="83" t="str">
        <f>HYPERLINK("https://twitter.com/jackashawiley/status/1420883663588319241")</f>
        <v>https://twitter.com/jackashawiley/status/1420883663588319241</v>
      </c>
      <c r="AA341" s="79"/>
      <c r="AB341" s="79"/>
      <c r="AC341" s="85" t="s">
        <v>771</v>
      </c>
      <c r="AD341" s="79"/>
      <c r="AE341" s="79" t="b">
        <v>0</v>
      </c>
      <c r="AF341" s="79">
        <v>0</v>
      </c>
      <c r="AG341" s="85" t="s">
        <v>867</v>
      </c>
      <c r="AH341" s="79" t="b">
        <v>0</v>
      </c>
      <c r="AI341" s="79" t="s">
        <v>874</v>
      </c>
      <c r="AJ341" s="79"/>
      <c r="AK341" s="85" t="s">
        <v>867</v>
      </c>
      <c r="AL341" s="79" t="b">
        <v>0</v>
      </c>
      <c r="AM341" s="79">
        <v>1</v>
      </c>
      <c r="AN341" s="85" t="s">
        <v>770</v>
      </c>
      <c r="AO341" s="85" t="s">
        <v>882</v>
      </c>
      <c r="AP341" s="79" t="b">
        <v>0</v>
      </c>
      <c r="AQ341" s="85" t="s">
        <v>770</v>
      </c>
      <c r="AR341" s="79" t="s">
        <v>177</v>
      </c>
      <c r="AS341" s="79">
        <v>0</v>
      </c>
      <c r="AT341" s="79">
        <v>0</v>
      </c>
      <c r="AU341" s="79"/>
      <c r="AV341" s="79"/>
      <c r="AW341" s="79"/>
      <c r="AX341" s="79"/>
      <c r="AY341" s="79"/>
      <c r="AZ341" s="79"/>
      <c r="BA341" s="79"/>
      <c r="BB341" s="79"/>
      <c r="BC341">
        <v>1</v>
      </c>
      <c r="BD341" s="78" t="str">
        <f>REPLACE(INDEX(GroupVertices[Group], MATCH(Edges[[#This Row],[Vertex 1]],GroupVertices[Vertex],0)),1,1,"")</f>
        <v>8</v>
      </c>
      <c r="BE341" s="78" t="str">
        <f>REPLACE(INDEX(GroupVertices[Group], MATCH(Edges[[#This Row],[Vertex 2]],GroupVertices[Vertex],0)),1,1,"")</f>
        <v>8</v>
      </c>
    </row>
    <row r="342" spans="1:57" x14ac:dyDescent="0.25">
      <c r="A342" s="64" t="s">
        <v>236</v>
      </c>
      <c r="B342" s="64" t="s">
        <v>257</v>
      </c>
      <c r="C342" s="65" t="s">
        <v>2101</v>
      </c>
      <c r="D342" s="66">
        <v>3</v>
      </c>
      <c r="E342" s="67"/>
      <c r="F342" s="68">
        <v>40</v>
      </c>
      <c r="G342" s="65"/>
      <c r="H342" s="69"/>
      <c r="I342" s="70"/>
      <c r="J342" s="70"/>
      <c r="K342" s="35" t="s">
        <v>65</v>
      </c>
      <c r="L342" s="77">
        <v>342</v>
      </c>
      <c r="M34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42" s="72"/>
      <c r="O342" s="79" t="s">
        <v>338</v>
      </c>
      <c r="P342" s="81">
        <v>44404.844317129631</v>
      </c>
      <c r="Q342" s="79" t="s">
        <v>356</v>
      </c>
      <c r="R342" s="79"/>
      <c r="S342" s="79"/>
      <c r="T342" s="85" t="s">
        <v>461</v>
      </c>
      <c r="U342" s="83" t="str">
        <f>HYPERLINK("https://pbs.twimg.com/media/E7VCWcGXMAQx84B.jpg")</f>
        <v>https://pbs.twimg.com/media/E7VCWcGXMAQx84B.jpg</v>
      </c>
      <c r="V342" s="83" t="str">
        <f>HYPERLINK("https://pbs.twimg.com/media/E7VCWcGXMAQx84B.jpg")</f>
        <v>https://pbs.twimg.com/media/E7VCWcGXMAQx84B.jpg</v>
      </c>
      <c r="W342" s="81">
        <v>44404.844317129631</v>
      </c>
      <c r="X342" s="87">
        <v>44404</v>
      </c>
      <c r="Y342" s="85" t="s">
        <v>530</v>
      </c>
      <c r="Z342" s="83" t="str">
        <f>HYPERLINK("https://twitter.com/renaissancemars/status/1420115731555962882")</f>
        <v>https://twitter.com/renaissancemars/status/1420115731555962882</v>
      </c>
      <c r="AA342" s="79"/>
      <c r="AB342" s="79"/>
      <c r="AC342" s="85" t="s">
        <v>707</v>
      </c>
      <c r="AD342" s="79"/>
      <c r="AE342" s="79" t="b">
        <v>0</v>
      </c>
      <c r="AF342" s="79">
        <v>0</v>
      </c>
      <c r="AG342" s="85" t="s">
        <v>867</v>
      </c>
      <c r="AH342" s="79" t="b">
        <v>0</v>
      </c>
      <c r="AI342" s="79" t="s">
        <v>874</v>
      </c>
      <c r="AJ342" s="79"/>
      <c r="AK342" s="85" t="s">
        <v>867</v>
      </c>
      <c r="AL342" s="79" t="b">
        <v>0</v>
      </c>
      <c r="AM342" s="79">
        <v>21</v>
      </c>
      <c r="AN342" s="85" t="s">
        <v>736</v>
      </c>
      <c r="AO342" s="85" t="s">
        <v>882</v>
      </c>
      <c r="AP342" s="79" t="b">
        <v>0</v>
      </c>
      <c r="AQ342" s="85" t="s">
        <v>736</v>
      </c>
      <c r="AR342" s="79" t="s">
        <v>177</v>
      </c>
      <c r="AS342" s="79">
        <v>0</v>
      </c>
      <c r="AT342" s="79">
        <v>0</v>
      </c>
      <c r="AU342" s="79"/>
      <c r="AV342" s="79"/>
      <c r="AW342" s="79"/>
      <c r="AX342" s="79"/>
      <c r="AY342" s="79"/>
      <c r="AZ342" s="79"/>
      <c r="BA342" s="79"/>
      <c r="BB342" s="79"/>
      <c r="BC342">
        <v>1</v>
      </c>
      <c r="BD342" s="78" t="str">
        <f>REPLACE(INDEX(GroupVertices[Group], MATCH(Edges[[#This Row],[Vertex 1]],GroupVertices[Vertex],0)),1,1,"")</f>
        <v>2</v>
      </c>
      <c r="BE342" s="78" t="str">
        <f>REPLACE(INDEX(GroupVertices[Group], MATCH(Edges[[#This Row],[Vertex 2]],GroupVertices[Vertex],0)),1,1,"")</f>
        <v>2</v>
      </c>
    </row>
    <row r="343" spans="1:57" x14ac:dyDescent="0.25">
      <c r="A343" s="64" t="s">
        <v>237</v>
      </c>
      <c r="B343" s="64" t="s">
        <v>257</v>
      </c>
      <c r="C343" s="65" t="s">
        <v>2101</v>
      </c>
      <c r="D343" s="66">
        <v>3</v>
      </c>
      <c r="E343" s="67"/>
      <c r="F343" s="68">
        <v>40</v>
      </c>
      <c r="G343" s="65"/>
      <c r="H343" s="69"/>
      <c r="I343" s="70"/>
      <c r="J343" s="70"/>
      <c r="K343" s="35" t="s">
        <v>65</v>
      </c>
      <c r="L343" s="77">
        <v>343</v>
      </c>
      <c r="M34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43" s="72"/>
      <c r="O343" s="79" t="s">
        <v>340</v>
      </c>
      <c r="P343" s="81">
        <v>44404.850763888891</v>
      </c>
      <c r="Q343" s="79" t="s">
        <v>357</v>
      </c>
      <c r="R343" s="79"/>
      <c r="S343" s="79"/>
      <c r="T343" s="85" t="s">
        <v>461</v>
      </c>
      <c r="U343" s="79"/>
      <c r="V343" s="83" t="str">
        <f>HYPERLINK("https://pbs.twimg.com/profile_images/1416529138287104004/CkD5igB__normal.jpg")</f>
        <v>https://pbs.twimg.com/profile_images/1416529138287104004/CkD5igB__normal.jpg</v>
      </c>
      <c r="W343" s="81">
        <v>44404.850763888891</v>
      </c>
      <c r="X343" s="87">
        <v>44404</v>
      </c>
      <c r="Y343" s="85" t="s">
        <v>531</v>
      </c>
      <c r="Z343" s="83" t="str">
        <f>HYPERLINK("https://twitter.com/252trinnettec/status/1420118065921073152")</f>
        <v>https://twitter.com/252trinnettec/status/1420118065921073152</v>
      </c>
      <c r="AA343" s="79"/>
      <c r="AB343" s="79"/>
      <c r="AC343" s="85" t="s">
        <v>708</v>
      </c>
      <c r="AD343" s="85" t="s">
        <v>736</v>
      </c>
      <c r="AE343" s="79" t="b">
        <v>0</v>
      </c>
      <c r="AF343" s="79">
        <v>2</v>
      </c>
      <c r="AG343" s="85" t="s">
        <v>869</v>
      </c>
      <c r="AH343" s="79" t="b">
        <v>0</v>
      </c>
      <c r="AI343" s="79" t="s">
        <v>874</v>
      </c>
      <c r="AJ343" s="79"/>
      <c r="AK343" s="85" t="s">
        <v>867</v>
      </c>
      <c r="AL343" s="79" t="b">
        <v>0</v>
      </c>
      <c r="AM343" s="79">
        <v>0</v>
      </c>
      <c r="AN343" s="85" t="s">
        <v>867</v>
      </c>
      <c r="AO343" s="85" t="s">
        <v>883</v>
      </c>
      <c r="AP343" s="79" t="b">
        <v>0</v>
      </c>
      <c r="AQ343" s="85" t="s">
        <v>736</v>
      </c>
      <c r="AR343" s="79" t="s">
        <v>177</v>
      </c>
      <c r="AS343" s="79">
        <v>0</v>
      </c>
      <c r="AT343" s="79">
        <v>0</v>
      </c>
      <c r="AU343" s="79"/>
      <c r="AV343" s="79"/>
      <c r="AW343" s="79"/>
      <c r="AX343" s="79"/>
      <c r="AY343" s="79"/>
      <c r="AZ343" s="79"/>
      <c r="BA343" s="79"/>
      <c r="BB343" s="79"/>
      <c r="BC343">
        <v>1</v>
      </c>
      <c r="BD343" s="78" t="str">
        <f>REPLACE(INDEX(GroupVertices[Group], MATCH(Edges[[#This Row],[Vertex 1]],GroupVertices[Vertex],0)),1,1,"")</f>
        <v>2</v>
      </c>
      <c r="BE343" s="78" t="str">
        <f>REPLACE(INDEX(GroupVertices[Group], MATCH(Edges[[#This Row],[Vertex 2]],GroupVertices[Vertex],0)),1,1,"")</f>
        <v>2</v>
      </c>
    </row>
    <row r="344" spans="1:57" x14ac:dyDescent="0.25">
      <c r="A344" s="64" t="s">
        <v>238</v>
      </c>
      <c r="B344" s="64" t="s">
        <v>257</v>
      </c>
      <c r="C344" s="65" t="s">
        <v>2101</v>
      </c>
      <c r="D344" s="66">
        <v>3</v>
      </c>
      <c r="E344" s="67"/>
      <c r="F344" s="68">
        <v>40</v>
      </c>
      <c r="G344" s="65"/>
      <c r="H344" s="69"/>
      <c r="I344" s="70"/>
      <c r="J344" s="70"/>
      <c r="K344" s="35" t="s">
        <v>65</v>
      </c>
      <c r="L344" s="77">
        <v>344</v>
      </c>
      <c r="M34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44" s="72"/>
      <c r="O344" s="79" t="s">
        <v>338</v>
      </c>
      <c r="P344" s="81">
        <v>44404.851157407407</v>
      </c>
      <c r="Q344" s="79" t="s">
        <v>356</v>
      </c>
      <c r="R344" s="79"/>
      <c r="S344" s="79"/>
      <c r="T344" s="85" t="s">
        <v>461</v>
      </c>
      <c r="U344" s="83" t="str">
        <f>HYPERLINK("https://pbs.twimg.com/media/E7VCWcGXMAQx84B.jpg")</f>
        <v>https://pbs.twimg.com/media/E7VCWcGXMAQx84B.jpg</v>
      </c>
      <c r="V344" s="83" t="str">
        <f>HYPERLINK("https://pbs.twimg.com/media/E7VCWcGXMAQx84B.jpg")</f>
        <v>https://pbs.twimg.com/media/E7VCWcGXMAQx84B.jpg</v>
      </c>
      <c r="W344" s="81">
        <v>44404.851157407407</v>
      </c>
      <c r="X344" s="87">
        <v>44404</v>
      </c>
      <c r="Y344" s="85" t="s">
        <v>532</v>
      </c>
      <c r="Z344" s="83" t="str">
        <f>HYPERLINK("https://twitter.com/_kamoafo/status/1420118208187617280")</f>
        <v>https://twitter.com/_kamoafo/status/1420118208187617280</v>
      </c>
      <c r="AA344" s="79"/>
      <c r="AB344" s="79"/>
      <c r="AC344" s="85" t="s">
        <v>709</v>
      </c>
      <c r="AD344" s="79"/>
      <c r="AE344" s="79" t="b">
        <v>0</v>
      </c>
      <c r="AF344" s="79">
        <v>0</v>
      </c>
      <c r="AG344" s="85" t="s">
        <v>867</v>
      </c>
      <c r="AH344" s="79" t="b">
        <v>0</v>
      </c>
      <c r="AI344" s="79" t="s">
        <v>874</v>
      </c>
      <c r="AJ344" s="79"/>
      <c r="AK344" s="85" t="s">
        <v>867</v>
      </c>
      <c r="AL344" s="79" t="b">
        <v>0</v>
      </c>
      <c r="AM344" s="79">
        <v>21</v>
      </c>
      <c r="AN344" s="85" t="s">
        <v>736</v>
      </c>
      <c r="AO344" s="85" t="s">
        <v>883</v>
      </c>
      <c r="AP344" s="79" t="b">
        <v>0</v>
      </c>
      <c r="AQ344" s="85" t="s">
        <v>736</v>
      </c>
      <c r="AR344" s="79" t="s">
        <v>177</v>
      </c>
      <c r="AS344" s="79">
        <v>0</v>
      </c>
      <c r="AT344" s="79">
        <v>0</v>
      </c>
      <c r="AU344" s="79"/>
      <c r="AV344" s="79"/>
      <c r="AW344" s="79"/>
      <c r="AX344" s="79"/>
      <c r="AY344" s="79"/>
      <c r="AZ344" s="79"/>
      <c r="BA344" s="79"/>
      <c r="BB344" s="79"/>
      <c r="BC344">
        <v>1</v>
      </c>
      <c r="BD344" s="78" t="str">
        <f>REPLACE(INDEX(GroupVertices[Group], MATCH(Edges[[#This Row],[Vertex 1]],GroupVertices[Vertex],0)),1,1,"")</f>
        <v>2</v>
      </c>
      <c r="BE344" s="78" t="str">
        <f>REPLACE(INDEX(GroupVertices[Group], MATCH(Edges[[#This Row],[Vertex 2]],GroupVertices[Vertex],0)),1,1,"")</f>
        <v>2</v>
      </c>
    </row>
    <row r="345" spans="1:57" x14ac:dyDescent="0.25">
      <c r="A345" s="64" t="s">
        <v>256</v>
      </c>
      <c r="B345" s="64" t="s">
        <v>257</v>
      </c>
      <c r="C345" s="65" t="s">
        <v>2101</v>
      </c>
      <c r="D345" s="66">
        <v>3</v>
      </c>
      <c r="E345" s="67"/>
      <c r="F345" s="68">
        <v>40</v>
      </c>
      <c r="G345" s="65"/>
      <c r="H345" s="69"/>
      <c r="I345" s="70"/>
      <c r="J345" s="70"/>
      <c r="K345" s="35" t="s">
        <v>66</v>
      </c>
      <c r="L345" s="77">
        <v>345</v>
      </c>
      <c r="M34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45" s="72"/>
      <c r="O345" s="79" t="s">
        <v>339</v>
      </c>
      <c r="P345" s="81">
        <v>44404.867418981485</v>
      </c>
      <c r="Q345" s="79" t="s">
        <v>358</v>
      </c>
      <c r="R345" s="83" t="str">
        <f>HYPERLINK("https://twitter.com/_MABurnett/status/1420114213658402821")</f>
        <v>https://twitter.com/_MABurnett/status/1420114213658402821</v>
      </c>
      <c r="S345" s="79" t="s">
        <v>449</v>
      </c>
      <c r="T345" s="85" t="s">
        <v>461</v>
      </c>
      <c r="U345" s="79"/>
      <c r="V345" s="83" t="str">
        <f>HYPERLINK("https://pbs.twimg.com/profile_images/694541205259042818/QcSFzUsp_normal.png")</f>
        <v>https://pbs.twimg.com/profile_images/694541205259042818/QcSFzUsp_normal.png</v>
      </c>
      <c r="W345" s="81">
        <v>44404.867418981485</v>
      </c>
      <c r="X345" s="87">
        <v>44404</v>
      </c>
      <c r="Y345" s="85" t="s">
        <v>551</v>
      </c>
      <c r="Z345" s="83" t="str">
        <f>HYPERLINK("https://twitter.com/mcnairunc/status/1420124103806234635")</f>
        <v>https://twitter.com/mcnairunc/status/1420124103806234635</v>
      </c>
      <c r="AA345" s="79"/>
      <c r="AB345" s="79"/>
      <c r="AC345" s="85" t="s">
        <v>730</v>
      </c>
      <c r="AD345" s="79"/>
      <c r="AE345" s="79" t="b">
        <v>0</v>
      </c>
      <c r="AF345" s="79">
        <v>35</v>
      </c>
      <c r="AG345" s="85" t="s">
        <v>867</v>
      </c>
      <c r="AH345" s="79" t="b">
        <v>1</v>
      </c>
      <c r="AI345" s="79" t="s">
        <v>874</v>
      </c>
      <c r="AJ345" s="79"/>
      <c r="AK345" s="85" t="s">
        <v>736</v>
      </c>
      <c r="AL345" s="79" t="b">
        <v>0</v>
      </c>
      <c r="AM345" s="79">
        <v>5</v>
      </c>
      <c r="AN345" s="85" t="s">
        <v>867</v>
      </c>
      <c r="AO345" s="85" t="s">
        <v>882</v>
      </c>
      <c r="AP345" s="79" t="b">
        <v>0</v>
      </c>
      <c r="AQ345" s="85" t="s">
        <v>730</v>
      </c>
      <c r="AR345" s="79" t="s">
        <v>177</v>
      </c>
      <c r="AS345" s="79">
        <v>0</v>
      </c>
      <c r="AT345" s="79">
        <v>0</v>
      </c>
      <c r="AU345" s="79"/>
      <c r="AV345" s="79"/>
      <c r="AW345" s="79"/>
      <c r="AX345" s="79"/>
      <c r="AY345" s="79"/>
      <c r="AZ345" s="79"/>
      <c r="BA345" s="79"/>
      <c r="BB345" s="79"/>
      <c r="BC345">
        <v>1</v>
      </c>
      <c r="BD345" s="78" t="str">
        <f>REPLACE(INDEX(GroupVertices[Group], MATCH(Edges[[#This Row],[Vertex 1]],GroupVertices[Vertex],0)),1,1,"")</f>
        <v>2</v>
      </c>
      <c r="BE345" s="78" t="str">
        <f>REPLACE(INDEX(GroupVertices[Group], MATCH(Edges[[#This Row],[Vertex 2]],GroupVertices[Vertex],0)),1,1,"")</f>
        <v>2</v>
      </c>
    </row>
    <row r="346" spans="1:57" x14ac:dyDescent="0.25">
      <c r="A346" s="64" t="s">
        <v>239</v>
      </c>
      <c r="B346" s="64" t="s">
        <v>257</v>
      </c>
      <c r="C346" s="65" t="s">
        <v>2101</v>
      </c>
      <c r="D346" s="66">
        <v>3</v>
      </c>
      <c r="E346" s="67"/>
      <c r="F346" s="68">
        <v>40</v>
      </c>
      <c r="G346" s="65"/>
      <c r="H346" s="69"/>
      <c r="I346" s="70"/>
      <c r="J346" s="70"/>
      <c r="K346" s="35" t="s">
        <v>65</v>
      </c>
      <c r="L346" s="77">
        <v>346</v>
      </c>
      <c r="M34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46" s="72"/>
      <c r="O346" s="79" t="s">
        <v>338</v>
      </c>
      <c r="P346" s="81">
        <v>44404.869456018518</v>
      </c>
      <c r="Q346" s="79" t="s">
        <v>356</v>
      </c>
      <c r="R346" s="79"/>
      <c r="S346" s="79"/>
      <c r="T346" s="85" t="s">
        <v>461</v>
      </c>
      <c r="U346" s="83" t="str">
        <f t="shared" ref="U346:V349" si="14">HYPERLINK("https://pbs.twimg.com/media/E7VCWcGXMAQx84B.jpg")</f>
        <v>https://pbs.twimg.com/media/E7VCWcGXMAQx84B.jpg</v>
      </c>
      <c r="V346" s="83" t="str">
        <f t="shared" si="14"/>
        <v>https://pbs.twimg.com/media/E7VCWcGXMAQx84B.jpg</v>
      </c>
      <c r="W346" s="81">
        <v>44404.869456018518</v>
      </c>
      <c r="X346" s="87">
        <v>44404</v>
      </c>
      <c r="Y346" s="85" t="s">
        <v>533</v>
      </c>
      <c r="Z346" s="83" t="str">
        <f>HYPERLINK("https://twitter.com/peiferlabunc/status/1420124842674720769")</f>
        <v>https://twitter.com/peiferlabunc/status/1420124842674720769</v>
      </c>
      <c r="AA346" s="79"/>
      <c r="AB346" s="79"/>
      <c r="AC346" s="85" t="s">
        <v>710</v>
      </c>
      <c r="AD346" s="79"/>
      <c r="AE346" s="79" t="b">
        <v>0</v>
      </c>
      <c r="AF346" s="79">
        <v>0</v>
      </c>
      <c r="AG346" s="85" t="s">
        <v>867</v>
      </c>
      <c r="AH346" s="79" t="b">
        <v>0</v>
      </c>
      <c r="AI346" s="79" t="s">
        <v>874</v>
      </c>
      <c r="AJ346" s="79"/>
      <c r="AK346" s="85" t="s">
        <v>867</v>
      </c>
      <c r="AL346" s="79" t="b">
        <v>0</v>
      </c>
      <c r="AM346" s="79">
        <v>21</v>
      </c>
      <c r="AN346" s="85" t="s">
        <v>736</v>
      </c>
      <c r="AO346" s="85" t="s">
        <v>882</v>
      </c>
      <c r="AP346" s="79" t="b">
        <v>0</v>
      </c>
      <c r="AQ346" s="85" t="s">
        <v>736</v>
      </c>
      <c r="AR346" s="79" t="s">
        <v>177</v>
      </c>
      <c r="AS346" s="79">
        <v>0</v>
      </c>
      <c r="AT346" s="79">
        <v>0</v>
      </c>
      <c r="AU346" s="79"/>
      <c r="AV346" s="79"/>
      <c r="AW346" s="79"/>
      <c r="AX346" s="79"/>
      <c r="AY346" s="79"/>
      <c r="AZ346" s="79"/>
      <c r="BA346" s="79"/>
      <c r="BB346" s="79"/>
      <c r="BC346">
        <v>1</v>
      </c>
      <c r="BD346" s="78" t="str">
        <f>REPLACE(INDEX(GroupVertices[Group], MATCH(Edges[[#This Row],[Vertex 1]],GroupVertices[Vertex],0)),1,1,"")</f>
        <v>2</v>
      </c>
      <c r="BE346" s="78" t="str">
        <f>REPLACE(INDEX(GroupVertices[Group], MATCH(Edges[[#This Row],[Vertex 2]],GroupVertices[Vertex],0)),1,1,"")</f>
        <v>2</v>
      </c>
    </row>
    <row r="347" spans="1:57" x14ac:dyDescent="0.25">
      <c r="A347" s="64" t="s">
        <v>240</v>
      </c>
      <c r="B347" s="64" t="s">
        <v>257</v>
      </c>
      <c r="C347" s="65" t="s">
        <v>2101</v>
      </c>
      <c r="D347" s="66">
        <v>3</v>
      </c>
      <c r="E347" s="67"/>
      <c r="F347" s="68">
        <v>40</v>
      </c>
      <c r="G347" s="65"/>
      <c r="H347" s="69"/>
      <c r="I347" s="70"/>
      <c r="J347" s="70"/>
      <c r="K347" s="35" t="s">
        <v>65</v>
      </c>
      <c r="L347" s="77">
        <v>347</v>
      </c>
      <c r="M34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47" s="72"/>
      <c r="O347" s="79" t="s">
        <v>338</v>
      </c>
      <c r="P347" s="81">
        <v>44404.87431712963</v>
      </c>
      <c r="Q347" s="79" t="s">
        <v>356</v>
      </c>
      <c r="R347" s="79"/>
      <c r="S347" s="79"/>
      <c r="T347" s="85" t="s">
        <v>461</v>
      </c>
      <c r="U347" s="83" t="str">
        <f t="shared" si="14"/>
        <v>https://pbs.twimg.com/media/E7VCWcGXMAQx84B.jpg</v>
      </c>
      <c r="V347" s="83" t="str">
        <f t="shared" si="14"/>
        <v>https://pbs.twimg.com/media/E7VCWcGXMAQx84B.jpg</v>
      </c>
      <c r="W347" s="81">
        <v>44404.87431712963</v>
      </c>
      <c r="X347" s="87">
        <v>44404</v>
      </c>
      <c r="Y347" s="85" t="s">
        <v>534</v>
      </c>
      <c r="Z347" s="83" t="str">
        <f>HYPERLINK("https://twitter.com/blkingradschool/status/1420126604563451910")</f>
        <v>https://twitter.com/blkingradschool/status/1420126604563451910</v>
      </c>
      <c r="AA347" s="79"/>
      <c r="AB347" s="79"/>
      <c r="AC347" s="85" t="s">
        <v>711</v>
      </c>
      <c r="AD347" s="79"/>
      <c r="AE347" s="79" t="b">
        <v>0</v>
      </c>
      <c r="AF347" s="79">
        <v>0</v>
      </c>
      <c r="AG347" s="85" t="s">
        <v>867</v>
      </c>
      <c r="AH347" s="79" t="b">
        <v>0</v>
      </c>
      <c r="AI347" s="79" t="s">
        <v>874</v>
      </c>
      <c r="AJ347" s="79"/>
      <c r="AK347" s="85" t="s">
        <v>867</v>
      </c>
      <c r="AL347" s="79" t="b">
        <v>0</v>
      </c>
      <c r="AM347" s="79">
        <v>21</v>
      </c>
      <c r="AN347" s="85" t="s">
        <v>736</v>
      </c>
      <c r="AO347" s="85" t="s">
        <v>883</v>
      </c>
      <c r="AP347" s="79" t="b">
        <v>0</v>
      </c>
      <c r="AQ347" s="85" t="s">
        <v>736</v>
      </c>
      <c r="AR347" s="79" t="s">
        <v>177</v>
      </c>
      <c r="AS347" s="79">
        <v>0</v>
      </c>
      <c r="AT347" s="79">
        <v>0</v>
      </c>
      <c r="AU347" s="79"/>
      <c r="AV347" s="79"/>
      <c r="AW347" s="79"/>
      <c r="AX347" s="79"/>
      <c r="AY347" s="79"/>
      <c r="AZ347" s="79"/>
      <c r="BA347" s="79"/>
      <c r="BB347" s="79"/>
      <c r="BC347">
        <v>1</v>
      </c>
      <c r="BD347" s="78" t="str">
        <f>REPLACE(INDEX(GroupVertices[Group], MATCH(Edges[[#This Row],[Vertex 1]],GroupVertices[Vertex],0)),1,1,"")</f>
        <v>2</v>
      </c>
      <c r="BE347" s="78" t="str">
        <f>REPLACE(INDEX(GroupVertices[Group], MATCH(Edges[[#This Row],[Vertex 2]],GroupVertices[Vertex],0)),1,1,"")</f>
        <v>2</v>
      </c>
    </row>
    <row r="348" spans="1:57" x14ac:dyDescent="0.25">
      <c r="A348" s="64" t="s">
        <v>241</v>
      </c>
      <c r="B348" s="64" t="s">
        <v>257</v>
      </c>
      <c r="C348" s="65" t="s">
        <v>2101</v>
      </c>
      <c r="D348" s="66">
        <v>3</v>
      </c>
      <c r="E348" s="67"/>
      <c r="F348" s="68">
        <v>40</v>
      </c>
      <c r="G348" s="65"/>
      <c r="H348" s="69"/>
      <c r="I348" s="70"/>
      <c r="J348" s="70"/>
      <c r="K348" s="35" t="s">
        <v>65</v>
      </c>
      <c r="L348" s="77">
        <v>348</v>
      </c>
      <c r="M34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48" s="72"/>
      <c r="O348" s="79" t="s">
        <v>338</v>
      </c>
      <c r="P348" s="81">
        <v>44404.94494212963</v>
      </c>
      <c r="Q348" s="79" t="s">
        <v>356</v>
      </c>
      <c r="R348" s="79"/>
      <c r="S348" s="79"/>
      <c r="T348" s="85" t="s">
        <v>461</v>
      </c>
      <c r="U348" s="83" t="str">
        <f t="shared" si="14"/>
        <v>https://pbs.twimg.com/media/E7VCWcGXMAQx84B.jpg</v>
      </c>
      <c r="V348" s="83" t="str">
        <f t="shared" si="14"/>
        <v>https://pbs.twimg.com/media/E7VCWcGXMAQx84B.jpg</v>
      </c>
      <c r="W348" s="81">
        <v>44404.94494212963</v>
      </c>
      <c r="X348" s="87">
        <v>44404</v>
      </c>
      <c r="Y348" s="85" t="s">
        <v>535</v>
      </c>
      <c r="Z348" s="83" t="str">
        <f>HYPERLINK("https://twitter.com/beecyoung/status/1420152197489340416")</f>
        <v>https://twitter.com/beecyoung/status/1420152197489340416</v>
      </c>
      <c r="AA348" s="79"/>
      <c r="AB348" s="79"/>
      <c r="AC348" s="85" t="s">
        <v>712</v>
      </c>
      <c r="AD348" s="79"/>
      <c r="AE348" s="79" t="b">
        <v>0</v>
      </c>
      <c r="AF348" s="79">
        <v>0</v>
      </c>
      <c r="AG348" s="85" t="s">
        <v>867</v>
      </c>
      <c r="AH348" s="79" t="b">
        <v>0</v>
      </c>
      <c r="AI348" s="79" t="s">
        <v>874</v>
      </c>
      <c r="AJ348" s="79"/>
      <c r="AK348" s="85" t="s">
        <v>867</v>
      </c>
      <c r="AL348" s="79" t="b">
        <v>0</v>
      </c>
      <c r="AM348" s="79">
        <v>21</v>
      </c>
      <c r="AN348" s="85" t="s">
        <v>736</v>
      </c>
      <c r="AO348" s="85" t="s">
        <v>883</v>
      </c>
      <c r="AP348" s="79" t="b">
        <v>0</v>
      </c>
      <c r="AQ348" s="85" t="s">
        <v>736</v>
      </c>
      <c r="AR348" s="79" t="s">
        <v>177</v>
      </c>
      <c r="AS348" s="79">
        <v>0</v>
      </c>
      <c r="AT348" s="79">
        <v>0</v>
      </c>
      <c r="AU348" s="79"/>
      <c r="AV348" s="79"/>
      <c r="AW348" s="79"/>
      <c r="AX348" s="79"/>
      <c r="AY348" s="79"/>
      <c r="AZ348" s="79"/>
      <c r="BA348" s="79"/>
      <c r="BB348" s="79"/>
      <c r="BC348">
        <v>1</v>
      </c>
      <c r="BD348" s="78" t="str">
        <f>REPLACE(INDEX(GroupVertices[Group], MATCH(Edges[[#This Row],[Vertex 1]],GroupVertices[Vertex],0)),1,1,"")</f>
        <v>2</v>
      </c>
      <c r="BE348" s="78" t="str">
        <f>REPLACE(INDEX(GroupVertices[Group], MATCH(Edges[[#This Row],[Vertex 2]],GroupVertices[Vertex],0)),1,1,"")</f>
        <v>2</v>
      </c>
    </row>
    <row r="349" spans="1:57" x14ac:dyDescent="0.25">
      <c r="A349" s="64" t="s">
        <v>242</v>
      </c>
      <c r="B349" s="64" t="s">
        <v>257</v>
      </c>
      <c r="C349" s="65" t="s">
        <v>2101</v>
      </c>
      <c r="D349" s="66">
        <v>3</v>
      </c>
      <c r="E349" s="67"/>
      <c r="F349" s="68">
        <v>40</v>
      </c>
      <c r="G349" s="65"/>
      <c r="H349" s="69"/>
      <c r="I349" s="70"/>
      <c r="J349" s="70"/>
      <c r="K349" s="35" t="s">
        <v>65</v>
      </c>
      <c r="L349" s="77">
        <v>349</v>
      </c>
      <c r="M34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49" s="72"/>
      <c r="O349" s="79" t="s">
        <v>338</v>
      </c>
      <c r="P349" s="81">
        <v>44404.977719907409</v>
      </c>
      <c r="Q349" s="79" t="s">
        <v>356</v>
      </c>
      <c r="R349" s="79"/>
      <c r="S349" s="79"/>
      <c r="T349" s="85" t="s">
        <v>461</v>
      </c>
      <c r="U349" s="83" t="str">
        <f t="shared" si="14"/>
        <v>https://pbs.twimg.com/media/E7VCWcGXMAQx84B.jpg</v>
      </c>
      <c r="V349" s="83" t="str">
        <f t="shared" si="14"/>
        <v>https://pbs.twimg.com/media/E7VCWcGXMAQx84B.jpg</v>
      </c>
      <c r="W349" s="81">
        <v>44404.977719907409</v>
      </c>
      <c r="X349" s="87">
        <v>44404</v>
      </c>
      <c r="Y349" s="85" t="s">
        <v>536</v>
      </c>
      <c r="Z349" s="83" t="str">
        <f>HYPERLINK("https://twitter.com/kaydontplay_12/status/1420164076441939969")</f>
        <v>https://twitter.com/kaydontplay_12/status/1420164076441939969</v>
      </c>
      <c r="AA349" s="79"/>
      <c r="AB349" s="79"/>
      <c r="AC349" s="85" t="s">
        <v>713</v>
      </c>
      <c r="AD349" s="79"/>
      <c r="AE349" s="79" t="b">
        <v>0</v>
      </c>
      <c r="AF349" s="79">
        <v>0</v>
      </c>
      <c r="AG349" s="85" t="s">
        <v>867</v>
      </c>
      <c r="AH349" s="79" t="b">
        <v>0</v>
      </c>
      <c r="AI349" s="79" t="s">
        <v>874</v>
      </c>
      <c r="AJ349" s="79"/>
      <c r="AK349" s="85" t="s">
        <v>867</v>
      </c>
      <c r="AL349" s="79" t="b">
        <v>0</v>
      </c>
      <c r="AM349" s="79">
        <v>21</v>
      </c>
      <c r="AN349" s="85" t="s">
        <v>736</v>
      </c>
      <c r="AO349" s="85" t="s">
        <v>883</v>
      </c>
      <c r="AP349" s="79" t="b">
        <v>0</v>
      </c>
      <c r="AQ349" s="85" t="s">
        <v>736</v>
      </c>
      <c r="AR349" s="79" t="s">
        <v>177</v>
      </c>
      <c r="AS349" s="79">
        <v>0</v>
      </c>
      <c r="AT349" s="79">
        <v>0</v>
      </c>
      <c r="AU349" s="79"/>
      <c r="AV349" s="79"/>
      <c r="AW349" s="79"/>
      <c r="AX349" s="79"/>
      <c r="AY349" s="79"/>
      <c r="AZ349" s="79"/>
      <c r="BA349" s="79"/>
      <c r="BB349" s="79"/>
      <c r="BC349">
        <v>1</v>
      </c>
      <c r="BD349" s="78" t="str">
        <f>REPLACE(INDEX(GroupVertices[Group], MATCH(Edges[[#This Row],[Vertex 1]],GroupVertices[Vertex],0)),1,1,"")</f>
        <v>2</v>
      </c>
      <c r="BE349" s="78" t="str">
        <f>REPLACE(INDEX(GroupVertices[Group], MATCH(Edges[[#This Row],[Vertex 2]],GroupVertices[Vertex],0)),1,1,"")</f>
        <v>2</v>
      </c>
    </row>
    <row r="350" spans="1:57" x14ac:dyDescent="0.25">
      <c r="A350" s="64" t="s">
        <v>243</v>
      </c>
      <c r="B350" s="64" t="s">
        <v>257</v>
      </c>
      <c r="C350" s="65" t="s">
        <v>2101</v>
      </c>
      <c r="D350" s="66">
        <v>3</v>
      </c>
      <c r="E350" s="67"/>
      <c r="F350" s="68">
        <v>40</v>
      </c>
      <c r="G350" s="65"/>
      <c r="H350" s="69"/>
      <c r="I350" s="70"/>
      <c r="J350" s="70"/>
      <c r="K350" s="35" t="s">
        <v>65</v>
      </c>
      <c r="L350" s="77">
        <v>350</v>
      </c>
      <c r="M35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50" s="72"/>
      <c r="O350" s="79" t="s">
        <v>337</v>
      </c>
      <c r="P350" s="81">
        <v>44404.98777777778</v>
      </c>
      <c r="Q350" s="79" t="s">
        <v>358</v>
      </c>
      <c r="R350" s="83" t="str">
        <f>HYPERLINK("https://twitter.com/_MABurnett/status/1420114213658402821")</f>
        <v>https://twitter.com/_MABurnett/status/1420114213658402821</v>
      </c>
      <c r="S350" s="79" t="s">
        <v>449</v>
      </c>
      <c r="T350" s="85" t="s">
        <v>461</v>
      </c>
      <c r="U350" s="79"/>
      <c r="V350" s="83" t="str">
        <f>HYPERLINK("https://pbs.twimg.com/profile_images/1397201966644830209/6IwLm778_normal.jpg")</f>
        <v>https://pbs.twimg.com/profile_images/1397201966644830209/6IwLm778_normal.jpg</v>
      </c>
      <c r="W350" s="81">
        <v>44404.98777777778</v>
      </c>
      <c r="X350" s="87">
        <v>44404</v>
      </c>
      <c r="Y350" s="85" t="s">
        <v>537</v>
      </c>
      <c r="Z350" s="83" t="str">
        <f>HYPERLINK("https://twitter.com/miajanai_/status/1420167720784515080")</f>
        <v>https://twitter.com/miajanai_/status/1420167720784515080</v>
      </c>
      <c r="AA350" s="79"/>
      <c r="AB350" s="79"/>
      <c r="AC350" s="85" t="s">
        <v>714</v>
      </c>
      <c r="AD350" s="79"/>
      <c r="AE350" s="79" t="b">
        <v>0</v>
      </c>
      <c r="AF350" s="79">
        <v>0</v>
      </c>
      <c r="AG350" s="85" t="s">
        <v>867</v>
      </c>
      <c r="AH350" s="79" t="b">
        <v>1</v>
      </c>
      <c r="AI350" s="79" t="s">
        <v>874</v>
      </c>
      <c r="AJ350" s="79"/>
      <c r="AK350" s="85" t="s">
        <v>736</v>
      </c>
      <c r="AL350" s="79" t="b">
        <v>0</v>
      </c>
      <c r="AM350" s="79">
        <v>5</v>
      </c>
      <c r="AN350" s="85" t="s">
        <v>730</v>
      </c>
      <c r="AO350" s="85" t="s">
        <v>883</v>
      </c>
      <c r="AP350" s="79" t="b">
        <v>0</v>
      </c>
      <c r="AQ350" s="85" t="s">
        <v>730</v>
      </c>
      <c r="AR350" s="79" t="s">
        <v>177</v>
      </c>
      <c r="AS350" s="79">
        <v>0</v>
      </c>
      <c r="AT350" s="79">
        <v>0</v>
      </c>
      <c r="AU350" s="79"/>
      <c r="AV350" s="79"/>
      <c r="AW350" s="79"/>
      <c r="AX350" s="79"/>
      <c r="AY350" s="79"/>
      <c r="AZ350" s="79"/>
      <c r="BA350" s="79"/>
      <c r="BB350" s="79"/>
      <c r="BC350">
        <v>1</v>
      </c>
      <c r="BD350" s="78" t="str">
        <f>REPLACE(INDEX(GroupVertices[Group], MATCH(Edges[[#This Row],[Vertex 1]],GroupVertices[Vertex],0)),1,1,"")</f>
        <v>2</v>
      </c>
      <c r="BE350" s="78" t="str">
        <f>REPLACE(INDEX(GroupVertices[Group], MATCH(Edges[[#This Row],[Vertex 2]],GroupVertices[Vertex],0)),1,1,"")</f>
        <v>2</v>
      </c>
    </row>
    <row r="351" spans="1:57" x14ac:dyDescent="0.25">
      <c r="A351" s="64" t="s">
        <v>244</v>
      </c>
      <c r="B351" s="64" t="s">
        <v>257</v>
      </c>
      <c r="C351" s="65" t="s">
        <v>2101</v>
      </c>
      <c r="D351" s="66">
        <v>3</v>
      </c>
      <c r="E351" s="67"/>
      <c r="F351" s="68">
        <v>40</v>
      </c>
      <c r="G351" s="65"/>
      <c r="H351" s="69"/>
      <c r="I351" s="70"/>
      <c r="J351" s="70"/>
      <c r="K351" s="35" t="s">
        <v>65</v>
      </c>
      <c r="L351" s="77">
        <v>351</v>
      </c>
      <c r="M35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51" s="72"/>
      <c r="O351" s="79" t="s">
        <v>338</v>
      </c>
      <c r="P351" s="81">
        <v>44405.005162037036</v>
      </c>
      <c r="Q351" s="79" t="s">
        <v>356</v>
      </c>
      <c r="R351" s="79"/>
      <c r="S351" s="79"/>
      <c r="T351" s="85" t="s">
        <v>461</v>
      </c>
      <c r="U351" s="83" t="str">
        <f>HYPERLINK("https://pbs.twimg.com/media/E7VCWcGXMAQx84B.jpg")</f>
        <v>https://pbs.twimg.com/media/E7VCWcGXMAQx84B.jpg</v>
      </c>
      <c r="V351" s="83" t="str">
        <f>HYPERLINK("https://pbs.twimg.com/media/E7VCWcGXMAQx84B.jpg")</f>
        <v>https://pbs.twimg.com/media/E7VCWcGXMAQx84B.jpg</v>
      </c>
      <c r="W351" s="81">
        <v>44405.005162037036</v>
      </c>
      <c r="X351" s="87">
        <v>44405</v>
      </c>
      <c r="Y351" s="85" t="s">
        <v>538</v>
      </c>
      <c r="Z351" s="83" t="str">
        <f>HYPERLINK("https://twitter.com/monieelovee_/status/1420174020666929157")</f>
        <v>https://twitter.com/monieelovee_/status/1420174020666929157</v>
      </c>
      <c r="AA351" s="79"/>
      <c r="AB351" s="79"/>
      <c r="AC351" s="85" t="s">
        <v>715</v>
      </c>
      <c r="AD351" s="79"/>
      <c r="AE351" s="79" t="b">
        <v>0</v>
      </c>
      <c r="AF351" s="79">
        <v>0</v>
      </c>
      <c r="AG351" s="85" t="s">
        <v>867</v>
      </c>
      <c r="AH351" s="79" t="b">
        <v>0</v>
      </c>
      <c r="AI351" s="79" t="s">
        <v>874</v>
      </c>
      <c r="AJ351" s="79"/>
      <c r="AK351" s="85" t="s">
        <v>867</v>
      </c>
      <c r="AL351" s="79" t="b">
        <v>0</v>
      </c>
      <c r="AM351" s="79">
        <v>21</v>
      </c>
      <c r="AN351" s="85" t="s">
        <v>736</v>
      </c>
      <c r="AO351" s="85" t="s">
        <v>883</v>
      </c>
      <c r="AP351" s="79" t="b">
        <v>0</v>
      </c>
      <c r="AQ351" s="85" t="s">
        <v>736</v>
      </c>
      <c r="AR351" s="79" t="s">
        <v>177</v>
      </c>
      <c r="AS351" s="79">
        <v>0</v>
      </c>
      <c r="AT351" s="79">
        <v>0</v>
      </c>
      <c r="AU351" s="79"/>
      <c r="AV351" s="79"/>
      <c r="AW351" s="79"/>
      <c r="AX351" s="79"/>
      <c r="AY351" s="79"/>
      <c r="AZ351" s="79"/>
      <c r="BA351" s="79"/>
      <c r="BB351" s="79"/>
      <c r="BC351">
        <v>1</v>
      </c>
      <c r="BD351" s="78" t="str">
        <f>REPLACE(INDEX(GroupVertices[Group], MATCH(Edges[[#This Row],[Vertex 1]],GroupVertices[Vertex],0)),1,1,"")</f>
        <v>2</v>
      </c>
      <c r="BE351" s="78" t="str">
        <f>REPLACE(INDEX(GroupVertices[Group], MATCH(Edges[[#This Row],[Vertex 2]],GroupVertices[Vertex],0)),1,1,"")</f>
        <v>2</v>
      </c>
    </row>
    <row r="352" spans="1:57" x14ac:dyDescent="0.25">
      <c r="A352" s="64" t="s">
        <v>246</v>
      </c>
      <c r="B352" s="64" t="s">
        <v>257</v>
      </c>
      <c r="C352" s="65" t="s">
        <v>2101</v>
      </c>
      <c r="D352" s="66">
        <v>3</v>
      </c>
      <c r="E352" s="67"/>
      <c r="F352" s="68">
        <v>40</v>
      </c>
      <c r="G352" s="65"/>
      <c r="H352" s="69"/>
      <c r="I352" s="70"/>
      <c r="J352" s="70"/>
      <c r="K352" s="35" t="s">
        <v>65</v>
      </c>
      <c r="L352" s="77">
        <v>352</v>
      </c>
      <c r="M352"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52" s="72"/>
      <c r="O352" s="79" t="s">
        <v>337</v>
      </c>
      <c r="P352" s="81">
        <v>44405.043622685182</v>
      </c>
      <c r="Q352" s="79" t="s">
        <v>358</v>
      </c>
      <c r="R352" s="83" t="str">
        <f>HYPERLINK("https://twitter.com/_MABurnett/status/1420114213658402821")</f>
        <v>https://twitter.com/_MABurnett/status/1420114213658402821</v>
      </c>
      <c r="S352" s="79" t="s">
        <v>449</v>
      </c>
      <c r="T352" s="85" t="s">
        <v>461</v>
      </c>
      <c r="U352" s="79"/>
      <c r="V352" s="83" t="str">
        <f>HYPERLINK("https://pbs.twimg.com/profile_images/1149100954437869568/ADya6w5m_normal.jpg")</f>
        <v>https://pbs.twimg.com/profile_images/1149100954437869568/ADya6w5m_normal.jpg</v>
      </c>
      <c r="W352" s="81">
        <v>44405.043622685182</v>
      </c>
      <c r="X352" s="87">
        <v>44405</v>
      </c>
      <c r="Y352" s="85" t="s">
        <v>541</v>
      </c>
      <c r="Z352" s="83" t="str">
        <f>HYPERLINK("https://twitter.com/logangin/status/1420187958502588417")</f>
        <v>https://twitter.com/logangin/status/1420187958502588417</v>
      </c>
      <c r="AA352" s="79"/>
      <c r="AB352" s="79"/>
      <c r="AC352" s="85" t="s">
        <v>720</v>
      </c>
      <c r="AD352" s="79"/>
      <c r="AE352" s="79" t="b">
        <v>0</v>
      </c>
      <c r="AF352" s="79">
        <v>0</v>
      </c>
      <c r="AG352" s="85" t="s">
        <v>867</v>
      </c>
      <c r="AH352" s="79" t="b">
        <v>1</v>
      </c>
      <c r="AI352" s="79" t="s">
        <v>874</v>
      </c>
      <c r="AJ352" s="79"/>
      <c r="AK352" s="85" t="s">
        <v>736</v>
      </c>
      <c r="AL352" s="79" t="b">
        <v>0</v>
      </c>
      <c r="AM352" s="79">
        <v>5</v>
      </c>
      <c r="AN352" s="85" t="s">
        <v>730</v>
      </c>
      <c r="AO352" s="85" t="s">
        <v>883</v>
      </c>
      <c r="AP352" s="79" t="b">
        <v>0</v>
      </c>
      <c r="AQ352" s="85" t="s">
        <v>730</v>
      </c>
      <c r="AR352" s="79" t="s">
        <v>177</v>
      </c>
      <c r="AS352" s="79">
        <v>0</v>
      </c>
      <c r="AT352" s="79">
        <v>0</v>
      </c>
      <c r="AU352" s="79"/>
      <c r="AV352" s="79"/>
      <c r="AW352" s="79"/>
      <c r="AX352" s="79"/>
      <c r="AY352" s="79"/>
      <c r="AZ352" s="79"/>
      <c r="BA352" s="79"/>
      <c r="BB352" s="79"/>
      <c r="BC352">
        <v>1</v>
      </c>
      <c r="BD352" s="78" t="str">
        <f>REPLACE(INDEX(GroupVertices[Group], MATCH(Edges[[#This Row],[Vertex 1]],GroupVertices[Vertex],0)),1,1,"")</f>
        <v>2</v>
      </c>
      <c r="BE352" s="78" t="str">
        <f>REPLACE(INDEX(GroupVertices[Group], MATCH(Edges[[#This Row],[Vertex 2]],GroupVertices[Vertex],0)),1,1,"")</f>
        <v>2</v>
      </c>
    </row>
    <row r="353" spans="1:57" x14ac:dyDescent="0.25">
      <c r="A353" s="64" t="s">
        <v>247</v>
      </c>
      <c r="B353" s="64" t="s">
        <v>257</v>
      </c>
      <c r="C353" s="65" t="s">
        <v>2101</v>
      </c>
      <c r="D353" s="66">
        <v>3</v>
      </c>
      <c r="E353" s="67"/>
      <c r="F353" s="68">
        <v>40</v>
      </c>
      <c r="G353" s="65"/>
      <c r="H353" s="69"/>
      <c r="I353" s="70"/>
      <c r="J353" s="70"/>
      <c r="K353" s="35" t="s">
        <v>65</v>
      </c>
      <c r="L353" s="77">
        <v>353</v>
      </c>
      <c r="M353"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53" s="72"/>
      <c r="O353" s="79" t="s">
        <v>338</v>
      </c>
      <c r="P353" s="81">
        <v>44405.090324074074</v>
      </c>
      <c r="Q353" s="79" t="s">
        <v>356</v>
      </c>
      <c r="R353" s="79"/>
      <c r="S353" s="79"/>
      <c r="T353" s="85" t="s">
        <v>461</v>
      </c>
      <c r="U353" s="83" t="str">
        <f t="shared" ref="U353:V359" si="15">HYPERLINK("https://pbs.twimg.com/media/E7VCWcGXMAQx84B.jpg")</f>
        <v>https://pbs.twimg.com/media/E7VCWcGXMAQx84B.jpg</v>
      </c>
      <c r="V353" s="83" t="str">
        <f t="shared" si="15"/>
        <v>https://pbs.twimg.com/media/E7VCWcGXMAQx84B.jpg</v>
      </c>
      <c r="W353" s="81">
        <v>44405.090324074074</v>
      </c>
      <c r="X353" s="87">
        <v>44405</v>
      </c>
      <c r="Y353" s="85" t="s">
        <v>542</v>
      </c>
      <c r="Z353" s="83" t="str">
        <f>HYPERLINK("https://twitter.com/lamarrichards_/status/1420204880652906500")</f>
        <v>https://twitter.com/lamarrichards_/status/1420204880652906500</v>
      </c>
      <c r="AA353" s="79"/>
      <c r="AB353" s="79"/>
      <c r="AC353" s="85" t="s">
        <v>721</v>
      </c>
      <c r="AD353" s="79"/>
      <c r="AE353" s="79" t="b">
        <v>0</v>
      </c>
      <c r="AF353" s="79">
        <v>0</v>
      </c>
      <c r="AG353" s="85" t="s">
        <v>867</v>
      </c>
      <c r="AH353" s="79" t="b">
        <v>0</v>
      </c>
      <c r="AI353" s="79" t="s">
        <v>874</v>
      </c>
      <c r="AJ353" s="79"/>
      <c r="AK353" s="85" t="s">
        <v>867</v>
      </c>
      <c r="AL353" s="79" t="b">
        <v>0</v>
      </c>
      <c r="AM353" s="79">
        <v>21</v>
      </c>
      <c r="AN353" s="85" t="s">
        <v>736</v>
      </c>
      <c r="AO353" s="85" t="s">
        <v>883</v>
      </c>
      <c r="AP353" s="79" t="b">
        <v>0</v>
      </c>
      <c r="AQ353" s="85" t="s">
        <v>736</v>
      </c>
      <c r="AR353" s="79" t="s">
        <v>177</v>
      </c>
      <c r="AS353" s="79">
        <v>0</v>
      </c>
      <c r="AT353" s="79">
        <v>0</v>
      </c>
      <c r="AU353" s="79"/>
      <c r="AV353" s="79"/>
      <c r="AW353" s="79"/>
      <c r="AX353" s="79"/>
      <c r="AY353" s="79"/>
      <c r="AZ353" s="79"/>
      <c r="BA353" s="79"/>
      <c r="BB353" s="79"/>
      <c r="BC353">
        <v>1</v>
      </c>
      <c r="BD353" s="78" t="str">
        <f>REPLACE(INDEX(GroupVertices[Group], MATCH(Edges[[#This Row],[Vertex 1]],GroupVertices[Vertex],0)),1,1,"")</f>
        <v>2</v>
      </c>
      <c r="BE353" s="78" t="str">
        <f>REPLACE(INDEX(GroupVertices[Group], MATCH(Edges[[#This Row],[Vertex 2]],GroupVertices[Vertex],0)),1,1,"")</f>
        <v>2</v>
      </c>
    </row>
    <row r="354" spans="1:57" x14ac:dyDescent="0.25">
      <c r="A354" s="64" t="s">
        <v>248</v>
      </c>
      <c r="B354" s="64" t="s">
        <v>257</v>
      </c>
      <c r="C354" s="65" t="s">
        <v>2101</v>
      </c>
      <c r="D354" s="66">
        <v>3</v>
      </c>
      <c r="E354" s="67"/>
      <c r="F354" s="68">
        <v>40</v>
      </c>
      <c r="G354" s="65"/>
      <c r="H354" s="69"/>
      <c r="I354" s="70"/>
      <c r="J354" s="70"/>
      <c r="K354" s="35" t="s">
        <v>65</v>
      </c>
      <c r="L354" s="77">
        <v>354</v>
      </c>
      <c r="M354"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54" s="72"/>
      <c r="O354" s="79" t="s">
        <v>338</v>
      </c>
      <c r="P354" s="81">
        <v>44405.09615740741</v>
      </c>
      <c r="Q354" s="79" t="s">
        <v>356</v>
      </c>
      <c r="R354" s="79"/>
      <c r="S354" s="79"/>
      <c r="T354" s="85" t="s">
        <v>461</v>
      </c>
      <c r="U354" s="83" t="str">
        <f t="shared" si="15"/>
        <v>https://pbs.twimg.com/media/E7VCWcGXMAQx84B.jpg</v>
      </c>
      <c r="V354" s="83" t="str">
        <f t="shared" si="15"/>
        <v>https://pbs.twimg.com/media/E7VCWcGXMAQx84B.jpg</v>
      </c>
      <c r="W354" s="81">
        <v>44405.09615740741</v>
      </c>
      <c r="X354" s="87">
        <v>44405</v>
      </c>
      <c r="Y354" s="85" t="s">
        <v>543</v>
      </c>
      <c r="Z354" s="83" t="str">
        <f>HYPERLINK("https://twitter.com/blasiangoddessx/status/1420206994749861892")</f>
        <v>https://twitter.com/blasiangoddessx/status/1420206994749861892</v>
      </c>
      <c r="AA354" s="79"/>
      <c r="AB354" s="79"/>
      <c r="AC354" s="85" t="s">
        <v>722</v>
      </c>
      <c r="AD354" s="79"/>
      <c r="AE354" s="79" t="b">
        <v>0</v>
      </c>
      <c r="AF354" s="79">
        <v>0</v>
      </c>
      <c r="AG354" s="85" t="s">
        <v>867</v>
      </c>
      <c r="AH354" s="79" t="b">
        <v>0</v>
      </c>
      <c r="AI354" s="79" t="s">
        <v>874</v>
      </c>
      <c r="AJ354" s="79"/>
      <c r="AK354" s="85" t="s">
        <v>867</v>
      </c>
      <c r="AL354" s="79" t="b">
        <v>0</v>
      </c>
      <c r="AM354" s="79">
        <v>21</v>
      </c>
      <c r="AN354" s="85" t="s">
        <v>736</v>
      </c>
      <c r="AO354" s="85" t="s">
        <v>883</v>
      </c>
      <c r="AP354" s="79" t="b">
        <v>0</v>
      </c>
      <c r="AQ354" s="85" t="s">
        <v>736</v>
      </c>
      <c r="AR354" s="79" t="s">
        <v>177</v>
      </c>
      <c r="AS354" s="79">
        <v>0</v>
      </c>
      <c r="AT354" s="79">
        <v>0</v>
      </c>
      <c r="AU354" s="79"/>
      <c r="AV354" s="79"/>
      <c r="AW354" s="79"/>
      <c r="AX354" s="79"/>
      <c r="AY354" s="79"/>
      <c r="AZ354" s="79"/>
      <c r="BA354" s="79"/>
      <c r="BB354" s="79"/>
      <c r="BC354">
        <v>1</v>
      </c>
      <c r="BD354" s="78" t="str">
        <f>REPLACE(INDEX(GroupVertices[Group], MATCH(Edges[[#This Row],[Vertex 1]],GroupVertices[Vertex],0)),1,1,"")</f>
        <v>2</v>
      </c>
      <c r="BE354" s="78" t="str">
        <f>REPLACE(INDEX(GroupVertices[Group], MATCH(Edges[[#This Row],[Vertex 2]],GroupVertices[Vertex],0)),1,1,"")</f>
        <v>2</v>
      </c>
    </row>
    <row r="355" spans="1:57" x14ac:dyDescent="0.25">
      <c r="A355" s="64" t="s">
        <v>249</v>
      </c>
      <c r="B355" s="64" t="s">
        <v>257</v>
      </c>
      <c r="C355" s="65" t="s">
        <v>2101</v>
      </c>
      <c r="D355" s="66">
        <v>3</v>
      </c>
      <c r="E355" s="67"/>
      <c r="F355" s="68">
        <v>40</v>
      </c>
      <c r="G355" s="65"/>
      <c r="H355" s="69"/>
      <c r="I355" s="70"/>
      <c r="J355" s="70"/>
      <c r="K355" s="35" t="s">
        <v>65</v>
      </c>
      <c r="L355" s="77">
        <v>355</v>
      </c>
      <c r="M355"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55" s="72"/>
      <c r="O355" s="79" t="s">
        <v>338</v>
      </c>
      <c r="P355" s="81">
        <v>44405.118437500001</v>
      </c>
      <c r="Q355" s="79" t="s">
        <v>356</v>
      </c>
      <c r="R355" s="79"/>
      <c r="S355" s="79"/>
      <c r="T355" s="85" t="s">
        <v>461</v>
      </c>
      <c r="U355" s="83" t="str">
        <f t="shared" si="15"/>
        <v>https://pbs.twimg.com/media/E7VCWcGXMAQx84B.jpg</v>
      </c>
      <c r="V355" s="83" t="str">
        <f t="shared" si="15"/>
        <v>https://pbs.twimg.com/media/E7VCWcGXMAQx84B.jpg</v>
      </c>
      <c r="W355" s="81">
        <v>44405.118437500001</v>
      </c>
      <c r="X355" s="87">
        <v>44405</v>
      </c>
      <c r="Y355" s="85" t="s">
        <v>544</v>
      </c>
      <c r="Z355" s="83" t="str">
        <f>HYPERLINK("https://twitter.com/jbookthacrook/status/1420215068940292096")</f>
        <v>https://twitter.com/jbookthacrook/status/1420215068940292096</v>
      </c>
      <c r="AA355" s="79"/>
      <c r="AB355" s="79"/>
      <c r="AC355" s="85" t="s">
        <v>723</v>
      </c>
      <c r="AD355" s="79"/>
      <c r="AE355" s="79" t="b">
        <v>0</v>
      </c>
      <c r="AF355" s="79">
        <v>0</v>
      </c>
      <c r="AG355" s="85" t="s">
        <v>867</v>
      </c>
      <c r="AH355" s="79" t="b">
        <v>0</v>
      </c>
      <c r="AI355" s="79" t="s">
        <v>874</v>
      </c>
      <c r="AJ355" s="79"/>
      <c r="AK355" s="85" t="s">
        <v>867</v>
      </c>
      <c r="AL355" s="79" t="b">
        <v>0</v>
      </c>
      <c r="AM355" s="79">
        <v>21</v>
      </c>
      <c r="AN355" s="85" t="s">
        <v>736</v>
      </c>
      <c r="AO355" s="85" t="s">
        <v>883</v>
      </c>
      <c r="AP355" s="79" t="b">
        <v>0</v>
      </c>
      <c r="AQ355" s="85" t="s">
        <v>736</v>
      </c>
      <c r="AR355" s="79" t="s">
        <v>177</v>
      </c>
      <c r="AS355" s="79">
        <v>0</v>
      </c>
      <c r="AT355" s="79">
        <v>0</v>
      </c>
      <c r="AU355" s="79"/>
      <c r="AV355" s="79"/>
      <c r="AW355" s="79"/>
      <c r="AX355" s="79"/>
      <c r="AY355" s="79"/>
      <c r="AZ355" s="79"/>
      <c r="BA355" s="79"/>
      <c r="BB355" s="79"/>
      <c r="BC355">
        <v>1</v>
      </c>
      <c r="BD355" s="78" t="str">
        <f>REPLACE(INDEX(GroupVertices[Group], MATCH(Edges[[#This Row],[Vertex 1]],GroupVertices[Vertex],0)),1,1,"")</f>
        <v>2</v>
      </c>
      <c r="BE355" s="78" t="str">
        <f>REPLACE(INDEX(GroupVertices[Group], MATCH(Edges[[#This Row],[Vertex 2]],GroupVertices[Vertex],0)),1,1,"")</f>
        <v>2</v>
      </c>
    </row>
    <row r="356" spans="1:57" x14ac:dyDescent="0.25">
      <c r="A356" s="64" t="s">
        <v>250</v>
      </c>
      <c r="B356" s="64" t="s">
        <v>257</v>
      </c>
      <c r="C356" s="65" t="s">
        <v>2101</v>
      </c>
      <c r="D356" s="66">
        <v>3</v>
      </c>
      <c r="E356" s="67"/>
      <c r="F356" s="68">
        <v>40</v>
      </c>
      <c r="G356" s="65"/>
      <c r="H356" s="69"/>
      <c r="I356" s="70"/>
      <c r="J356" s="70"/>
      <c r="K356" s="35" t="s">
        <v>65</v>
      </c>
      <c r="L356" s="77">
        <v>356</v>
      </c>
      <c r="M356"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56" s="72"/>
      <c r="O356" s="79" t="s">
        <v>338</v>
      </c>
      <c r="P356" s="81">
        <v>44405.177488425928</v>
      </c>
      <c r="Q356" s="79" t="s">
        <v>356</v>
      </c>
      <c r="R356" s="79"/>
      <c r="S356" s="79"/>
      <c r="T356" s="85" t="s">
        <v>461</v>
      </c>
      <c r="U356" s="83" t="str">
        <f t="shared" si="15"/>
        <v>https://pbs.twimg.com/media/E7VCWcGXMAQx84B.jpg</v>
      </c>
      <c r="V356" s="83" t="str">
        <f t="shared" si="15"/>
        <v>https://pbs.twimg.com/media/E7VCWcGXMAQx84B.jpg</v>
      </c>
      <c r="W356" s="81">
        <v>44405.177488425928</v>
      </c>
      <c r="X356" s="87">
        <v>44405</v>
      </c>
      <c r="Y356" s="85" t="s">
        <v>545</v>
      </c>
      <c r="Z356" s="83" t="str">
        <f>HYPERLINK("https://twitter.com/nike_bass95/status/1420236468702924801")</f>
        <v>https://twitter.com/nike_bass95/status/1420236468702924801</v>
      </c>
      <c r="AA356" s="79"/>
      <c r="AB356" s="79"/>
      <c r="AC356" s="85" t="s">
        <v>724</v>
      </c>
      <c r="AD356" s="79"/>
      <c r="AE356" s="79" t="b">
        <v>0</v>
      </c>
      <c r="AF356" s="79">
        <v>0</v>
      </c>
      <c r="AG356" s="85" t="s">
        <v>867</v>
      </c>
      <c r="AH356" s="79" t="b">
        <v>0</v>
      </c>
      <c r="AI356" s="79" t="s">
        <v>874</v>
      </c>
      <c r="AJ356" s="79"/>
      <c r="AK356" s="85" t="s">
        <v>867</v>
      </c>
      <c r="AL356" s="79" t="b">
        <v>0</v>
      </c>
      <c r="AM356" s="79">
        <v>21</v>
      </c>
      <c r="AN356" s="85" t="s">
        <v>736</v>
      </c>
      <c r="AO356" s="85" t="s">
        <v>883</v>
      </c>
      <c r="AP356" s="79" t="b">
        <v>0</v>
      </c>
      <c r="AQ356" s="85" t="s">
        <v>736</v>
      </c>
      <c r="AR356" s="79" t="s">
        <v>177</v>
      </c>
      <c r="AS356" s="79">
        <v>0</v>
      </c>
      <c r="AT356" s="79">
        <v>0</v>
      </c>
      <c r="AU356" s="79"/>
      <c r="AV356" s="79"/>
      <c r="AW356" s="79"/>
      <c r="AX356" s="79"/>
      <c r="AY356" s="79"/>
      <c r="AZ356" s="79"/>
      <c r="BA356" s="79"/>
      <c r="BB356" s="79"/>
      <c r="BC356">
        <v>1</v>
      </c>
      <c r="BD356" s="78" t="str">
        <f>REPLACE(INDEX(GroupVertices[Group], MATCH(Edges[[#This Row],[Vertex 1]],GroupVertices[Vertex],0)),1,1,"")</f>
        <v>2</v>
      </c>
      <c r="BE356" s="78" t="str">
        <f>REPLACE(INDEX(GroupVertices[Group], MATCH(Edges[[#This Row],[Vertex 2]],GroupVertices[Vertex],0)),1,1,"")</f>
        <v>2</v>
      </c>
    </row>
    <row r="357" spans="1:57" x14ac:dyDescent="0.25">
      <c r="A357" s="64" t="s">
        <v>251</v>
      </c>
      <c r="B357" s="64" t="s">
        <v>257</v>
      </c>
      <c r="C357" s="65" t="s">
        <v>2101</v>
      </c>
      <c r="D357" s="66">
        <v>3</v>
      </c>
      <c r="E357" s="67"/>
      <c r="F357" s="68">
        <v>40</v>
      </c>
      <c r="G357" s="65"/>
      <c r="H357" s="69"/>
      <c r="I357" s="70"/>
      <c r="J357" s="70"/>
      <c r="K357" s="35" t="s">
        <v>65</v>
      </c>
      <c r="L357" s="77">
        <v>357</v>
      </c>
      <c r="M357"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57" s="72"/>
      <c r="O357" s="79" t="s">
        <v>338</v>
      </c>
      <c r="P357" s="81">
        <v>44405.211412037039</v>
      </c>
      <c r="Q357" s="79" t="s">
        <v>356</v>
      </c>
      <c r="R357" s="79"/>
      <c r="S357" s="79"/>
      <c r="T357" s="85" t="s">
        <v>461</v>
      </c>
      <c r="U357" s="83" t="str">
        <f t="shared" si="15"/>
        <v>https://pbs.twimg.com/media/E7VCWcGXMAQx84B.jpg</v>
      </c>
      <c r="V357" s="83" t="str">
        <f t="shared" si="15"/>
        <v>https://pbs.twimg.com/media/E7VCWcGXMAQx84B.jpg</v>
      </c>
      <c r="W357" s="81">
        <v>44405.211412037039</v>
      </c>
      <c r="X357" s="87">
        <v>44405</v>
      </c>
      <c r="Y357" s="85" t="s">
        <v>546</v>
      </c>
      <c r="Z357" s="83" t="str">
        <f>HYPERLINK("https://twitter.com/alitebrand/status/1420248762006523904")</f>
        <v>https://twitter.com/alitebrand/status/1420248762006523904</v>
      </c>
      <c r="AA357" s="79"/>
      <c r="AB357" s="79"/>
      <c r="AC357" s="85" t="s">
        <v>725</v>
      </c>
      <c r="AD357" s="79"/>
      <c r="AE357" s="79" t="b">
        <v>0</v>
      </c>
      <c r="AF357" s="79">
        <v>0</v>
      </c>
      <c r="AG357" s="85" t="s">
        <v>867</v>
      </c>
      <c r="AH357" s="79" t="b">
        <v>0</v>
      </c>
      <c r="AI357" s="79" t="s">
        <v>874</v>
      </c>
      <c r="AJ357" s="79"/>
      <c r="AK357" s="85" t="s">
        <v>867</v>
      </c>
      <c r="AL357" s="79" t="b">
        <v>0</v>
      </c>
      <c r="AM357" s="79">
        <v>21</v>
      </c>
      <c r="AN357" s="85" t="s">
        <v>736</v>
      </c>
      <c r="AO357" s="85" t="s">
        <v>883</v>
      </c>
      <c r="AP357" s="79" t="b">
        <v>0</v>
      </c>
      <c r="AQ357" s="85" t="s">
        <v>736</v>
      </c>
      <c r="AR357" s="79" t="s">
        <v>177</v>
      </c>
      <c r="AS357" s="79">
        <v>0</v>
      </c>
      <c r="AT357" s="79">
        <v>0</v>
      </c>
      <c r="AU357" s="79"/>
      <c r="AV357" s="79"/>
      <c r="AW357" s="79"/>
      <c r="AX357" s="79"/>
      <c r="AY357" s="79"/>
      <c r="AZ357" s="79"/>
      <c r="BA357" s="79"/>
      <c r="BB357" s="79"/>
      <c r="BC357">
        <v>1</v>
      </c>
      <c r="BD357" s="78" t="str">
        <f>REPLACE(INDEX(GroupVertices[Group], MATCH(Edges[[#This Row],[Vertex 1]],GroupVertices[Vertex],0)),1,1,"")</f>
        <v>2</v>
      </c>
      <c r="BE357" s="78" t="str">
        <f>REPLACE(INDEX(GroupVertices[Group], MATCH(Edges[[#This Row],[Vertex 2]],GroupVertices[Vertex],0)),1,1,"")</f>
        <v>2</v>
      </c>
    </row>
    <row r="358" spans="1:57" x14ac:dyDescent="0.25">
      <c r="A358" s="64" t="s">
        <v>252</v>
      </c>
      <c r="B358" s="64" t="s">
        <v>257</v>
      </c>
      <c r="C358" s="65" t="s">
        <v>2101</v>
      </c>
      <c r="D358" s="66">
        <v>3</v>
      </c>
      <c r="E358" s="67"/>
      <c r="F358" s="68">
        <v>40</v>
      </c>
      <c r="G358" s="65"/>
      <c r="H358" s="69"/>
      <c r="I358" s="70"/>
      <c r="J358" s="70"/>
      <c r="K358" s="35" t="s">
        <v>65</v>
      </c>
      <c r="L358" s="77">
        <v>358</v>
      </c>
      <c r="M358"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58" s="72"/>
      <c r="O358" s="79" t="s">
        <v>338</v>
      </c>
      <c r="P358" s="81">
        <v>44405.424942129626</v>
      </c>
      <c r="Q358" s="79" t="s">
        <v>356</v>
      </c>
      <c r="R358" s="79"/>
      <c r="S358" s="79"/>
      <c r="T358" s="85" t="s">
        <v>461</v>
      </c>
      <c r="U358" s="83" t="str">
        <f t="shared" si="15"/>
        <v>https://pbs.twimg.com/media/E7VCWcGXMAQx84B.jpg</v>
      </c>
      <c r="V358" s="83" t="str">
        <f t="shared" si="15"/>
        <v>https://pbs.twimg.com/media/E7VCWcGXMAQx84B.jpg</v>
      </c>
      <c r="W358" s="81">
        <v>44405.424942129626</v>
      </c>
      <c r="X358" s="87">
        <v>44405</v>
      </c>
      <c r="Y358" s="85" t="s">
        <v>547</v>
      </c>
      <c r="Z358" s="83" t="str">
        <f>HYPERLINK("https://twitter.com/lotsofsassblog/status/1420326141664051201")</f>
        <v>https://twitter.com/lotsofsassblog/status/1420326141664051201</v>
      </c>
      <c r="AA358" s="79"/>
      <c r="AB358" s="79"/>
      <c r="AC358" s="85" t="s">
        <v>726</v>
      </c>
      <c r="AD358" s="79"/>
      <c r="AE358" s="79" t="b">
        <v>0</v>
      </c>
      <c r="AF358" s="79">
        <v>0</v>
      </c>
      <c r="AG358" s="85" t="s">
        <v>867</v>
      </c>
      <c r="AH358" s="79" t="b">
        <v>0</v>
      </c>
      <c r="AI358" s="79" t="s">
        <v>874</v>
      </c>
      <c r="AJ358" s="79"/>
      <c r="AK358" s="85" t="s">
        <v>867</v>
      </c>
      <c r="AL358" s="79" t="b">
        <v>0</v>
      </c>
      <c r="AM358" s="79">
        <v>21</v>
      </c>
      <c r="AN358" s="85" t="s">
        <v>736</v>
      </c>
      <c r="AO358" s="85" t="s">
        <v>883</v>
      </c>
      <c r="AP358" s="79" t="b">
        <v>0</v>
      </c>
      <c r="AQ358" s="85" t="s">
        <v>736</v>
      </c>
      <c r="AR358" s="79" t="s">
        <v>177</v>
      </c>
      <c r="AS358" s="79">
        <v>0</v>
      </c>
      <c r="AT358" s="79">
        <v>0</v>
      </c>
      <c r="AU358" s="79"/>
      <c r="AV358" s="79"/>
      <c r="AW358" s="79"/>
      <c r="AX358" s="79"/>
      <c r="AY358" s="79"/>
      <c r="AZ358" s="79"/>
      <c r="BA358" s="79"/>
      <c r="BB358" s="79"/>
      <c r="BC358">
        <v>1</v>
      </c>
      <c r="BD358" s="78" t="str">
        <f>REPLACE(INDEX(GroupVertices[Group], MATCH(Edges[[#This Row],[Vertex 1]],GroupVertices[Vertex],0)),1,1,"")</f>
        <v>2</v>
      </c>
      <c r="BE358" s="78" t="str">
        <f>REPLACE(INDEX(GroupVertices[Group], MATCH(Edges[[#This Row],[Vertex 2]],GroupVertices[Vertex],0)),1,1,"")</f>
        <v>2</v>
      </c>
    </row>
    <row r="359" spans="1:57" x14ac:dyDescent="0.25">
      <c r="A359" s="64" t="s">
        <v>253</v>
      </c>
      <c r="B359" s="64" t="s">
        <v>257</v>
      </c>
      <c r="C359" s="65" t="s">
        <v>2101</v>
      </c>
      <c r="D359" s="66">
        <v>3</v>
      </c>
      <c r="E359" s="67"/>
      <c r="F359" s="68">
        <v>40</v>
      </c>
      <c r="G359" s="65"/>
      <c r="H359" s="69"/>
      <c r="I359" s="70"/>
      <c r="J359" s="70"/>
      <c r="K359" s="35" t="s">
        <v>65</v>
      </c>
      <c r="L359" s="77">
        <v>359</v>
      </c>
      <c r="M359"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59" s="72"/>
      <c r="O359" s="79" t="s">
        <v>338</v>
      </c>
      <c r="P359" s="81">
        <v>44405.481203703705</v>
      </c>
      <c r="Q359" s="79" t="s">
        <v>356</v>
      </c>
      <c r="R359" s="79"/>
      <c r="S359" s="79"/>
      <c r="T359" s="85" t="s">
        <v>461</v>
      </c>
      <c r="U359" s="83" t="str">
        <f t="shared" si="15"/>
        <v>https://pbs.twimg.com/media/E7VCWcGXMAQx84B.jpg</v>
      </c>
      <c r="V359" s="83" t="str">
        <f t="shared" si="15"/>
        <v>https://pbs.twimg.com/media/E7VCWcGXMAQx84B.jpg</v>
      </c>
      <c r="W359" s="81">
        <v>44405.481203703705</v>
      </c>
      <c r="X359" s="87">
        <v>44405</v>
      </c>
      <c r="Y359" s="85" t="s">
        <v>548</v>
      </c>
      <c r="Z359" s="83" t="str">
        <f>HYPERLINK("https://twitter.com/a_r_palmer/status/1420346530595319808")</f>
        <v>https://twitter.com/a_r_palmer/status/1420346530595319808</v>
      </c>
      <c r="AA359" s="79"/>
      <c r="AB359" s="79"/>
      <c r="AC359" s="85" t="s">
        <v>727</v>
      </c>
      <c r="AD359" s="79"/>
      <c r="AE359" s="79" t="b">
        <v>0</v>
      </c>
      <c r="AF359" s="79">
        <v>0</v>
      </c>
      <c r="AG359" s="85" t="s">
        <v>867</v>
      </c>
      <c r="AH359" s="79" t="b">
        <v>0</v>
      </c>
      <c r="AI359" s="79" t="s">
        <v>874</v>
      </c>
      <c r="AJ359" s="79"/>
      <c r="AK359" s="85" t="s">
        <v>867</v>
      </c>
      <c r="AL359" s="79" t="b">
        <v>0</v>
      </c>
      <c r="AM359" s="79">
        <v>21</v>
      </c>
      <c r="AN359" s="85" t="s">
        <v>736</v>
      </c>
      <c r="AO359" s="85" t="s">
        <v>887</v>
      </c>
      <c r="AP359" s="79" t="b">
        <v>0</v>
      </c>
      <c r="AQ359" s="85" t="s">
        <v>736</v>
      </c>
      <c r="AR359" s="79" t="s">
        <v>177</v>
      </c>
      <c r="AS359" s="79">
        <v>0</v>
      </c>
      <c r="AT359" s="79">
        <v>0</v>
      </c>
      <c r="AU359" s="79"/>
      <c r="AV359" s="79"/>
      <c r="AW359" s="79"/>
      <c r="AX359" s="79"/>
      <c r="AY359" s="79"/>
      <c r="AZ359" s="79"/>
      <c r="BA359" s="79"/>
      <c r="BB359" s="79"/>
      <c r="BC359">
        <v>1</v>
      </c>
      <c r="BD359" s="78" t="str">
        <f>REPLACE(INDEX(GroupVertices[Group], MATCH(Edges[[#This Row],[Vertex 1]],GroupVertices[Vertex],0)),1,1,"")</f>
        <v>2</v>
      </c>
      <c r="BE359" s="78" t="str">
        <f>REPLACE(INDEX(GroupVertices[Group], MATCH(Edges[[#This Row],[Vertex 2]],GroupVertices[Vertex],0)),1,1,"")</f>
        <v>2</v>
      </c>
    </row>
    <row r="360" spans="1:57" x14ac:dyDescent="0.25">
      <c r="A360" s="64" t="s">
        <v>254</v>
      </c>
      <c r="B360" s="64" t="s">
        <v>257</v>
      </c>
      <c r="C360" s="65" t="s">
        <v>2101</v>
      </c>
      <c r="D360" s="66">
        <v>3</v>
      </c>
      <c r="E360" s="67"/>
      <c r="F360" s="68">
        <v>40</v>
      </c>
      <c r="G360" s="65"/>
      <c r="H360" s="69"/>
      <c r="I360" s="70"/>
      <c r="J360" s="70"/>
      <c r="K360" s="35" t="s">
        <v>65</v>
      </c>
      <c r="L360" s="77">
        <v>360</v>
      </c>
      <c r="M360"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60" s="72"/>
      <c r="O360" s="79" t="s">
        <v>337</v>
      </c>
      <c r="P360" s="81">
        <v>44405.494467592594</v>
      </c>
      <c r="Q360" s="79" t="s">
        <v>358</v>
      </c>
      <c r="R360" s="83" t="str">
        <f>HYPERLINK("https://twitter.com/_MABurnett/status/1420114213658402821")</f>
        <v>https://twitter.com/_MABurnett/status/1420114213658402821</v>
      </c>
      <c r="S360" s="79" t="s">
        <v>449</v>
      </c>
      <c r="T360" s="85" t="s">
        <v>461</v>
      </c>
      <c r="U360" s="79"/>
      <c r="V360" s="83" t="str">
        <f>HYPERLINK("https://pbs.twimg.com/profile_images/1321252358664454145/7HmMzwjD_normal.jpg")</f>
        <v>https://pbs.twimg.com/profile_images/1321252358664454145/7HmMzwjD_normal.jpg</v>
      </c>
      <c r="W360" s="81">
        <v>44405.494467592594</v>
      </c>
      <c r="X360" s="87">
        <v>44405</v>
      </c>
      <c r="Y360" s="85" t="s">
        <v>549</v>
      </c>
      <c r="Z360" s="83" t="str">
        <f>HYPERLINK("https://twitter.com/ecsuhonors/status/1420351339348074501")</f>
        <v>https://twitter.com/ecsuhonors/status/1420351339348074501</v>
      </c>
      <c r="AA360" s="79"/>
      <c r="AB360" s="79"/>
      <c r="AC360" s="85" t="s">
        <v>728</v>
      </c>
      <c r="AD360" s="79"/>
      <c r="AE360" s="79" t="b">
        <v>0</v>
      </c>
      <c r="AF360" s="79">
        <v>0</v>
      </c>
      <c r="AG360" s="85" t="s">
        <v>867</v>
      </c>
      <c r="AH360" s="79" t="b">
        <v>1</v>
      </c>
      <c r="AI360" s="79" t="s">
        <v>874</v>
      </c>
      <c r="AJ360" s="79"/>
      <c r="AK360" s="85" t="s">
        <v>736</v>
      </c>
      <c r="AL360" s="79" t="b">
        <v>0</v>
      </c>
      <c r="AM360" s="79">
        <v>5</v>
      </c>
      <c r="AN360" s="85" t="s">
        <v>730</v>
      </c>
      <c r="AO360" s="85" t="s">
        <v>882</v>
      </c>
      <c r="AP360" s="79" t="b">
        <v>0</v>
      </c>
      <c r="AQ360" s="85" t="s">
        <v>730</v>
      </c>
      <c r="AR360" s="79" t="s">
        <v>177</v>
      </c>
      <c r="AS360" s="79">
        <v>0</v>
      </c>
      <c r="AT360" s="79">
        <v>0</v>
      </c>
      <c r="AU360" s="79"/>
      <c r="AV360" s="79"/>
      <c r="AW360" s="79"/>
      <c r="AX360" s="79"/>
      <c r="AY360" s="79"/>
      <c r="AZ360" s="79"/>
      <c r="BA360" s="79"/>
      <c r="BB360" s="79"/>
      <c r="BC360">
        <v>1</v>
      </c>
      <c r="BD360" s="78" t="str">
        <f>REPLACE(INDEX(GroupVertices[Group], MATCH(Edges[[#This Row],[Vertex 1]],GroupVertices[Vertex],0)),1,1,"")</f>
        <v>2</v>
      </c>
      <c r="BE360" s="78" t="str">
        <f>REPLACE(INDEX(GroupVertices[Group], MATCH(Edges[[#This Row],[Vertex 2]],GroupVertices[Vertex],0)),1,1,"")</f>
        <v>2</v>
      </c>
    </row>
    <row r="361" spans="1:57" x14ac:dyDescent="0.25">
      <c r="A361" s="64" t="s">
        <v>255</v>
      </c>
      <c r="B361" s="64" t="s">
        <v>257</v>
      </c>
      <c r="C361" s="65" t="s">
        <v>2101</v>
      </c>
      <c r="D361" s="66">
        <v>3</v>
      </c>
      <c r="E361" s="67"/>
      <c r="F361" s="68">
        <v>40</v>
      </c>
      <c r="G361" s="65"/>
      <c r="H361" s="69"/>
      <c r="I361" s="70"/>
      <c r="J361" s="70"/>
      <c r="K361" s="35" t="s">
        <v>65</v>
      </c>
      <c r="L361" s="77">
        <v>361</v>
      </c>
      <c r="M361" s="77"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61" s="72"/>
      <c r="O361" s="79" t="s">
        <v>338</v>
      </c>
      <c r="P361" s="81">
        <v>44405.504004629627</v>
      </c>
      <c r="Q361" s="79" t="s">
        <v>356</v>
      </c>
      <c r="R361" s="79"/>
      <c r="S361" s="79"/>
      <c r="T361" s="85" t="s">
        <v>461</v>
      </c>
      <c r="U361" s="83" t="str">
        <f>HYPERLINK("https://pbs.twimg.com/media/E7VCWcGXMAQx84B.jpg")</f>
        <v>https://pbs.twimg.com/media/E7VCWcGXMAQx84B.jpg</v>
      </c>
      <c r="V361" s="83" t="str">
        <f>HYPERLINK("https://pbs.twimg.com/media/E7VCWcGXMAQx84B.jpg")</f>
        <v>https://pbs.twimg.com/media/E7VCWcGXMAQx84B.jpg</v>
      </c>
      <c r="W361" s="81">
        <v>44405.504004629627</v>
      </c>
      <c r="X361" s="87">
        <v>44405</v>
      </c>
      <c r="Y361" s="85" t="s">
        <v>550</v>
      </c>
      <c r="Z361" s="83" t="str">
        <f>HYPERLINK("https://twitter.com/adamkirkedge/status/1420354795974668290")</f>
        <v>https://twitter.com/adamkirkedge/status/1420354795974668290</v>
      </c>
      <c r="AA361" s="79"/>
      <c r="AB361" s="79"/>
      <c r="AC361" s="85" t="s">
        <v>729</v>
      </c>
      <c r="AD361" s="79"/>
      <c r="AE361" s="79" t="b">
        <v>0</v>
      </c>
      <c r="AF361" s="79">
        <v>0</v>
      </c>
      <c r="AG361" s="85" t="s">
        <v>867</v>
      </c>
      <c r="AH361" s="79" t="b">
        <v>0</v>
      </c>
      <c r="AI361" s="79" t="s">
        <v>874</v>
      </c>
      <c r="AJ361" s="79"/>
      <c r="AK361" s="85" t="s">
        <v>867</v>
      </c>
      <c r="AL361" s="79" t="b">
        <v>0</v>
      </c>
      <c r="AM361" s="79">
        <v>21</v>
      </c>
      <c r="AN361" s="85" t="s">
        <v>736</v>
      </c>
      <c r="AO361" s="85" t="s">
        <v>887</v>
      </c>
      <c r="AP361" s="79" t="b">
        <v>0</v>
      </c>
      <c r="AQ361" s="85" t="s">
        <v>736</v>
      </c>
      <c r="AR361" s="79" t="s">
        <v>177</v>
      </c>
      <c r="AS361" s="79">
        <v>0</v>
      </c>
      <c r="AT361" s="79">
        <v>0</v>
      </c>
      <c r="AU361" s="79"/>
      <c r="AV361" s="79"/>
      <c r="AW361" s="79"/>
      <c r="AX361" s="79"/>
      <c r="AY361" s="79"/>
      <c r="AZ361" s="79"/>
      <c r="BA361" s="79"/>
      <c r="BB361" s="79"/>
      <c r="BC361">
        <v>1</v>
      </c>
      <c r="BD361" s="78" t="str">
        <f>REPLACE(INDEX(GroupVertices[Group], MATCH(Edges[[#This Row],[Vertex 1]],GroupVertices[Vertex],0)),1,1,"")</f>
        <v>2</v>
      </c>
      <c r="BE361" s="78" t="str">
        <f>REPLACE(INDEX(GroupVertices[Group], MATCH(Edges[[#This Row],[Vertex 2]],GroupVertices[Vertex],0)),1,1,"")</f>
        <v>2</v>
      </c>
    </row>
    <row r="362" spans="1:57" x14ac:dyDescent="0.25">
      <c r="A362" s="64" t="s">
        <v>260</v>
      </c>
      <c r="B362" s="64" t="s">
        <v>257</v>
      </c>
      <c r="C362" s="90" t="s">
        <v>2101</v>
      </c>
      <c r="D362" s="91">
        <v>3</v>
      </c>
      <c r="E362" s="97"/>
      <c r="F362" s="92">
        <v>40</v>
      </c>
      <c r="G362" s="90"/>
      <c r="H362" s="93"/>
      <c r="I362" s="94"/>
      <c r="J362" s="94"/>
      <c r="K362" s="35" t="s">
        <v>65</v>
      </c>
      <c r="L362" s="98">
        <v>362</v>
      </c>
      <c r="M362" s="98" t="b">
        <f xml:space="preserve"> IF(AND(OR(NOT(ISNUMBER(Edges[Width])), Edges[Width] &gt;= Misc!$O$2), OR(NOT(ISNUMBER(Edges[Width])), Edges[Width] &lt;= Misc!$P$2),OR(NOT(ISNUMBER(Edges[Opacity])), Edges[Opacity] &gt;= Misc!$O$3), OR(NOT(ISNUMBER(Edges[Opacity])), Edges[Opacity] &lt;= Misc!$P$3),OR(NOT(ISNUMBER(Edges[Relationship Date (UTC)])), Edges[Relationship Date (UTC)] &gt;= Misc!$O$4), OR(NOT(ISNUMBER(Edges[Relationship Date (UTC)])), Edges[Relationship Date (UTC)] &lt;= Misc!$P$4),OR(NOT(ISNUMBER(Edges[Tweet Date (UTC)])), Edges[Tweet Date (UTC)] &gt;= Misc!$O$5), OR(NOT(ISNUMBER(Edges[Tweet Date (UTC)])), Edges[Tweet Date (UTC)] &lt;= Misc!$P$5),OR(NOT(ISNUMBER(Edges[Date])), Edges[Date] &gt;= Misc!$O$6), OR(NOT(ISNUMBER(Edges[Date])), Edges[Date] &lt;= Misc!$P$6),OR(NOT(ISNUMBER(Edges[Favorite Count])), Edges[Favorite Count] &gt;= Misc!$O$7), OR(NOT(ISNUMBER(Edges[Favorite Count])), Edges[Favorite Count] &lt;= Misc!$P$7),OR(NOT(ISNUMBER(Edges[Retweet Count])), Edges[Retweet Count] &gt;= Misc!$O$8), OR(NOT(ISNUMBER(Edges[Retweet Count])), Edges[Retweet Count] &lt;= Misc!$P$8),OR(NOT(ISNUMBER(Edges[Edge Weight])), Edges[Edge Weight] &gt;= Misc!$O$9), OR(NOT(ISNUMBER(Edges[Edge Weight])), Edges[Edge Weight] &lt;= Misc!$P$9),TRUE), TRUE, FALSE)</f>
        <v>1</v>
      </c>
      <c r="N362" s="72"/>
      <c r="O362" s="79" t="s">
        <v>340</v>
      </c>
      <c r="P362" s="81">
        <v>44405.640659722223</v>
      </c>
      <c r="Q362" s="79" t="s">
        <v>363</v>
      </c>
      <c r="R362" s="79"/>
      <c r="S362" s="79"/>
      <c r="T362" s="85" t="s">
        <v>461</v>
      </c>
      <c r="U362" s="79"/>
      <c r="V362" s="83" t="str">
        <f>HYPERLINK("https://pbs.twimg.com/profile_images/3042548870/bfa8c8093e0da871ba9c734f472fe580_normal.jpeg")</f>
        <v>https://pbs.twimg.com/profile_images/3042548870/bfa8c8093e0da871ba9c734f472fe580_normal.jpeg</v>
      </c>
      <c r="W362" s="81">
        <v>44405.640659722223</v>
      </c>
      <c r="X362" s="87">
        <v>44405</v>
      </c>
      <c r="Y362" s="85" t="s">
        <v>558</v>
      </c>
      <c r="Z362" s="83" t="str">
        <f>HYPERLINK("https://twitter.com/clcphd2004/status/1420404318184755200")</f>
        <v>https://twitter.com/clcphd2004/status/1420404318184755200</v>
      </c>
      <c r="AA362" s="79"/>
      <c r="AB362" s="79"/>
      <c r="AC362" s="85" t="s">
        <v>737</v>
      </c>
      <c r="AD362" s="85" t="s">
        <v>736</v>
      </c>
      <c r="AE362" s="79" t="b">
        <v>0</v>
      </c>
      <c r="AF362" s="79">
        <v>4</v>
      </c>
      <c r="AG362" s="85" t="s">
        <v>869</v>
      </c>
      <c r="AH362" s="79" t="b">
        <v>0</v>
      </c>
      <c r="AI362" s="79" t="s">
        <v>874</v>
      </c>
      <c r="AJ362" s="79"/>
      <c r="AK362" s="85" t="s">
        <v>867</v>
      </c>
      <c r="AL362" s="79" t="b">
        <v>0</v>
      </c>
      <c r="AM362" s="79">
        <v>0</v>
      </c>
      <c r="AN362" s="85" t="s">
        <v>867</v>
      </c>
      <c r="AO362" s="85" t="s">
        <v>882</v>
      </c>
      <c r="AP362" s="79" t="b">
        <v>0</v>
      </c>
      <c r="AQ362" s="85" t="s">
        <v>736</v>
      </c>
      <c r="AR362" s="79" t="s">
        <v>177</v>
      </c>
      <c r="AS362" s="79">
        <v>0</v>
      </c>
      <c r="AT362" s="79">
        <v>0</v>
      </c>
      <c r="AU362" s="79"/>
      <c r="AV362" s="79"/>
      <c r="AW362" s="79"/>
      <c r="AX362" s="79"/>
      <c r="AY362" s="79"/>
      <c r="AZ362" s="79"/>
      <c r="BA362" s="79"/>
      <c r="BB362" s="79"/>
      <c r="BC362">
        <v>1</v>
      </c>
      <c r="BD362" s="78" t="str">
        <f>REPLACE(INDEX(GroupVertices[Group], MATCH(Edges[[#This Row],[Vertex 1]],GroupVertices[Vertex],0)),1,1,"")</f>
        <v>2</v>
      </c>
      <c r="BE362" s="78" t="str">
        <f>REPLACE(INDEX(GroupVertices[Group], MATCH(Edges[[#This Row],[Vertex 2]],GroupVertices[Vertex],0)),1,1,"")</f>
        <v>2</v>
      </c>
    </row>
  </sheetData>
  <dataConsolidate/>
  <dataValidations xWindow="85" yWindow="348"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362"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362" xr:uid="{00000000-0002-0000-0000-000001000000}"/>
    <dataValidation allowBlank="1" showErrorMessage="1" sqref="N2:N362"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362"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362" xr:uid="{00000000-0002-0000-0000-000004000000}"/>
    <dataValidation allowBlank="1" showInputMessage="1" promptTitle="Edge Color" prompt="To select an optional edge color, right-click and select Select Color on the right-click menu." sqref="C3:C362" xr:uid="{00000000-0002-0000-0000-000005000000}"/>
    <dataValidation allowBlank="1" showInputMessage="1" errorTitle="Invalid Edge Width" error="The optional edge width must be a whole number between 1 and 10." promptTitle="Edge Width" prompt="Enter an optional edge width between 1 and 10." sqref="D3:D362"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362"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362" xr:uid="{00000000-0002-0000-0000-000008000000}">
      <formula1>ValidEdgeVisibilities</formula1>
    </dataValidation>
    <dataValidation allowBlank="1" showInputMessage="1" showErrorMessage="1" promptTitle="Vertex 1 Name" prompt="Enter the name of the edge's first vertex." sqref="A3:A362" xr:uid="{00000000-0002-0000-0000-000009000000}"/>
    <dataValidation allowBlank="1" showInputMessage="1" showErrorMessage="1" promptTitle="Vertex 2 Name" prompt="Enter the name of the edge's second vertex." sqref="B3:B362"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362"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362"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362" xr:uid="{00000000-0002-0000-0000-00000D000000}"/>
  </dataValidations>
  <pageMargins left="0.7" right="0.7" top="0.75" bottom="0.75" header="0.3" footer="0.3"/>
  <pageSetup orientation="portrait" verticalDpi="0"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D2127-E5DF-4BF1-878A-991CFAE7BF23}">
  <dimension ref="A1:B7"/>
  <sheetViews>
    <sheetView workbookViewId="0">
      <selection activeCell="E8" sqref="E8"/>
    </sheetView>
  </sheetViews>
  <sheetFormatPr defaultRowHeight="15" x14ac:dyDescent="0.25"/>
  <cols>
    <col min="1" max="1" width="6.5703125" bestFit="1" customWidth="1"/>
    <col min="2" max="2" width="8.42578125" bestFit="1" customWidth="1"/>
  </cols>
  <sheetData>
    <row r="1" spans="1:2" ht="15" customHeight="1" x14ac:dyDescent="0.25">
      <c r="A1" s="13" t="s">
        <v>1557</v>
      </c>
      <c r="B1" s="13" t="s">
        <v>17</v>
      </c>
    </row>
    <row r="2" spans="1:2" x14ac:dyDescent="0.25">
      <c r="A2" s="78" t="s">
        <v>1558</v>
      </c>
      <c r="B2" s="78"/>
    </row>
    <row r="3" spans="1:2" x14ac:dyDescent="0.25">
      <c r="A3" s="79" t="s">
        <v>1559</v>
      </c>
      <c r="B3" s="78"/>
    </row>
    <row r="4" spans="1:2" x14ac:dyDescent="0.25">
      <c r="A4" s="79" t="s">
        <v>1560</v>
      </c>
      <c r="B4" s="78"/>
    </row>
    <row r="5" spans="1:2" x14ac:dyDescent="0.25">
      <c r="A5" s="79" t="s">
        <v>1561</v>
      </c>
      <c r="B5" s="78"/>
    </row>
    <row r="6" spans="1:2" x14ac:dyDescent="0.25">
      <c r="A6" s="79" t="s">
        <v>1562</v>
      </c>
      <c r="B6" s="78"/>
    </row>
    <row r="7" spans="1:2" x14ac:dyDescent="0.25">
      <c r="A7" s="79" t="s">
        <v>1563</v>
      </c>
      <c r="B7" s="78"/>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8ADA0-DDE7-4A12-80A0-E4EC3632F4DC}">
  <dimension ref="A25:B40"/>
  <sheetViews>
    <sheetView workbookViewId="0"/>
  </sheetViews>
  <sheetFormatPr defaultRowHeight="15" x14ac:dyDescent="0.25"/>
  <cols>
    <col min="1" max="1" width="13.140625" bestFit="1" customWidth="1"/>
    <col min="2" max="2" width="30.85546875" bestFit="1" customWidth="1"/>
    <col min="3" max="3" width="19.140625" bestFit="1" customWidth="1"/>
  </cols>
  <sheetData>
    <row r="25" spans="1:2" x14ac:dyDescent="0.25">
      <c r="A25" s="130" t="s">
        <v>1565</v>
      </c>
      <c r="B25" t="s">
        <v>1564</v>
      </c>
    </row>
    <row r="26" spans="1:2" x14ac:dyDescent="0.25">
      <c r="A26" s="131" t="s">
        <v>1567</v>
      </c>
      <c r="B26" s="3">
        <v>176</v>
      </c>
    </row>
    <row r="27" spans="1:2" x14ac:dyDescent="0.25">
      <c r="A27" s="132" t="s">
        <v>1568</v>
      </c>
      <c r="B27" s="3">
        <v>175</v>
      </c>
    </row>
    <row r="28" spans="1:2" x14ac:dyDescent="0.25">
      <c r="A28" s="133" t="s">
        <v>1569</v>
      </c>
      <c r="B28" s="3">
        <v>3</v>
      </c>
    </row>
    <row r="29" spans="1:2" x14ac:dyDescent="0.25">
      <c r="A29" s="133" t="s">
        <v>1570</v>
      </c>
      <c r="B29" s="3">
        <v>2</v>
      </c>
    </row>
    <row r="30" spans="1:2" x14ac:dyDescent="0.25">
      <c r="A30" s="133" t="s">
        <v>1571</v>
      </c>
      <c r="B30" s="3">
        <v>5</v>
      </c>
    </row>
    <row r="31" spans="1:2" x14ac:dyDescent="0.25">
      <c r="A31" s="133" t="s">
        <v>1572</v>
      </c>
      <c r="B31" s="3">
        <v>1</v>
      </c>
    </row>
    <row r="32" spans="1:2" x14ac:dyDescent="0.25">
      <c r="A32" s="133" t="s">
        <v>1573</v>
      </c>
      <c r="B32" s="3">
        <v>11</v>
      </c>
    </row>
    <row r="33" spans="1:2" x14ac:dyDescent="0.25">
      <c r="A33" s="133" t="s">
        <v>1574</v>
      </c>
      <c r="B33" s="3">
        <v>30</v>
      </c>
    </row>
    <row r="34" spans="1:2" x14ac:dyDescent="0.25">
      <c r="A34" s="133" t="s">
        <v>1575</v>
      </c>
      <c r="B34" s="3">
        <v>31</v>
      </c>
    </row>
    <row r="35" spans="1:2" x14ac:dyDescent="0.25">
      <c r="A35" s="133" t="s">
        <v>1576</v>
      </c>
      <c r="B35" s="3">
        <v>47</v>
      </c>
    </row>
    <row r="36" spans="1:2" x14ac:dyDescent="0.25">
      <c r="A36" s="133" t="s">
        <v>1577</v>
      </c>
      <c r="B36" s="3">
        <v>38</v>
      </c>
    </row>
    <row r="37" spans="1:2" x14ac:dyDescent="0.25">
      <c r="A37" s="133" t="s">
        <v>1578</v>
      </c>
      <c r="B37" s="3">
        <v>7</v>
      </c>
    </row>
    <row r="38" spans="1:2" x14ac:dyDescent="0.25">
      <c r="A38" s="132" t="s">
        <v>1579</v>
      </c>
      <c r="B38" s="3">
        <v>1</v>
      </c>
    </row>
    <row r="39" spans="1:2" x14ac:dyDescent="0.25">
      <c r="A39" s="133" t="s">
        <v>1580</v>
      </c>
      <c r="B39" s="3">
        <v>1</v>
      </c>
    </row>
    <row r="40" spans="1:2" x14ac:dyDescent="0.25">
      <c r="A40" s="131" t="s">
        <v>1566</v>
      </c>
      <c r="B40" s="3">
        <v>176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7DDDD-DBA5-4CB5-9B64-CBA51328A389}">
  <dimension ref="A1:V97"/>
  <sheetViews>
    <sheetView topLeftCell="A46" workbookViewId="0">
      <selection activeCell="B46" sqref="B46"/>
    </sheetView>
  </sheetViews>
  <sheetFormatPr defaultRowHeight="15" x14ac:dyDescent="0.25"/>
  <cols>
    <col min="1" max="1" width="60.140625" customWidth="1"/>
    <col min="2" max="2" width="20.28515625" bestFit="1" customWidth="1"/>
    <col min="3" max="3" width="29.7109375" customWidth="1"/>
    <col min="4" max="4" width="11.28515625" bestFit="1" customWidth="1"/>
    <col min="5" max="5" width="29.7109375" customWidth="1"/>
    <col min="6" max="6" width="11.28515625" bestFit="1" customWidth="1"/>
    <col min="7" max="7" width="29.7109375" customWidth="1"/>
    <col min="8" max="8" width="11.28515625" bestFit="1" customWidth="1"/>
    <col min="9" max="9" width="29.7109375" customWidth="1"/>
    <col min="10" max="10" width="11.28515625" bestFit="1" customWidth="1"/>
    <col min="11" max="11" width="29.7109375" customWidth="1"/>
    <col min="12" max="12" width="11.28515625" bestFit="1" customWidth="1"/>
    <col min="13" max="13" width="29.7109375" customWidth="1"/>
    <col min="14" max="14" width="11.28515625" bestFit="1" customWidth="1"/>
    <col min="15" max="15" width="29.7109375" customWidth="1"/>
    <col min="16" max="16" width="11.28515625" bestFit="1" customWidth="1"/>
    <col min="17" max="17" width="29.7109375" customWidth="1"/>
    <col min="18" max="18" width="11.28515625" bestFit="1" customWidth="1"/>
    <col min="19" max="19" width="29.7109375" customWidth="1"/>
    <col min="20" max="20" width="11.28515625" bestFit="1" customWidth="1"/>
    <col min="21" max="21" width="30.7109375" customWidth="1"/>
    <col min="22" max="22" width="12.28515625" bestFit="1" customWidth="1"/>
  </cols>
  <sheetData>
    <row r="1" spans="1:22" ht="15" customHeight="1" x14ac:dyDescent="0.25">
      <c r="A1" s="13" t="s">
        <v>1581</v>
      </c>
      <c r="B1" s="13" t="s">
        <v>1592</v>
      </c>
      <c r="C1" s="13" t="s">
        <v>1593</v>
      </c>
      <c r="D1" s="13" t="s">
        <v>1600</v>
      </c>
      <c r="E1" s="13" t="s">
        <v>1599</v>
      </c>
      <c r="F1" s="13" t="s">
        <v>1602</v>
      </c>
      <c r="G1" s="13" t="s">
        <v>1601</v>
      </c>
      <c r="H1" s="13" t="s">
        <v>1604</v>
      </c>
      <c r="I1" s="78" t="s">
        <v>1603</v>
      </c>
      <c r="J1" s="78" t="s">
        <v>1606</v>
      </c>
      <c r="K1" s="13" t="s">
        <v>1605</v>
      </c>
      <c r="L1" s="13" t="s">
        <v>1609</v>
      </c>
      <c r="M1" s="78" t="s">
        <v>1608</v>
      </c>
      <c r="N1" s="78" t="s">
        <v>1611</v>
      </c>
      <c r="O1" s="13" t="s">
        <v>1610</v>
      </c>
      <c r="P1" s="13" t="s">
        <v>1613</v>
      </c>
      <c r="Q1" s="13" t="s">
        <v>1612</v>
      </c>
      <c r="R1" s="13" t="s">
        <v>1616</v>
      </c>
      <c r="S1" s="78" t="s">
        <v>1615</v>
      </c>
      <c r="T1" s="78" t="s">
        <v>1618</v>
      </c>
      <c r="U1" s="78" t="s">
        <v>1617</v>
      </c>
      <c r="V1" s="78" t="s">
        <v>1619</v>
      </c>
    </row>
    <row r="2" spans="1:22" x14ac:dyDescent="0.25">
      <c r="A2" s="138" t="s">
        <v>1582</v>
      </c>
      <c r="B2" s="78">
        <v>6</v>
      </c>
      <c r="C2" s="82" t="s">
        <v>1586</v>
      </c>
      <c r="D2" s="78">
        <v>2</v>
      </c>
      <c r="E2" s="82" t="s">
        <v>1582</v>
      </c>
      <c r="F2" s="78">
        <v>6</v>
      </c>
      <c r="G2" s="82" t="s">
        <v>1583</v>
      </c>
      <c r="H2" s="78">
        <v>4</v>
      </c>
      <c r="I2" s="78"/>
      <c r="J2" s="78"/>
      <c r="K2" s="82" t="s">
        <v>1607</v>
      </c>
      <c r="L2" s="78">
        <v>1</v>
      </c>
      <c r="M2" s="78"/>
      <c r="N2" s="78"/>
      <c r="O2" s="82" t="s">
        <v>1584</v>
      </c>
      <c r="P2" s="78">
        <v>3</v>
      </c>
      <c r="Q2" s="82" t="s">
        <v>1614</v>
      </c>
      <c r="R2" s="78">
        <v>1</v>
      </c>
      <c r="S2" s="78"/>
      <c r="T2" s="78"/>
      <c r="U2" s="78"/>
      <c r="V2" s="78"/>
    </row>
    <row r="3" spans="1:22" x14ac:dyDescent="0.25">
      <c r="A3" s="139" t="s">
        <v>1583</v>
      </c>
      <c r="B3" s="78">
        <v>4</v>
      </c>
      <c r="C3" s="82" t="s">
        <v>1585</v>
      </c>
      <c r="D3" s="78">
        <v>2</v>
      </c>
      <c r="E3" s="78"/>
      <c r="F3" s="78"/>
      <c r="G3" s="82" t="s">
        <v>1587</v>
      </c>
      <c r="H3" s="78">
        <v>2</v>
      </c>
      <c r="I3" s="78"/>
      <c r="J3" s="78"/>
      <c r="K3" s="82" t="s">
        <v>1589</v>
      </c>
      <c r="L3" s="78">
        <v>1</v>
      </c>
      <c r="M3" s="78"/>
      <c r="N3" s="78"/>
      <c r="O3" s="78"/>
      <c r="P3" s="78"/>
      <c r="Q3" s="78"/>
      <c r="R3" s="78"/>
      <c r="S3" s="78"/>
      <c r="T3" s="78"/>
      <c r="U3" s="78"/>
      <c r="V3" s="78"/>
    </row>
    <row r="4" spans="1:22" x14ac:dyDescent="0.25">
      <c r="A4" s="139" t="s">
        <v>1584</v>
      </c>
      <c r="B4" s="78">
        <v>3</v>
      </c>
      <c r="C4" s="82" t="s">
        <v>1594</v>
      </c>
      <c r="D4" s="78">
        <v>1</v>
      </c>
      <c r="E4" s="78"/>
      <c r="F4" s="78"/>
      <c r="G4" s="82" t="s">
        <v>1588</v>
      </c>
      <c r="H4" s="78">
        <v>1</v>
      </c>
      <c r="I4" s="78"/>
      <c r="J4" s="78"/>
      <c r="K4" s="78"/>
      <c r="L4" s="78"/>
      <c r="M4" s="78"/>
      <c r="N4" s="78"/>
      <c r="O4" s="78"/>
      <c r="P4" s="78"/>
      <c r="Q4" s="78"/>
      <c r="R4" s="78"/>
      <c r="S4" s="78"/>
      <c r="T4" s="78"/>
      <c r="U4" s="78"/>
      <c r="V4" s="78"/>
    </row>
    <row r="5" spans="1:22" x14ac:dyDescent="0.25">
      <c r="A5" s="139" t="s">
        <v>1585</v>
      </c>
      <c r="B5" s="78">
        <v>2</v>
      </c>
      <c r="C5" s="82" t="s">
        <v>1595</v>
      </c>
      <c r="D5" s="78">
        <v>1</v>
      </c>
      <c r="E5" s="78"/>
      <c r="F5" s="78"/>
      <c r="G5" s="78"/>
      <c r="H5" s="78"/>
      <c r="I5" s="78"/>
      <c r="J5" s="78"/>
      <c r="K5" s="78"/>
      <c r="L5" s="78"/>
      <c r="M5" s="78"/>
      <c r="N5" s="78"/>
      <c r="O5" s="78"/>
      <c r="P5" s="78"/>
      <c r="Q5" s="78"/>
      <c r="R5" s="78"/>
      <c r="S5" s="78"/>
      <c r="T5" s="78"/>
      <c r="U5" s="78"/>
      <c r="V5" s="78"/>
    </row>
    <row r="6" spans="1:22" x14ac:dyDescent="0.25">
      <c r="A6" s="139" t="s">
        <v>1586</v>
      </c>
      <c r="B6" s="78">
        <v>2</v>
      </c>
      <c r="C6" s="82" t="s">
        <v>1596</v>
      </c>
      <c r="D6" s="78">
        <v>1</v>
      </c>
      <c r="E6" s="78"/>
      <c r="F6" s="78"/>
      <c r="G6" s="78"/>
      <c r="H6" s="78"/>
      <c r="I6" s="78"/>
      <c r="J6" s="78"/>
      <c r="K6" s="78"/>
      <c r="L6" s="78"/>
      <c r="M6" s="78"/>
      <c r="N6" s="78"/>
      <c r="O6" s="78"/>
      <c r="P6" s="78"/>
      <c r="Q6" s="78"/>
      <c r="R6" s="78"/>
      <c r="S6" s="78"/>
      <c r="T6" s="78"/>
      <c r="U6" s="78"/>
      <c r="V6" s="78"/>
    </row>
    <row r="7" spans="1:22" x14ac:dyDescent="0.25">
      <c r="A7" s="83" t="s">
        <v>1587</v>
      </c>
      <c r="B7" s="78">
        <v>2</v>
      </c>
      <c r="C7" s="82" t="s">
        <v>1590</v>
      </c>
      <c r="D7" s="78">
        <v>1</v>
      </c>
      <c r="E7" s="78"/>
      <c r="F7" s="78"/>
      <c r="G7" s="78"/>
      <c r="H7" s="78"/>
      <c r="I7" s="78"/>
      <c r="J7" s="78"/>
      <c r="K7" s="78"/>
      <c r="L7" s="78"/>
      <c r="M7" s="78"/>
      <c r="N7" s="78"/>
      <c r="O7" s="78"/>
      <c r="P7" s="78"/>
      <c r="Q7" s="78"/>
      <c r="R7" s="78"/>
      <c r="S7" s="78"/>
      <c r="T7" s="78"/>
      <c r="U7" s="78"/>
      <c r="V7" s="78"/>
    </row>
    <row r="8" spans="1:22" x14ac:dyDescent="0.25">
      <c r="A8" s="83" t="s">
        <v>1588</v>
      </c>
      <c r="B8" s="78">
        <v>1</v>
      </c>
      <c r="C8" s="82" t="s">
        <v>1597</v>
      </c>
      <c r="D8" s="78">
        <v>1</v>
      </c>
      <c r="E8" s="78"/>
      <c r="F8" s="78"/>
      <c r="G8" s="78"/>
      <c r="H8" s="78"/>
      <c r="I8" s="78"/>
      <c r="J8" s="78"/>
      <c r="K8" s="78"/>
      <c r="L8" s="78"/>
      <c r="M8" s="78"/>
      <c r="N8" s="78"/>
      <c r="O8" s="78"/>
      <c r="P8" s="78"/>
      <c r="Q8" s="78"/>
      <c r="R8" s="78"/>
      <c r="S8" s="78"/>
      <c r="T8" s="78"/>
      <c r="U8" s="78"/>
      <c r="V8" s="78"/>
    </row>
    <row r="9" spans="1:22" x14ac:dyDescent="0.25">
      <c r="A9" s="83" t="s">
        <v>1589</v>
      </c>
      <c r="B9" s="78">
        <v>1</v>
      </c>
      <c r="C9" s="82" t="s">
        <v>1598</v>
      </c>
      <c r="D9" s="78">
        <v>1</v>
      </c>
      <c r="E9" s="78"/>
      <c r="F9" s="78"/>
      <c r="G9" s="78"/>
      <c r="H9" s="78"/>
      <c r="I9" s="78"/>
      <c r="J9" s="78"/>
      <c r="K9" s="78"/>
      <c r="L9" s="78"/>
      <c r="M9" s="78"/>
      <c r="N9" s="78"/>
      <c r="O9" s="78"/>
      <c r="P9" s="78"/>
      <c r="Q9" s="78"/>
      <c r="R9" s="78"/>
      <c r="S9" s="78"/>
      <c r="T9" s="78"/>
      <c r="U9" s="78"/>
      <c r="V9" s="78"/>
    </row>
    <row r="10" spans="1:22" x14ac:dyDescent="0.25">
      <c r="A10" s="83" t="s">
        <v>1590</v>
      </c>
      <c r="B10" s="78">
        <v>1</v>
      </c>
      <c r="C10" s="78"/>
      <c r="D10" s="78"/>
      <c r="E10" s="78"/>
      <c r="F10" s="78"/>
      <c r="G10" s="78"/>
      <c r="H10" s="78"/>
      <c r="I10" s="78"/>
      <c r="J10" s="78"/>
      <c r="K10" s="78"/>
      <c r="L10" s="78"/>
      <c r="M10" s="78"/>
      <c r="N10" s="78"/>
      <c r="O10" s="78"/>
      <c r="P10" s="78"/>
      <c r="Q10" s="78"/>
      <c r="R10" s="78"/>
      <c r="S10" s="78"/>
      <c r="T10" s="78"/>
      <c r="U10" s="78"/>
      <c r="V10" s="78"/>
    </row>
    <row r="11" spans="1:22" x14ac:dyDescent="0.25">
      <c r="A11" s="83" t="s">
        <v>1591</v>
      </c>
      <c r="B11" s="78">
        <v>1</v>
      </c>
      <c r="C11" s="78"/>
      <c r="D11" s="78"/>
      <c r="E11" s="78"/>
      <c r="F11" s="78"/>
      <c r="G11" s="78"/>
      <c r="H11" s="78"/>
      <c r="I11" s="78"/>
      <c r="J11" s="78"/>
      <c r="K11" s="78"/>
      <c r="L11" s="78"/>
      <c r="M11" s="78"/>
      <c r="N11" s="78"/>
      <c r="O11" s="78"/>
      <c r="P11" s="78"/>
      <c r="Q11" s="78"/>
      <c r="R11" s="78"/>
      <c r="S11" s="78"/>
      <c r="T11" s="78"/>
      <c r="U11" s="78"/>
      <c r="V11" s="78"/>
    </row>
    <row r="14" spans="1:22" ht="15" customHeight="1" x14ac:dyDescent="0.25">
      <c r="A14" s="13" t="s">
        <v>1626</v>
      </c>
      <c r="B14" s="13" t="s">
        <v>1592</v>
      </c>
      <c r="C14" s="13" t="s">
        <v>1627</v>
      </c>
      <c r="D14" s="13" t="s">
        <v>1600</v>
      </c>
      <c r="E14" s="13" t="s">
        <v>1628</v>
      </c>
      <c r="F14" s="13" t="s">
        <v>1602</v>
      </c>
      <c r="G14" s="13" t="s">
        <v>1629</v>
      </c>
      <c r="H14" s="13" t="s">
        <v>1604</v>
      </c>
      <c r="I14" s="78" t="s">
        <v>1630</v>
      </c>
      <c r="J14" s="78" t="s">
        <v>1606</v>
      </c>
      <c r="K14" s="13" t="s">
        <v>1631</v>
      </c>
      <c r="L14" s="13" t="s">
        <v>1609</v>
      </c>
      <c r="M14" s="78" t="s">
        <v>1632</v>
      </c>
      <c r="N14" s="78" t="s">
        <v>1611</v>
      </c>
      <c r="O14" s="13" t="s">
        <v>1633</v>
      </c>
      <c r="P14" s="13" t="s">
        <v>1613</v>
      </c>
      <c r="Q14" s="13" t="s">
        <v>1634</v>
      </c>
      <c r="R14" s="13" t="s">
        <v>1616</v>
      </c>
      <c r="S14" s="78" t="s">
        <v>1635</v>
      </c>
      <c r="T14" s="78" t="s">
        <v>1618</v>
      </c>
      <c r="U14" s="78" t="s">
        <v>1636</v>
      </c>
      <c r="V14" s="78" t="s">
        <v>1619</v>
      </c>
    </row>
    <row r="15" spans="1:22" x14ac:dyDescent="0.25">
      <c r="A15" s="78" t="s">
        <v>449</v>
      </c>
      <c r="B15" s="78">
        <v>11</v>
      </c>
      <c r="C15" s="78" t="s">
        <v>449</v>
      </c>
      <c r="D15" s="78">
        <v>4</v>
      </c>
      <c r="E15" s="78" t="s">
        <v>449</v>
      </c>
      <c r="F15" s="78">
        <v>6</v>
      </c>
      <c r="G15" s="78" t="s">
        <v>450</v>
      </c>
      <c r="H15" s="78">
        <v>6</v>
      </c>
      <c r="I15" s="78"/>
      <c r="J15" s="78"/>
      <c r="K15" s="78" t="s">
        <v>449</v>
      </c>
      <c r="L15" s="78">
        <v>1</v>
      </c>
      <c r="M15" s="78"/>
      <c r="N15" s="78"/>
      <c r="O15" s="78" t="s">
        <v>446</v>
      </c>
      <c r="P15" s="78">
        <v>3</v>
      </c>
      <c r="Q15" s="78" t="s">
        <v>450</v>
      </c>
      <c r="R15" s="78">
        <v>1</v>
      </c>
      <c r="S15" s="78"/>
      <c r="T15" s="78"/>
      <c r="U15" s="78"/>
      <c r="V15" s="78"/>
    </row>
    <row r="16" spans="1:22" x14ac:dyDescent="0.25">
      <c r="A16" s="79" t="s">
        <v>450</v>
      </c>
      <c r="B16" s="78">
        <v>7</v>
      </c>
      <c r="C16" s="78" t="s">
        <v>456</v>
      </c>
      <c r="D16" s="78">
        <v>1</v>
      </c>
      <c r="E16" s="78"/>
      <c r="F16" s="78"/>
      <c r="G16" s="78" t="s">
        <v>454</v>
      </c>
      <c r="H16" s="78">
        <v>1</v>
      </c>
      <c r="I16" s="78"/>
      <c r="J16" s="78"/>
      <c r="K16" s="78" t="s">
        <v>448</v>
      </c>
      <c r="L16" s="78">
        <v>1</v>
      </c>
      <c r="M16" s="78"/>
      <c r="N16" s="78"/>
      <c r="O16" s="78"/>
      <c r="P16" s="78"/>
      <c r="Q16" s="78"/>
      <c r="R16" s="78"/>
      <c r="S16" s="78"/>
      <c r="T16" s="78"/>
      <c r="U16" s="78"/>
      <c r="V16" s="78"/>
    </row>
    <row r="17" spans="1:22" x14ac:dyDescent="0.25">
      <c r="A17" s="79" t="s">
        <v>455</v>
      </c>
      <c r="B17" s="78">
        <v>5</v>
      </c>
      <c r="C17" s="78" t="s">
        <v>457</v>
      </c>
      <c r="D17" s="78">
        <v>1</v>
      </c>
      <c r="E17" s="78"/>
      <c r="F17" s="78"/>
      <c r="G17" s="78"/>
      <c r="H17" s="78"/>
      <c r="I17" s="78"/>
      <c r="J17" s="78"/>
      <c r="K17" s="78"/>
      <c r="L17" s="78"/>
      <c r="M17" s="78"/>
      <c r="N17" s="78"/>
      <c r="O17" s="78"/>
      <c r="P17" s="78"/>
      <c r="Q17" s="78"/>
      <c r="R17" s="78"/>
      <c r="S17" s="78"/>
      <c r="T17" s="78"/>
      <c r="U17" s="78"/>
      <c r="V17" s="78"/>
    </row>
    <row r="18" spans="1:22" x14ac:dyDescent="0.25">
      <c r="A18" s="79" t="s">
        <v>446</v>
      </c>
      <c r="B18" s="78">
        <v>3</v>
      </c>
      <c r="C18" s="78" t="s">
        <v>452</v>
      </c>
      <c r="D18" s="78">
        <v>1</v>
      </c>
      <c r="E18" s="78"/>
      <c r="F18" s="78"/>
      <c r="G18" s="78"/>
      <c r="H18" s="78"/>
      <c r="I18" s="78"/>
      <c r="J18" s="78"/>
      <c r="K18" s="78"/>
      <c r="L18" s="78"/>
      <c r="M18" s="78"/>
      <c r="N18" s="78"/>
      <c r="O18" s="78"/>
      <c r="P18" s="78"/>
      <c r="Q18" s="78"/>
      <c r="R18" s="78"/>
      <c r="S18" s="78"/>
      <c r="T18" s="78"/>
      <c r="U18" s="78"/>
      <c r="V18" s="78"/>
    </row>
    <row r="19" spans="1:22" x14ac:dyDescent="0.25">
      <c r="A19" s="79" t="s">
        <v>454</v>
      </c>
      <c r="B19" s="78">
        <v>1</v>
      </c>
      <c r="C19" s="78" t="s">
        <v>458</v>
      </c>
      <c r="D19" s="78">
        <v>1</v>
      </c>
      <c r="E19" s="78"/>
      <c r="F19" s="78"/>
      <c r="G19" s="78"/>
      <c r="H19" s="78"/>
      <c r="I19" s="78"/>
      <c r="J19" s="78"/>
      <c r="K19" s="78"/>
      <c r="L19" s="78"/>
      <c r="M19" s="78"/>
      <c r="N19" s="78"/>
      <c r="O19" s="78"/>
      <c r="P19" s="78"/>
      <c r="Q19" s="78"/>
      <c r="R19" s="78"/>
      <c r="S19" s="78"/>
      <c r="T19" s="78"/>
      <c r="U19" s="78"/>
      <c r="V19" s="78"/>
    </row>
    <row r="20" spans="1:22" x14ac:dyDescent="0.25">
      <c r="A20" s="79" t="s">
        <v>448</v>
      </c>
      <c r="B20" s="78">
        <v>1</v>
      </c>
      <c r="C20" s="78" t="s">
        <v>459</v>
      </c>
      <c r="D20" s="78">
        <v>1</v>
      </c>
      <c r="E20" s="78"/>
      <c r="F20" s="78"/>
      <c r="G20" s="78"/>
      <c r="H20" s="78"/>
      <c r="I20" s="78"/>
      <c r="J20" s="78"/>
      <c r="K20" s="78"/>
      <c r="L20" s="78"/>
      <c r="M20" s="78"/>
      <c r="N20" s="78"/>
      <c r="O20" s="78"/>
      <c r="P20" s="78"/>
      <c r="Q20" s="78"/>
      <c r="R20" s="78"/>
      <c r="S20" s="78"/>
      <c r="T20" s="78"/>
      <c r="U20" s="78"/>
      <c r="V20" s="78"/>
    </row>
    <row r="21" spans="1:22" x14ac:dyDescent="0.25">
      <c r="A21" s="79" t="s">
        <v>458</v>
      </c>
      <c r="B21" s="78">
        <v>1</v>
      </c>
      <c r="C21" s="78" t="s">
        <v>453</v>
      </c>
      <c r="D21" s="78">
        <v>1</v>
      </c>
      <c r="E21" s="78"/>
      <c r="F21" s="78"/>
      <c r="G21" s="78"/>
      <c r="H21" s="78"/>
      <c r="I21" s="78"/>
      <c r="J21" s="78"/>
      <c r="K21" s="78"/>
      <c r="L21" s="78"/>
      <c r="M21" s="78"/>
      <c r="N21" s="78"/>
      <c r="O21" s="78"/>
      <c r="P21" s="78"/>
      <c r="Q21" s="78"/>
      <c r="R21" s="78"/>
      <c r="S21" s="78"/>
      <c r="T21" s="78"/>
      <c r="U21" s="78"/>
      <c r="V21" s="78"/>
    </row>
    <row r="22" spans="1:22" x14ac:dyDescent="0.25">
      <c r="A22" s="79" t="s">
        <v>447</v>
      </c>
      <c r="B22" s="78">
        <v>1</v>
      </c>
      <c r="C22" s="78"/>
      <c r="D22" s="78"/>
      <c r="E22" s="78"/>
      <c r="F22" s="78"/>
      <c r="G22" s="78"/>
      <c r="H22" s="78"/>
      <c r="I22" s="78"/>
      <c r="J22" s="78"/>
      <c r="K22" s="78"/>
      <c r="L22" s="78"/>
      <c r="M22" s="78"/>
      <c r="N22" s="78"/>
      <c r="O22" s="78"/>
      <c r="P22" s="78"/>
      <c r="Q22" s="78"/>
      <c r="R22" s="78"/>
      <c r="S22" s="78"/>
      <c r="T22" s="78"/>
      <c r="U22" s="78"/>
      <c r="V22" s="78"/>
    </row>
    <row r="23" spans="1:22" x14ac:dyDescent="0.25">
      <c r="A23" s="79" t="s">
        <v>452</v>
      </c>
      <c r="B23" s="78">
        <v>1</v>
      </c>
      <c r="C23" s="78"/>
      <c r="D23" s="78"/>
      <c r="E23" s="78"/>
      <c r="F23" s="78"/>
      <c r="G23" s="78"/>
      <c r="H23" s="78"/>
      <c r="I23" s="78"/>
      <c r="J23" s="78"/>
      <c r="K23" s="78"/>
      <c r="L23" s="78"/>
      <c r="M23" s="78"/>
      <c r="N23" s="78"/>
      <c r="O23" s="78"/>
      <c r="P23" s="78"/>
      <c r="Q23" s="78"/>
      <c r="R23" s="78"/>
      <c r="S23" s="78"/>
      <c r="T23" s="78"/>
      <c r="U23" s="78"/>
      <c r="V23" s="78"/>
    </row>
    <row r="24" spans="1:22" x14ac:dyDescent="0.25">
      <c r="A24" s="79" t="s">
        <v>453</v>
      </c>
      <c r="B24" s="78">
        <v>1</v>
      </c>
      <c r="C24" s="78"/>
      <c r="D24" s="78"/>
      <c r="E24" s="78"/>
      <c r="F24" s="78"/>
      <c r="G24" s="78"/>
      <c r="H24" s="78"/>
      <c r="I24" s="78"/>
      <c r="J24" s="78"/>
      <c r="K24" s="78"/>
      <c r="L24" s="78"/>
      <c r="M24" s="78"/>
      <c r="N24" s="78"/>
      <c r="O24" s="78"/>
      <c r="P24" s="78"/>
      <c r="Q24" s="78"/>
      <c r="R24" s="78"/>
      <c r="S24" s="78"/>
      <c r="T24" s="78"/>
      <c r="U24" s="78"/>
      <c r="V24" s="78"/>
    </row>
    <row r="27" spans="1:22" ht="15" customHeight="1" x14ac:dyDescent="0.25">
      <c r="A27" s="13" t="s">
        <v>1641</v>
      </c>
      <c r="B27" s="13" t="s">
        <v>1592</v>
      </c>
      <c r="C27" s="13" t="s">
        <v>1651</v>
      </c>
      <c r="D27" s="13" t="s">
        <v>1600</v>
      </c>
      <c r="E27" s="13" t="s">
        <v>1661</v>
      </c>
      <c r="F27" s="13" t="s">
        <v>1602</v>
      </c>
      <c r="G27" s="13" t="s">
        <v>1662</v>
      </c>
      <c r="H27" s="13" t="s">
        <v>1604</v>
      </c>
      <c r="I27" s="13" t="s">
        <v>1663</v>
      </c>
      <c r="J27" s="13" t="s">
        <v>1606</v>
      </c>
      <c r="K27" s="13" t="s">
        <v>1670</v>
      </c>
      <c r="L27" s="13" t="s">
        <v>1609</v>
      </c>
      <c r="M27" s="13" t="s">
        <v>1679</v>
      </c>
      <c r="N27" s="13" t="s">
        <v>1611</v>
      </c>
      <c r="O27" s="13" t="s">
        <v>1682</v>
      </c>
      <c r="P27" s="13" t="s">
        <v>1613</v>
      </c>
      <c r="Q27" s="13" t="s">
        <v>1684</v>
      </c>
      <c r="R27" s="13" t="s">
        <v>1616</v>
      </c>
      <c r="S27" s="13" t="s">
        <v>1687</v>
      </c>
      <c r="T27" s="13" t="s">
        <v>1618</v>
      </c>
      <c r="U27" s="13" t="s">
        <v>1693</v>
      </c>
      <c r="V27" s="13" t="s">
        <v>1619</v>
      </c>
    </row>
    <row r="28" spans="1:22" x14ac:dyDescent="0.25">
      <c r="A28" s="78" t="s">
        <v>461</v>
      </c>
      <c r="B28" s="78">
        <v>176</v>
      </c>
      <c r="C28" s="78" t="s">
        <v>461</v>
      </c>
      <c r="D28" s="78">
        <v>44</v>
      </c>
      <c r="E28" s="78" t="s">
        <v>461</v>
      </c>
      <c r="F28" s="78">
        <v>25</v>
      </c>
      <c r="G28" s="78" t="s">
        <v>461</v>
      </c>
      <c r="H28" s="78">
        <v>35</v>
      </c>
      <c r="I28" s="78" t="s">
        <v>461</v>
      </c>
      <c r="J28" s="78">
        <v>2</v>
      </c>
      <c r="K28" s="78" t="s">
        <v>461</v>
      </c>
      <c r="L28" s="78">
        <v>35</v>
      </c>
      <c r="M28" s="78" t="s">
        <v>461</v>
      </c>
      <c r="N28" s="78">
        <v>3</v>
      </c>
      <c r="O28" s="78" t="s">
        <v>1683</v>
      </c>
      <c r="P28" s="78">
        <v>3</v>
      </c>
      <c r="Q28" s="78" t="s">
        <v>461</v>
      </c>
      <c r="R28" s="78">
        <v>4</v>
      </c>
      <c r="S28" s="78" t="s">
        <v>1688</v>
      </c>
      <c r="T28" s="78">
        <v>3</v>
      </c>
      <c r="U28" s="78" t="s">
        <v>1694</v>
      </c>
      <c r="V28" s="78">
        <v>2</v>
      </c>
    </row>
    <row r="29" spans="1:22" x14ac:dyDescent="0.25">
      <c r="A29" s="79" t="s">
        <v>1642</v>
      </c>
      <c r="B29" s="78">
        <v>10</v>
      </c>
      <c r="C29" s="78" t="s">
        <v>1652</v>
      </c>
      <c r="D29" s="78">
        <v>4</v>
      </c>
      <c r="E29" s="78"/>
      <c r="F29" s="78"/>
      <c r="G29" s="78" t="s">
        <v>1645</v>
      </c>
      <c r="H29" s="78">
        <v>6</v>
      </c>
      <c r="I29" s="78" t="s">
        <v>1664</v>
      </c>
      <c r="J29" s="78">
        <v>1</v>
      </c>
      <c r="K29" s="78" t="s">
        <v>1671</v>
      </c>
      <c r="L29" s="78">
        <v>5</v>
      </c>
      <c r="M29" s="78" t="s">
        <v>1680</v>
      </c>
      <c r="N29" s="78">
        <v>2</v>
      </c>
      <c r="O29" s="78" t="s">
        <v>461</v>
      </c>
      <c r="P29" s="78">
        <v>3</v>
      </c>
      <c r="Q29" s="78" t="s">
        <v>1685</v>
      </c>
      <c r="R29" s="78">
        <v>2</v>
      </c>
      <c r="S29" s="78" t="s">
        <v>1689</v>
      </c>
      <c r="T29" s="78">
        <v>3</v>
      </c>
      <c r="U29" s="78" t="s">
        <v>1695</v>
      </c>
      <c r="V29" s="78">
        <v>2</v>
      </c>
    </row>
    <row r="30" spans="1:22" x14ac:dyDescent="0.25">
      <c r="A30" s="79" t="s">
        <v>1643</v>
      </c>
      <c r="B30" s="78">
        <v>7</v>
      </c>
      <c r="C30" s="78" t="s">
        <v>1653</v>
      </c>
      <c r="D30" s="78">
        <v>3</v>
      </c>
      <c r="E30" s="78"/>
      <c r="F30" s="78"/>
      <c r="G30" s="78"/>
      <c r="H30" s="78"/>
      <c r="I30" s="78" t="s">
        <v>1665</v>
      </c>
      <c r="J30" s="78">
        <v>1</v>
      </c>
      <c r="K30" s="78" t="s">
        <v>1672</v>
      </c>
      <c r="L30" s="78">
        <v>5</v>
      </c>
      <c r="M30" s="78" t="s">
        <v>1681</v>
      </c>
      <c r="N30" s="78">
        <v>1</v>
      </c>
      <c r="O30" s="78"/>
      <c r="P30" s="78"/>
      <c r="Q30" s="78" t="s">
        <v>1686</v>
      </c>
      <c r="R30" s="78">
        <v>2</v>
      </c>
      <c r="S30" s="78" t="s">
        <v>1690</v>
      </c>
      <c r="T30" s="78">
        <v>3</v>
      </c>
      <c r="U30" s="78" t="s">
        <v>1696</v>
      </c>
      <c r="V30" s="78">
        <v>2</v>
      </c>
    </row>
    <row r="31" spans="1:22" x14ac:dyDescent="0.25">
      <c r="A31" s="79" t="s">
        <v>1644</v>
      </c>
      <c r="B31" s="78">
        <v>6</v>
      </c>
      <c r="C31" s="78" t="s">
        <v>1654</v>
      </c>
      <c r="D31" s="78">
        <v>3</v>
      </c>
      <c r="E31" s="78"/>
      <c r="F31" s="78"/>
      <c r="G31" s="78"/>
      <c r="H31" s="78"/>
      <c r="I31" s="78" t="s">
        <v>1666</v>
      </c>
      <c r="J31" s="78">
        <v>1</v>
      </c>
      <c r="K31" s="78" t="s">
        <v>1673</v>
      </c>
      <c r="L31" s="78">
        <v>5</v>
      </c>
      <c r="M31" s="78"/>
      <c r="N31" s="78"/>
      <c r="O31" s="78"/>
      <c r="P31" s="78"/>
      <c r="Q31" s="78"/>
      <c r="R31" s="78"/>
      <c r="S31" s="78" t="s">
        <v>461</v>
      </c>
      <c r="T31" s="78">
        <v>3</v>
      </c>
      <c r="U31" s="78" t="s">
        <v>461</v>
      </c>
      <c r="V31" s="78">
        <v>2</v>
      </c>
    </row>
    <row r="32" spans="1:22" x14ac:dyDescent="0.25">
      <c r="A32" s="79" t="s">
        <v>1645</v>
      </c>
      <c r="B32" s="78">
        <v>6</v>
      </c>
      <c r="C32" s="78" t="s">
        <v>1655</v>
      </c>
      <c r="D32" s="78">
        <v>2</v>
      </c>
      <c r="E32" s="78"/>
      <c r="F32" s="78"/>
      <c r="G32" s="78"/>
      <c r="H32" s="78"/>
      <c r="I32" s="78" t="s">
        <v>1667</v>
      </c>
      <c r="J32" s="78">
        <v>1</v>
      </c>
      <c r="K32" s="78" t="s">
        <v>1674</v>
      </c>
      <c r="L32" s="78">
        <v>5</v>
      </c>
      <c r="M32" s="78"/>
      <c r="N32" s="78"/>
      <c r="O32" s="78"/>
      <c r="P32" s="78"/>
      <c r="Q32" s="78"/>
      <c r="R32" s="78"/>
      <c r="S32" s="78" t="s">
        <v>1691</v>
      </c>
      <c r="T32" s="78">
        <v>3</v>
      </c>
      <c r="U32" s="78" t="s">
        <v>1668</v>
      </c>
      <c r="V32" s="78">
        <v>1</v>
      </c>
    </row>
    <row r="33" spans="1:22" x14ac:dyDescent="0.25">
      <c r="A33" s="79" t="s">
        <v>1646</v>
      </c>
      <c r="B33" s="78">
        <v>5</v>
      </c>
      <c r="C33" s="78" t="s">
        <v>1656</v>
      </c>
      <c r="D33" s="78">
        <v>2</v>
      </c>
      <c r="E33" s="78"/>
      <c r="F33" s="78"/>
      <c r="G33" s="78"/>
      <c r="H33" s="78"/>
      <c r="I33" s="78" t="s">
        <v>1668</v>
      </c>
      <c r="J33" s="78">
        <v>1</v>
      </c>
      <c r="K33" s="78" t="s">
        <v>1675</v>
      </c>
      <c r="L33" s="78">
        <v>5</v>
      </c>
      <c r="M33" s="78"/>
      <c r="N33" s="78"/>
      <c r="O33" s="78"/>
      <c r="P33" s="78"/>
      <c r="Q33" s="78"/>
      <c r="R33" s="78"/>
      <c r="S33" s="78" t="s">
        <v>1692</v>
      </c>
      <c r="T33" s="78">
        <v>3</v>
      </c>
      <c r="U33" s="78" t="s">
        <v>1697</v>
      </c>
      <c r="V33" s="78">
        <v>1</v>
      </c>
    </row>
    <row r="34" spans="1:22" x14ac:dyDescent="0.25">
      <c r="A34" s="79" t="s">
        <v>1647</v>
      </c>
      <c r="B34" s="78">
        <v>5</v>
      </c>
      <c r="C34" s="78" t="s">
        <v>1657</v>
      </c>
      <c r="D34" s="78">
        <v>1</v>
      </c>
      <c r="E34" s="78"/>
      <c r="F34" s="78"/>
      <c r="G34" s="78"/>
      <c r="H34" s="78"/>
      <c r="I34" s="78" t="s">
        <v>1669</v>
      </c>
      <c r="J34" s="78">
        <v>1</v>
      </c>
      <c r="K34" s="78" t="s">
        <v>1676</v>
      </c>
      <c r="L34" s="78">
        <v>5</v>
      </c>
      <c r="M34" s="78"/>
      <c r="N34" s="78"/>
      <c r="O34" s="78"/>
      <c r="P34" s="78"/>
      <c r="Q34" s="78"/>
      <c r="R34" s="78"/>
      <c r="S34" s="78"/>
      <c r="T34" s="78"/>
      <c r="U34" s="78" t="s">
        <v>1698</v>
      </c>
      <c r="V34" s="78">
        <v>1</v>
      </c>
    </row>
    <row r="35" spans="1:22" x14ac:dyDescent="0.25">
      <c r="A35" s="79" t="s">
        <v>1648</v>
      </c>
      <c r="B35" s="78">
        <v>5</v>
      </c>
      <c r="C35" s="78" t="s">
        <v>1658</v>
      </c>
      <c r="D35" s="78">
        <v>1</v>
      </c>
      <c r="E35" s="78"/>
      <c r="F35" s="78"/>
      <c r="G35" s="78"/>
      <c r="H35" s="78"/>
      <c r="I35" s="78"/>
      <c r="J35" s="78"/>
      <c r="K35" s="78" t="s">
        <v>1677</v>
      </c>
      <c r="L35" s="78">
        <v>3</v>
      </c>
      <c r="M35" s="78"/>
      <c r="N35" s="78"/>
      <c r="O35" s="78"/>
      <c r="P35" s="78"/>
      <c r="Q35" s="78"/>
      <c r="R35" s="78"/>
      <c r="S35" s="78"/>
      <c r="T35" s="78"/>
      <c r="U35" s="78" t="s">
        <v>1699</v>
      </c>
      <c r="V35" s="78">
        <v>1</v>
      </c>
    </row>
    <row r="36" spans="1:22" x14ac:dyDescent="0.25">
      <c r="A36" s="79" t="s">
        <v>1649</v>
      </c>
      <c r="B36" s="78">
        <v>5</v>
      </c>
      <c r="C36" s="78" t="s">
        <v>1659</v>
      </c>
      <c r="D36" s="78">
        <v>1</v>
      </c>
      <c r="E36" s="78"/>
      <c r="F36" s="78"/>
      <c r="G36" s="78"/>
      <c r="H36" s="78"/>
      <c r="I36" s="78"/>
      <c r="J36" s="78"/>
      <c r="K36" s="78" t="s">
        <v>1657</v>
      </c>
      <c r="L36" s="78">
        <v>2</v>
      </c>
      <c r="M36" s="78"/>
      <c r="N36" s="78"/>
      <c r="O36" s="78"/>
      <c r="P36" s="78"/>
      <c r="Q36" s="78"/>
      <c r="R36" s="78"/>
      <c r="S36" s="78"/>
      <c r="T36" s="78"/>
      <c r="U36" s="78" t="s">
        <v>1700</v>
      </c>
      <c r="V36" s="78">
        <v>1</v>
      </c>
    </row>
    <row r="37" spans="1:22" x14ac:dyDescent="0.25">
      <c r="A37" s="79" t="s">
        <v>1650</v>
      </c>
      <c r="B37" s="78">
        <v>5</v>
      </c>
      <c r="C37" s="78" t="s">
        <v>1660</v>
      </c>
      <c r="D37" s="78">
        <v>1</v>
      </c>
      <c r="E37" s="78"/>
      <c r="F37" s="78"/>
      <c r="G37" s="78"/>
      <c r="H37" s="78"/>
      <c r="I37" s="78"/>
      <c r="J37" s="78"/>
      <c r="K37" s="78" t="s">
        <v>1678</v>
      </c>
      <c r="L37" s="78">
        <v>2</v>
      </c>
      <c r="M37" s="78"/>
      <c r="N37" s="78"/>
      <c r="O37" s="78"/>
      <c r="P37" s="78"/>
      <c r="Q37" s="78"/>
      <c r="R37" s="78"/>
      <c r="S37" s="78"/>
      <c r="T37" s="78"/>
      <c r="U37" s="78"/>
      <c r="V37" s="78"/>
    </row>
    <row r="40" spans="1:22" ht="15" customHeight="1" x14ac:dyDescent="0.25">
      <c r="A40" s="13" t="s">
        <v>1712</v>
      </c>
      <c r="B40" s="13" t="s">
        <v>1592</v>
      </c>
      <c r="C40" s="13" t="s">
        <v>1719</v>
      </c>
      <c r="D40" s="13" t="s">
        <v>1600</v>
      </c>
      <c r="E40" s="13" t="s">
        <v>1725</v>
      </c>
      <c r="F40" s="13" t="s">
        <v>1602</v>
      </c>
      <c r="G40" s="13" t="s">
        <v>1729</v>
      </c>
      <c r="H40" s="13" t="s">
        <v>1604</v>
      </c>
      <c r="I40" s="13" t="s">
        <v>1735</v>
      </c>
      <c r="J40" s="13" t="s">
        <v>1606</v>
      </c>
      <c r="K40" s="13" t="s">
        <v>1739</v>
      </c>
      <c r="L40" s="13" t="s">
        <v>1609</v>
      </c>
      <c r="M40" s="13" t="s">
        <v>1748</v>
      </c>
      <c r="N40" s="13" t="s">
        <v>1611</v>
      </c>
      <c r="O40" s="13" t="s">
        <v>1751</v>
      </c>
      <c r="P40" s="13" t="s">
        <v>1613</v>
      </c>
      <c r="Q40" s="13" t="s">
        <v>1761</v>
      </c>
      <c r="R40" s="13" t="s">
        <v>1616</v>
      </c>
      <c r="S40" s="13" t="s">
        <v>1769</v>
      </c>
      <c r="T40" s="13" t="s">
        <v>1618</v>
      </c>
      <c r="U40" s="13" t="s">
        <v>1779</v>
      </c>
      <c r="V40" s="13" t="s">
        <v>1619</v>
      </c>
    </row>
    <row r="41" spans="1:22" x14ac:dyDescent="0.25">
      <c r="A41" s="84" t="s">
        <v>1713</v>
      </c>
      <c r="B41" s="84">
        <v>176</v>
      </c>
      <c r="C41" s="84" t="s">
        <v>1713</v>
      </c>
      <c r="D41" s="84">
        <v>44</v>
      </c>
      <c r="E41" s="84" t="s">
        <v>1716</v>
      </c>
      <c r="F41" s="84">
        <v>35</v>
      </c>
      <c r="G41" s="84" t="s">
        <v>322</v>
      </c>
      <c r="H41" s="84">
        <v>35</v>
      </c>
      <c r="I41" s="84" t="s">
        <v>1736</v>
      </c>
      <c r="J41" s="84">
        <v>2</v>
      </c>
      <c r="K41" s="84" t="s">
        <v>1713</v>
      </c>
      <c r="L41" s="84">
        <v>35</v>
      </c>
      <c r="M41" s="84" t="s">
        <v>1657</v>
      </c>
      <c r="N41" s="84">
        <v>4</v>
      </c>
      <c r="O41" s="84" t="s">
        <v>1752</v>
      </c>
      <c r="P41" s="84">
        <v>3</v>
      </c>
      <c r="Q41" s="84" t="s">
        <v>1713</v>
      </c>
      <c r="R41" s="84">
        <v>4</v>
      </c>
      <c r="S41" s="84" t="s">
        <v>1770</v>
      </c>
      <c r="T41" s="84">
        <v>3</v>
      </c>
      <c r="U41" s="84" t="s">
        <v>1780</v>
      </c>
      <c r="V41" s="84">
        <v>2</v>
      </c>
    </row>
    <row r="42" spans="1:22" x14ac:dyDescent="0.25">
      <c r="A42" s="85" t="s">
        <v>1657</v>
      </c>
      <c r="B42" s="84">
        <v>51</v>
      </c>
      <c r="C42" s="84" t="s">
        <v>1657</v>
      </c>
      <c r="D42" s="84">
        <v>35</v>
      </c>
      <c r="E42" s="84" t="s">
        <v>1718</v>
      </c>
      <c r="F42" s="84">
        <v>34</v>
      </c>
      <c r="G42" s="84" t="s">
        <v>289</v>
      </c>
      <c r="H42" s="84">
        <v>35</v>
      </c>
      <c r="I42" s="84" t="s">
        <v>1737</v>
      </c>
      <c r="J42" s="84">
        <v>2</v>
      </c>
      <c r="K42" s="84" t="s">
        <v>1740</v>
      </c>
      <c r="L42" s="84">
        <v>14</v>
      </c>
      <c r="M42" s="84" t="s">
        <v>1713</v>
      </c>
      <c r="N42" s="84">
        <v>3</v>
      </c>
      <c r="O42" s="84" t="s">
        <v>1753</v>
      </c>
      <c r="P42" s="84">
        <v>3</v>
      </c>
      <c r="Q42" s="84" t="s">
        <v>1762</v>
      </c>
      <c r="R42" s="84">
        <v>3</v>
      </c>
      <c r="S42" s="84" t="s">
        <v>1771</v>
      </c>
      <c r="T42" s="84">
        <v>3</v>
      </c>
      <c r="U42" s="84" t="s">
        <v>1756</v>
      </c>
      <c r="V42" s="84">
        <v>2</v>
      </c>
    </row>
    <row r="43" spans="1:22" x14ac:dyDescent="0.25">
      <c r="A43" s="85" t="s">
        <v>1714</v>
      </c>
      <c r="B43" s="84">
        <v>47</v>
      </c>
      <c r="C43" s="84" t="s">
        <v>1715</v>
      </c>
      <c r="D43" s="84">
        <v>35</v>
      </c>
      <c r="E43" s="84" t="s">
        <v>1713</v>
      </c>
      <c r="F43" s="84">
        <v>25</v>
      </c>
      <c r="G43" s="84" t="s">
        <v>1713</v>
      </c>
      <c r="H43" s="84">
        <v>35</v>
      </c>
      <c r="I43" s="84" t="s">
        <v>1713</v>
      </c>
      <c r="J43" s="84">
        <v>2</v>
      </c>
      <c r="K43" s="84" t="s">
        <v>1741</v>
      </c>
      <c r="L43" s="84">
        <v>14</v>
      </c>
      <c r="M43" s="84" t="s">
        <v>1749</v>
      </c>
      <c r="N43" s="84">
        <v>2</v>
      </c>
      <c r="O43" s="84" t="s">
        <v>1754</v>
      </c>
      <c r="P43" s="84">
        <v>3</v>
      </c>
      <c r="Q43" s="84" t="s">
        <v>1763</v>
      </c>
      <c r="R43" s="84">
        <v>2</v>
      </c>
      <c r="S43" s="84" t="s">
        <v>1772</v>
      </c>
      <c r="T43" s="84">
        <v>3</v>
      </c>
      <c r="U43" s="84" t="s">
        <v>1781</v>
      </c>
      <c r="V43" s="84">
        <v>2</v>
      </c>
    </row>
    <row r="44" spans="1:22" x14ac:dyDescent="0.25">
      <c r="A44" s="85" t="s">
        <v>1716</v>
      </c>
      <c r="B44" s="84">
        <v>39</v>
      </c>
      <c r="C44" s="84" t="s">
        <v>1720</v>
      </c>
      <c r="D44" s="84">
        <v>28</v>
      </c>
      <c r="E44" s="84" t="s">
        <v>1674</v>
      </c>
      <c r="F44" s="84">
        <v>23</v>
      </c>
      <c r="G44" s="84" t="s">
        <v>1730</v>
      </c>
      <c r="H44" s="84">
        <v>22</v>
      </c>
      <c r="I44" s="84" t="s">
        <v>311</v>
      </c>
      <c r="J44" s="84">
        <v>2</v>
      </c>
      <c r="K44" s="84" t="s">
        <v>1742</v>
      </c>
      <c r="L44" s="84">
        <v>9</v>
      </c>
      <c r="M44" s="84" t="s">
        <v>1746</v>
      </c>
      <c r="N44" s="84">
        <v>2</v>
      </c>
      <c r="O44" s="84" t="s">
        <v>1755</v>
      </c>
      <c r="P44" s="84">
        <v>3</v>
      </c>
      <c r="Q44" s="84" t="s">
        <v>1764</v>
      </c>
      <c r="R44" s="84">
        <v>2</v>
      </c>
      <c r="S44" s="84" t="s">
        <v>1773</v>
      </c>
      <c r="T44" s="84">
        <v>3</v>
      </c>
      <c r="U44" s="84" t="s">
        <v>1782</v>
      </c>
      <c r="V44" s="84">
        <v>2</v>
      </c>
    </row>
    <row r="45" spans="1:22" x14ac:dyDescent="0.25">
      <c r="A45" s="85" t="s">
        <v>1717</v>
      </c>
      <c r="B45" s="84">
        <v>38</v>
      </c>
      <c r="C45" s="84" t="s">
        <v>1721</v>
      </c>
      <c r="D45" s="84">
        <v>28</v>
      </c>
      <c r="E45" s="84" t="s">
        <v>1726</v>
      </c>
      <c r="F45" s="84">
        <v>23</v>
      </c>
      <c r="G45" s="84" t="s">
        <v>320</v>
      </c>
      <c r="H45" s="84">
        <v>21</v>
      </c>
      <c r="I45" s="84" t="s">
        <v>312</v>
      </c>
      <c r="J45" s="84">
        <v>2</v>
      </c>
      <c r="K45" s="84" t="s">
        <v>1743</v>
      </c>
      <c r="L45" s="84">
        <v>9</v>
      </c>
      <c r="M45" s="84" t="s">
        <v>1750</v>
      </c>
      <c r="N45" s="84">
        <v>2</v>
      </c>
      <c r="O45" s="84" t="s">
        <v>1756</v>
      </c>
      <c r="P45" s="84">
        <v>3</v>
      </c>
      <c r="Q45" s="84" t="s">
        <v>1765</v>
      </c>
      <c r="R45" s="84">
        <v>2</v>
      </c>
      <c r="S45" s="84" t="s">
        <v>1724</v>
      </c>
      <c r="T45" s="84">
        <v>3</v>
      </c>
      <c r="U45" s="84" t="s">
        <v>1783</v>
      </c>
      <c r="V45" s="84">
        <v>2</v>
      </c>
    </row>
    <row r="46" spans="1:22" x14ac:dyDescent="0.25">
      <c r="A46" s="85"/>
      <c r="B46" s="84"/>
      <c r="C46" s="84" t="s">
        <v>1714</v>
      </c>
      <c r="D46" s="84">
        <v>28</v>
      </c>
      <c r="E46" s="84" t="s">
        <v>1727</v>
      </c>
      <c r="F46" s="84">
        <v>23</v>
      </c>
      <c r="G46" s="84" t="s">
        <v>321</v>
      </c>
      <c r="H46" s="84">
        <v>15</v>
      </c>
      <c r="I46" s="84" t="s">
        <v>314</v>
      </c>
      <c r="J46" s="84">
        <v>2</v>
      </c>
      <c r="K46" s="84" t="s">
        <v>1744</v>
      </c>
      <c r="L46" s="84">
        <v>9</v>
      </c>
      <c r="M46" s="84" t="s">
        <v>1715</v>
      </c>
      <c r="N46" s="84">
        <v>2</v>
      </c>
      <c r="O46" s="84" t="s">
        <v>1746</v>
      </c>
      <c r="P46" s="84">
        <v>3</v>
      </c>
      <c r="Q46" s="84" t="s">
        <v>1766</v>
      </c>
      <c r="R46" s="84">
        <v>2</v>
      </c>
      <c r="S46" s="84" t="s">
        <v>1774</v>
      </c>
      <c r="T46" s="84">
        <v>3</v>
      </c>
      <c r="U46" s="84" t="s">
        <v>1713</v>
      </c>
      <c r="V46" s="84">
        <v>2</v>
      </c>
    </row>
    <row r="47" spans="1:22" x14ac:dyDescent="0.25">
      <c r="A47" s="85" t="s">
        <v>1718</v>
      </c>
      <c r="B47" s="84">
        <v>36</v>
      </c>
      <c r="C47" s="84" t="s">
        <v>1722</v>
      </c>
      <c r="D47" s="84">
        <v>28</v>
      </c>
      <c r="E47" s="84" t="s">
        <v>1671</v>
      </c>
      <c r="F47" s="84">
        <v>20</v>
      </c>
      <c r="G47" s="84" t="s">
        <v>1731</v>
      </c>
      <c r="H47" s="84">
        <v>13</v>
      </c>
      <c r="I47" s="84" t="s">
        <v>315</v>
      </c>
      <c r="J47" s="84">
        <v>2</v>
      </c>
      <c r="K47" s="84" t="s">
        <v>1745</v>
      </c>
      <c r="L47" s="84">
        <v>8</v>
      </c>
      <c r="M47" s="84"/>
      <c r="N47" s="84"/>
      <c r="O47" s="84" t="s">
        <v>1757</v>
      </c>
      <c r="P47" s="84">
        <v>3</v>
      </c>
      <c r="Q47" s="84" t="s">
        <v>1657</v>
      </c>
      <c r="R47" s="84">
        <v>2</v>
      </c>
      <c r="S47" s="84" t="s">
        <v>1775</v>
      </c>
      <c r="T47" s="84">
        <v>3</v>
      </c>
      <c r="U47" s="84"/>
      <c r="V47" s="84"/>
    </row>
    <row r="48" spans="1:22" x14ac:dyDescent="0.25">
      <c r="A48" s="85" t="s">
        <v>322</v>
      </c>
      <c r="B48" s="84">
        <v>35</v>
      </c>
      <c r="C48" s="84" t="s">
        <v>287</v>
      </c>
      <c r="D48" s="84">
        <v>19</v>
      </c>
      <c r="E48" s="84" t="s">
        <v>256</v>
      </c>
      <c r="F48" s="84">
        <v>18</v>
      </c>
      <c r="G48" s="84" t="s">
        <v>1732</v>
      </c>
      <c r="H48" s="84">
        <v>11</v>
      </c>
      <c r="I48" s="84" t="s">
        <v>1738</v>
      </c>
      <c r="J48" s="84">
        <v>2</v>
      </c>
      <c r="K48" s="84" t="s">
        <v>1657</v>
      </c>
      <c r="L48" s="84">
        <v>8</v>
      </c>
      <c r="M48" s="84"/>
      <c r="N48" s="84"/>
      <c r="O48" s="84" t="s">
        <v>1758</v>
      </c>
      <c r="P48" s="84">
        <v>3</v>
      </c>
      <c r="Q48" s="84" t="s">
        <v>1767</v>
      </c>
      <c r="R48" s="84">
        <v>2</v>
      </c>
      <c r="S48" s="84" t="s">
        <v>1776</v>
      </c>
      <c r="T48" s="84">
        <v>3</v>
      </c>
      <c r="U48" s="84"/>
      <c r="V48" s="84"/>
    </row>
    <row r="49" spans="1:22" x14ac:dyDescent="0.25">
      <c r="A49" s="85" t="s">
        <v>289</v>
      </c>
      <c r="B49" s="84">
        <v>35</v>
      </c>
      <c r="C49" s="84" t="s">
        <v>1723</v>
      </c>
      <c r="D49" s="84">
        <v>18</v>
      </c>
      <c r="E49" s="84" t="s">
        <v>1728</v>
      </c>
      <c r="F49" s="84">
        <v>18</v>
      </c>
      <c r="G49" s="84" t="s">
        <v>1733</v>
      </c>
      <c r="H49" s="84">
        <v>11</v>
      </c>
      <c r="I49" s="84"/>
      <c r="J49" s="84"/>
      <c r="K49" s="84" t="s">
        <v>1746</v>
      </c>
      <c r="L49" s="84">
        <v>8</v>
      </c>
      <c r="M49" s="84"/>
      <c r="N49" s="84"/>
      <c r="O49" s="84" t="s">
        <v>1759</v>
      </c>
      <c r="P49" s="84">
        <v>3</v>
      </c>
      <c r="Q49" s="84" t="s">
        <v>1768</v>
      </c>
      <c r="R49" s="84">
        <v>2</v>
      </c>
      <c r="S49" s="84" t="s">
        <v>1777</v>
      </c>
      <c r="T49" s="84">
        <v>3</v>
      </c>
      <c r="U49" s="84"/>
      <c r="V49" s="84"/>
    </row>
    <row r="50" spans="1:22" x14ac:dyDescent="0.25">
      <c r="A50" s="85" t="s">
        <v>1674</v>
      </c>
      <c r="B50" s="84">
        <v>29</v>
      </c>
      <c r="C50" s="84" t="s">
        <v>1724</v>
      </c>
      <c r="D50" s="84">
        <v>17</v>
      </c>
      <c r="E50" s="84" t="s">
        <v>1714</v>
      </c>
      <c r="F50" s="84">
        <v>18</v>
      </c>
      <c r="G50" s="84" t="s">
        <v>1734</v>
      </c>
      <c r="H50" s="84">
        <v>11</v>
      </c>
      <c r="I50" s="84"/>
      <c r="J50" s="84"/>
      <c r="K50" s="84" t="s">
        <v>1747</v>
      </c>
      <c r="L50" s="84">
        <v>5</v>
      </c>
      <c r="M50" s="84"/>
      <c r="N50" s="84"/>
      <c r="O50" s="84" t="s">
        <v>1760</v>
      </c>
      <c r="P50" s="84">
        <v>3</v>
      </c>
      <c r="Q50" s="84" t="s">
        <v>1730</v>
      </c>
      <c r="R50" s="84">
        <v>2</v>
      </c>
      <c r="S50" s="84" t="s">
        <v>1778</v>
      </c>
      <c r="T50" s="84">
        <v>3</v>
      </c>
      <c r="U50" s="84"/>
      <c r="V50" s="84"/>
    </row>
    <row r="53" spans="1:22" ht="15" customHeight="1" x14ac:dyDescent="0.25">
      <c r="A53" s="13" t="s">
        <v>1801</v>
      </c>
      <c r="B53" s="13" t="s">
        <v>1592</v>
      </c>
      <c r="C53" s="13" t="s">
        <v>1812</v>
      </c>
      <c r="D53" s="13" t="s">
        <v>1600</v>
      </c>
      <c r="E53" s="13" t="s">
        <v>1820</v>
      </c>
      <c r="F53" s="13" t="s">
        <v>1602</v>
      </c>
      <c r="G53" s="13" t="s">
        <v>1827</v>
      </c>
      <c r="H53" s="13" t="s">
        <v>1604</v>
      </c>
      <c r="I53" s="78" t="s">
        <v>1835</v>
      </c>
      <c r="J53" s="78" t="s">
        <v>1606</v>
      </c>
      <c r="K53" s="13" t="s">
        <v>1836</v>
      </c>
      <c r="L53" s="13" t="s">
        <v>1609</v>
      </c>
      <c r="M53" s="78" t="s">
        <v>1847</v>
      </c>
      <c r="N53" s="78" t="s">
        <v>1611</v>
      </c>
      <c r="O53" s="13" t="s">
        <v>1848</v>
      </c>
      <c r="P53" s="13" t="s">
        <v>1613</v>
      </c>
      <c r="Q53" s="13" t="s">
        <v>1859</v>
      </c>
      <c r="R53" s="13" t="s">
        <v>1616</v>
      </c>
      <c r="S53" s="13" t="s">
        <v>1870</v>
      </c>
      <c r="T53" s="13" t="s">
        <v>1618</v>
      </c>
      <c r="U53" s="78" t="s">
        <v>1881</v>
      </c>
      <c r="V53" s="78" t="s">
        <v>1619</v>
      </c>
    </row>
    <row r="54" spans="1:22" x14ac:dyDescent="0.25">
      <c r="A54" s="84" t="s">
        <v>1802</v>
      </c>
      <c r="B54" s="84">
        <v>35</v>
      </c>
      <c r="C54" s="84" t="s">
        <v>1804</v>
      </c>
      <c r="D54" s="84">
        <v>28</v>
      </c>
      <c r="E54" s="84" t="s">
        <v>1803</v>
      </c>
      <c r="F54" s="84">
        <v>34</v>
      </c>
      <c r="G54" s="84" t="s">
        <v>1802</v>
      </c>
      <c r="H54" s="84">
        <v>35</v>
      </c>
      <c r="I54" s="84"/>
      <c r="J54" s="84"/>
      <c r="K54" s="84" t="s">
        <v>1837</v>
      </c>
      <c r="L54" s="84">
        <v>11</v>
      </c>
      <c r="M54" s="84"/>
      <c r="N54" s="84"/>
      <c r="O54" s="84" t="s">
        <v>1849</v>
      </c>
      <c r="P54" s="84">
        <v>3</v>
      </c>
      <c r="Q54" s="84" t="s">
        <v>1860</v>
      </c>
      <c r="R54" s="84">
        <v>2</v>
      </c>
      <c r="S54" s="84" t="s">
        <v>1871</v>
      </c>
      <c r="T54" s="84">
        <v>3</v>
      </c>
      <c r="U54" s="84"/>
      <c r="V54" s="84"/>
    </row>
    <row r="55" spans="1:22" x14ac:dyDescent="0.25">
      <c r="A55" s="85" t="s">
        <v>1803</v>
      </c>
      <c r="B55" s="84">
        <v>34</v>
      </c>
      <c r="C55" s="84" t="s">
        <v>1805</v>
      </c>
      <c r="D55" s="84">
        <v>28</v>
      </c>
      <c r="E55" s="84" t="s">
        <v>1810</v>
      </c>
      <c r="F55" s="84">
        <v>18</v>
      </c>
      <c r="G55" s="84" t="s">
        <v>1806</v>
      </c>
      <c r="H55" s="84">
        <v>22</v>
      </c>
      <c r="I55" s="84"/>
      <c r="J55" s="84"/>
      <c r="K55" s="84" t="s">
        <v>1838</v>
      </c>
      <c r="L55" s="84">
        <v>9</v>
      </c>
      <c r="M55" s="84"/>
      <c r="N55" s="84"/>
      <c r="O55" s="84" t="s">
        <v>1850</v>
      </c>
      <c r="P55" s="84">
        <v>3</v>
      </c>
      <c r="Q55" s="84" t="s">
        <v>1861</v>
      </c>
      <c r="R55" s="84">
        <v>2</v>
      </c>
      <c r="S55" s="84" t="s">
        <v>1872</v>
      </c>
      <c r="T55" s="84">
        <v>3</v>
      </c>
      <c r="U55" s="84"/>
      <c r="V55" s="84"/>
    </row>
    <row r="56" spans="1:22" x14ac:dyDescent="0.25">
      <c r="A56" s="85" t="s">
        <v>1804</v>
      </c>
      <c r="B56" s="84">
        <v>28</v>
      </c>
      <c r="C56" s="84" t="s">
        <v>1809</v>
      </c>
      <c r="D56" s="84">
        <v>17</v>
      </c>
      <c r="E56" s="84" t="s">
        <v>1808</v>
      </c>
      <c r="F56" s="84">
        <v>17</v>
      </c>
      <c r="G56" s="84" t="s">
        <v>1807</v>
      </c>
      <c r="H56" s="84">
        <v>20</v>
      </c>
      <c r="I56" s="84"/>
      <c r="J56" s="84"/>
      <c r="K56" s="84" t="s">
        <v>1839</v>
      </c>
      <c r="L56" s="84">
        <v>5</v>
      </c>
      <c r="M56" s="84"/>
      <c r="N56" s="84"/>
      <c r="O56" s="84" t="s">
        <v>1851</v>
      </c>
      <c r="P56" s="84">
        <v>3</v>
      </c>
      <c r="Q56" s="84" t="s">
        <v>1862</v>
      </c>
      <c r="R56" s="84">
        <v>2</v>
      </c>
      <c r="S56" s="84" t="s">
        <v>1873</v>
      </c>
      <c r="T56" s="84">
        <v>3</v>
      </c>
      <c r="U56" s="84"/>
      <c r="V56" s="84"/>
    </row>
    <row r="57" spans="1:22" x14ac:dyDescent="0.25">
      <c r="A57" s="85" t="s">
        <v>1805</v>
      </c>
      <c r="B57" s="84">
        <v>28</v>
      </c>
      <c r="C57" s="84" t="s">
        <v>1813</v>
      </c>
      <c r="D57" s="84">
        <v>14</v>
      </c>
      <c r="E57" s="84" t="s">
        <v>1811</v>
      </c>
      <c r="F57" s="84">
        <v>17</v>
      </c>
      <c r="G57" s="84" t="s">
        <v>1828</v>
      </c>
      <c r="H57" s="84">
        <v>11</v>
      </c>
      <c r="I57" s="84"/>
      <c r="J57" s="84"/>
      <c r="K57" s="84" t="s">
        <v>1840</v>
      </c>
      <c r="L57" s="84">
        <v>5</v>
      </c>
      <c r="M57" s="84"/>
      <c r="N57" s="84"/>
      <c r="O57" s="84" t="s">
        <v>1852</v>
      </c>
      <c r="P57" s="84">
        <v>3</v>
      </c>
      <c r="Q57" s="84" t="s">
        <v>1863</v>
      </c>
      <c r="R57" s="84">
        <v>2</v>
      </c>
      <c r="S57" s="84" t="s">
        <v>1874</v>
      </c>
      <c r="T57" s="84">
        <v>3</v>
      </c>
      <c r="U57" s="84"/>
      <c r="V57" s="84"/>
    </row>
    <row r="58" spans="1:22" x14ac:dyDescent="0.25">
      <c r="A58" s="85" t="s">
        <v>1806</v>
      </c>
      <c r="B58" s="84">
        <v>22</v>
      </c>
      <c r="C58" s="84" t="s">
        <v>1814</v>
      </c>
      <c r="D58" s="84">
        <v>14</v>
      </c>
      <c r="E58" s="84" t="s">
        <v>1821</v>
      </c>
      <c r="F58" s="84">
        <v>17</v>
      </c>
      <c r="G58" s="84" t="s">
        <v>1829</v>
      </c>
      <c r="H58" s="84">
        <v>10</v>
      </c>
      <c r="I58" s="84"/>
      <c r="J58" s="84"/>
      <c r="K58" s="84" t="s">
        <v>1841</v>
      </c>
      <c r="L58" s="84">
        <v>5</v>
      </c>
      <c r="M58" s="84"/>
      <c r="N58" s="84"/>
      <c r="O58" s="84" t="s">
        <v>1853</v>
      </c>
      <c r="P58" s="84">
        <v>3</v>
      </c>
      <c r="Q58" s="84" t="s">
        <v>1864</v>
      </c>
      <c r="R58" s="84">
        <v>2</v>
      </c>
      <c r="S58" s="84" t="s">
        <v>1875</v>
      </c>
      <c r="T58" s="84">
        <v>3</v>
      </c>
      <c r="U58" s="84"/>
      <c r="V58" s="84"/>
    </row>
    <row r="59" spans="1:22" x14ac:dyDescent="0.25">
      <c r="A59" s="85" t="s">
        <v>1807</v>
      </c>
      <c r="B59" s="84">
        <v>20</v>
      </c>
      <c r="C59" s="84" t="s">
        <v>1815</v>
      </c>
      <c r="D59" s="84">
        <v>14</v>
      </c>
      <c r="E59" s="84" t="s">
        <v>1822</v>
      </c>
      <c r="F59" s="84">
        <v>17</v>
      </c>
      <c r="G59" s="84" t="s">
        <v>1830</v>
      </c>
      <c r="H59" s="84">
        <v>10</v>
      </c>
      <c r="I59" s="84"/>
      <c r="J59" s="84"/>
      <c r="K59" s="84" t="s">
        <v>1842</v>
      </c>
      <c r="L59" s="84">
        <v>5</v>
      </c>
      <c r="M59" s="84"/>
      <c r="N59" s="84"/>
      <c r="O59" s="84" t="s">
        <v>1854</v>
      </c>
      <c r="P59" s="84">
        <v>3</v>
      </c>
      <c r="Q59" s="84" t="s">
        <v>1865</v>
      </c>
      <c r="R59" s="84">
        <v>2</v>
      </c>
      <c r="S59" s="84" t="s">
        <v>1876</v>
      </c>
      <c r="T59" s="84">
        <v>3</v>
      </c>
      <c r="U59" s="84"/>
      <c r="V59" s="84"/>
    </row>
    <row r="60" spans="1:22" x14ac:dyDescent="0.25">
      <c r="A60" s="85" t="s">
        <v>1808</v>
      </c>
      <c r="B60" s="84">
        <v>19</v>
      </c>
      <c r="C60" s="84" t="s">
        <v>1816</v>
      </c>
      <c r="D60" s="84">
        <v>14</v>
      </c>
      <c r="E60" s="84" t="s">
        <v>1823</v>
      </c>
      <c r="F60" s="84">
        <v>17</v>
      </c>
      <c r="G60" s="84" t="s">
        <v>1831</v>
      </c>
      <c r="H60" s="84">
        <v>10</v>
      </c>
      <c r="I60" s="84"/>
      <c r="J60" s="84"/>
      <c r="K60" s="84" t="s">
        <v>1843</v>
      </c>
      <c r="L60" s="84">
        <v>5</v>
      </c>
      <c r="M60" s="84"/>
      <c r="N60" s="84"/>
      <c r="O60" s="84" t="s">
        <v>1855</v>
      </c>
      <c r="P60" s="84">
        <v>3</v>
      </c>
      <c r="Q60" s="84" t="s">
        <v>1866</v>
      </c>
      <c r="R60" s="84">
        <v>2</v>
      </c>
      <c r="S60" s="84" t="s">
        <v>1877</v>
      </c>
      <c r="T60" s="84">
        <v>3</v>
      </c>
      <c r="U60" s="84"/>
      <c r="V60" s="84"/>
    </row>
    <row r="61" spans="1:22" x14ac:dyDescent="0.25">
      <c r="A61" s="85" t="s">
        <v>1809</v>
      </c>
      <c r="B61" s="84">
        <v>18</v>
      </c>
      <c r="C61" s="84" t="s">
        <v>1817</v>
      </c>
      <c r="D61" s="84">
        <v>14</v>
      </c>
      <c r="E61" s="84" t="s">
        <v>1824</v>
      </c>
      <c r="F61" s="84">
        <v>17</v>
      </c>
      <c r="G61" s="84" t="s">
        <v>1832</v>
      </c>
      <c r="H61" s="84">
        <v>8</v>
      </c>
      <c r="I61" s="84"/>
      <c r="J61" s="84"/>
      <c r="K61" s="84" t="s">
        <v>1844</v>
      </c>
      <c r="L61" s="84">
        <v>4</v>
      </c>
      <c r="M61" s="84"/>
      <c r="N61" s="84"/>
      <c r="O61" s="84" t="s">
        <v>1856</v>
      </c>
      <c r="P61" s="84">
        <v>3</v>
      </c>
      <c r="Q61" s="84" t="s">
        <v>1867</v>
      </c>
      <c r="R61" s="84">
        <v>2</v>
      </c>
      <c r="S61" s="84" t="s">
        <v>1878</v>
      </c>
      <c r="T61" s="84">
        <v>3</v>
      </c>
      <c r="U61" s="84"/>
      <c r="V61" s="84"/>
    </row>
    <row r="62" spans="1:22" x14ac:dyDescent="0.25">
      <c r="A62" s="85" t="s">
        <v>1810</v>
      </c>
      <c r="B62" s="84">
        <v>18</v>
      </c>
      <c r="C62" s="84" t="s">
        <v>1818</v>
      </c>
      <c r="D62" s="84">
        <v>14</v>
      </c>
      <c r="E62" s="84" t="s">
        <v>1825</v>
      </c>
      <c r="F62" s="84">
        <v>17</v>
      </c>
      <c r="G62" s="84" t="s">
        <v>1833</v>
      </c>
      <c r="H62" s="84">
        <v>8</v>
      </c>
      <c r="I62" s="84"/>
      <c r="J62" s="84"/>
      <c r="K62" s="84" t="s">
        <v>1845</v>
      </c>
      <c r="L62" s="84">
        <v>4</v>
      </c>
      <c r="M62" s="84"/>
      <c r="N62" s="84"/>
      <c r="O62" s="84" t="s">
        <v>1857</v>
      </c>
      <c r="P62" s="84">
        <v>3</v>
      </c>
      <c r="Q62" s="84" t="s">
        <v>1868</v>
      </c>
      <c r="R62" s="84">
        <v>2</v>
      </c>
      <c r="S62" s="84" t="s">
        <v>1879</v>
      </c>
      <c r="T62" s="84">
        <v>3</v>
      </c>
      <c r="U62" s="84"/>
      <c r="V62" s="84"/>
    </row>
    <row r="63" spans="1:22" x14ac:dyDescent="0.25">
      <c r="A63" s="85" t="s">
        <v>1811</v>
      </c>
      <c r="B63" s="84">
        <v>17</v>
      </c>
      <c r="C63" s="84" t="s">
        <v>1819</v>
      </c>
      <c r="D63" s="84">
        <v>14</v>
      </c>
      <c r="E63" s="84" t="s">
        <v>1826</v>
      </c>
      <c r="F63" s="84">
        <v>17</v>
      </c>
      <c r="G63" s="84" t="s">
        <v>1834</v>
      </c>
      <c r="H63" s="84">
        <v>8</v>
      </c>
      <c r="I63" s="84"/>
      <c r="J63" s="84"/>
      <c r="K63" s="84" t="s">
        <v>1846</v>
      </c>
      <c r="L63" s="84">
        <v>4</v>
      </c>
      <c r="M63" s="84"/>
      <c r="N63" s="84"/>
      <c r="O63" s="84" t="s">
        <v>1858</v>
      </c>
      <c r="P63" s="84">
        <v>3</v>
      </c>
      <c r="Q63" s="84" t="s">
        <v>1869</v>
      </c>
      <c r="R63" s="84">
        <v>2</v>
      </c>
      <c r="S63" s="84" t="s">
        <v>1880</v>
      </c>
      <c r="T63" s="84">
        <v>3</v>
      </c>
      <c r="U63" s="84"/>
      <c r="V63" s="84"/>
    </row>
    <row r="66" spans="1:22" ht="15" customHeight="1" x14ac:dyDescent="0.25">
      <c r="A66" s="13" t="s">
        <v>1894</v>
      </c>
      <c r="B66" s="13" t="s">
        <v>1592</v>
      </c>
      <c r="C66" s="13" t="s">
        <v>1896</v>
      </c>
      <c r="D66" s="13" t="s">
        <v>1600</v>
      </c>
      <c r="E66" s="13" t="s">
        <v>1897</v>
      </c>
      <c r="F66" s="13" t="s">
        <v>1602</v>
      </c>
      <c r="G66" s="13" t="s">
        <v>1900</v>
      </c>
      <c r="H66" s="13" t="s">
        <v>1604</v>
      </c>
      <c r="I66" s="78" t="s">
        <v>1902</v>
      </c>
      <c r="J66" s="78" t="s">
        <v>1606</v>
      </c>
      <c r="K66" s="78" t="s">
        <v>1904</v>
      </c>
      <c r="L66" s="78" t="s">
        <v>1609</v>
      </c>
      <c r="M66" s="78" t="s">
        <v>1906</v>
      </c>
      <c r="N66" s="78" t="s">
        <v>1611</v>
      </c>
      <c r="O66" s="78" t="s">
        <v>1908</v>
      </c>
      <c r="P66" s="78" t="s">
        <v>1613</v>
      </c>
      <c r="Q66" s="78" t="s">
        <v>1910</v>
      </c>
      <c r="R66" s="78" t="s">
        <v>1616</v>
      </c>
      <c r="S66" s="78" t="s">
        <v>1912</v>
      </c>
      <c r="T66" s="78" t="s">
        <v>1618</v>
      </c>
      <c r="U66" s="78" t="s">
        <v>1914</v>
      </c>
      <c r="V66" s="78" t="s">
        <v>1619</v>
      </c>
    </row>
    <row r="67" spans="1:22" x14ac:dyDescent="0.25">
      <c r="A67" s="78" t="s">
        <v>322</v>
      </c>
      <c r="B67" s="78">
        <v>11</v>
      </c>
      <c r="C67" s="78" t="s">
        <v>287</v>
      </c>
      <c r="D67" s="78">
        <v>1</v>
      </c>
      <c r="E67" s="78" t="s">
        <v>257</v>
      </c>
      <c r="F67" s="78">
        <v>2</v>
      </c>
      <c r="G67" s="78" t="s">
        <v>322</v>
      </c>
      <c r="H67" s="78">
        <v>11</v>
      </c>
      <c r="I67" s="78"/>
      <c r="J67" s="78"/>
      <c r="K67" s="78"/>
      <c r="L67" s="78"/>
      <c r="M67" s="78"/>
      <c r="N67" s="78"/>
      <c r="O67" s="78"/>
      <c r="P67" s="78"/>
      <c r="Q67" s="78"/>
      <c r="R67" s="78"/>
      <c r="S67" s="78"/>
      <c r="T67" s="78"/>
      <c r="U67" s="78"/>
      <c r="V67" s="78"/>
    </row>
    <row r="68" spans="1:22" x14ac:dyDescent="0.25">
      <c r="A68" s="79" t="s">
        <v>257</v>
      </c>
      <c r="B68" s="78">
        <v>2</v>
      </c>
      <c r="C68" s="78"/>
      <c r="D68" s="78"/>
      <c r="E68" s="78"/>
      <c r="F68" s="78"/>
      <c r="G68" s="78"/>
      <c r="H68" s="78"/>
      <c r="I68" s="78"/>
      <c r="J68" s="78"/>
      <c r="K68" s="78"/>
      <c r="L68" s="78"/>
      <c r="M68" s="78"/>
      <c r="N68" s="78"/>
      <c r="O68" s="78"/>
      <c r="P68" s="78"/>
      <c r="Q68" s="78"/>
      <c r="R68" s="78"/>
      <c r="S68" s="78"/>
      <c r="T68" s="78"/>
      <c r="U68" s="78"/>
      <c r="V68" s="78"/>
    </row>
    <row r="69" spans="1:22" x14ac:dyDescent="0.25">
      <c r="A69" s="79" t="s">
        <v>302</v>
      </c>
      <c r="B69" s="78">
        <v>1</v>
      </c>
      <c r="C69" s="78"/>
      <c r="D69" s="78"/>
      <c r="E69" s="78"/>
      <c r="F69" s="78"/>
      <c r="G69" s="78"/>
      <c r="H69" s="78"/>
      <c r="I69" s="78"/>
      <c r="J69" s="78"/>
      <c r="K69" s="78"/>
      <c r="L69" s="78"/>
      <c r="M69" s="78"/>
      <c r="N69" s="78"/>
      <c r="O69" s="78"/>
      <c r="P69" s="78"/>
      <c r="Q69" s="78"/>
      <c r="R69" s="78"/>
      <c r="S69" s="78"/>
      <c r="T69" s="78"/>
      <c r="U69" s="78"/>
      <c r="V69" s="78"/>
    </row>
    <row r="70" spans="1:22" x14ac:dyDescent="0.25">
      <c r="A70" s="79" t="s">
        <v>328</v>
      </c>
      <c r="B70" s="78">
        <v>1</v>
      </c>
      <c r="C70" s="78"/>
      <c r="D70" s="78"/>
      <c r="E70" s="78"/>
      <c r="F70" s="78"/>
      <c r="G70" s="78"/>
      <c r="H70" s="78"/>
      <c r="I70" s="78"/>
      <c r="J70" s="78"/>
      <c r="K70" s="78"/>
      <c r="L70" s="78"/>
      <c r="M70" s="78"/>
      <c r="N70" s="78"/>
      <c r="O70" s="78"/>
      <c r="P70" s="78"/>
      <c r="Q70" s="78"/>
      <c r="R70" s="78"/>
      <c r="S70" s="78"/>
      <c r="T70" s="78"/>
      <c r="U70" s="78"/>
      <c r="V70" s="78"/>
    </row>
    <row r="71" spans="1:22" x14ac:dyDescent="0.25">
      <c r="A71" s="79" t="s">
        <v>287</v>
      </c>
      <c r="B71" s="78">
        <v>1</v>
      </c>
      <c r="C71" s="78"/>
      <c r="D71" s="78"/>
      <c r="E71" s="78"/>
      <c r="F71" s="78"/>
      <c r="G71" s="78"/>
      <c r="H71" s="78"/>
      <c r="I71" s="78"/>
      <c r="J71" s="78"/>
      <c r="K71" s="78"/>
      <c r="L71" s="78"/>
      <c r="M71" s="78"/>
      <c r="N71" s="78"/>
      <c r="O71" s="78"/>
      <c r="P71" s="78"/>
      <c r="Q71" s="78"/>
      <c r="R71" s="78"/>
      <c r="S71" s="78"/>
      <c r="T71" s="78"/>
      <c r="U71" s="78"/>
      <c r="V71" s="78"/>
    </row>
    <row r="74" spans="1:22" ht="15" customHeight="1" x14ac:dyDescent="0.25">
      <c r="A74" s="13" t="s">
        <v>1895</v>
      </c>
      <c r="B74" s="13" t="s">
        <v>1592</v>
      </c>
      <c r="C74" s="13" t="s">
        <v>1898</v>
      </c>
      <c r="D74" s="13" t="s">
        <v>1600</v>
      </c>
      <c r="E74" s="13" t="s">
        <v>1899</v>
      </c>
      <c r="F74" s="13" t="s">
        <v>1602</v>
      </c>
      <c r="G74" s="13" t="s">
        <v>1901</v>
      </c>
      <c r="H74" s="13" t="s">
        <v>1604</v>
      </c>
      <c r="I74" s="13" t="s">
        <v>1903</v>
      </c>
      <c r="J74" s="13" t="s">
        <v>1606</v>
      </c>
      <c r="K74" s="78" t="s">
        <v>1905</v>
      </c>
      <c r="L74" s="78" t="s">
        <v>1609</v>
      </c>
      <c r="M74" s="13" t="s">
        <v>1907</v>
      </c>
      <c r="N74" s="13" t="s">
        <v>1611</v>
      </c>
      <c r="O74" s="13" t="s">
        <v>1909</v>
      </c>
      <c r="P74" s="13" t="s">
        <v>1613</v>
      </c>
      <c r="Q74" s="13" t="s">
        <v>1911</v>
      </c>
      <c r="R74" s="13" t="s">
        <v>1616</v>
      </c>
      <c r="S74" s="13" t="s">
        <v>1913</v>
      </c>
      <c r="T74" s="13" t="s">
        <v>1618</v>
      </c>
      <c r="U74" s="13" t="s">
        <v>1915</v>
      </c>
      <c r="V74" s="13" t="s">
        <v>1619</v>
      </c>
    </row>
    <row r="75" spans="1:22" x14ac:dyDescent="0.25">
      <c r="A75" s="78" t="s">
        <v>289</v>
      </c>
      <c r="B75" s="78">
        <v>35</v>
      </c>
      <c r="C75" s="78" t="s">
        <v>287</v>
      </c>
      <c r="D75" s="78">
        <v>18</v>
      </c>
      <c r="E75" s="78" t="s">
        <v>256</v>
      </c>
      <c r="F75" s="78">
        <v>18</v>
      </c>
      <c r="G75" s="78" t="s">
        <v>289</v>
      </c>
      <c r="H75" s="78">
        <v>35</v>
      </c>
      <c r="I75" s="78" t="s">
        <v>311</v>
      </c>
      <c r="J75" s="78">
        <v>2</v>
      </c>
      <c r="K75" s="78"/>
      <c r="L75" s="78"/>
      <c r="M75" s="78" t="s">
        <v>306</v>
      </c>
      <c r="N75" s="78">
        <v>1</v>
      </c>
      <c r="O75" s="78" t="s">
        <v>300</v>
      </c>
      <c r="P75" s="78">
        <v>3</v>
      </c>
      <c r="Q75" s="78" t="s">
        <v>327</v>
      </c>
      <c r="R75" s="78">
        <v>2</v>
      </c>
      <c r="S75" s="78" t="s">
        <v>303</v>
      </c>
      <c r="T75" s="78">
        <v>3</v>
      </c>
      <c r="U75" s="78" t="s">
        <v>317</v>
      </c>
      <c r="V75" s="78">
        <v>1</v>
      </c>
    </row>
    <row r="76" spans="1:22" x14ac:dyDescent="0.25">
      <c r="A76" s="79" t="s">
        <v>287</v>
      </c>
      <c r="B76" s="78">
        <v>25</v>
      </c>
      <c r="C76" s="78" t="s">
        <v>304</v>
      </c>
      <c r="D76" s="78">
        <v>10</v>
      </c>
      <c r="E76" s="78" t="s">
        <v>257</v>
      </c>
      <c r="F76" s="78">
        <v>6</v>
      </c>
      <c r="G76" s="78" t="s">
        <v>322</v>
      </c>
      <c r="H76" s="78">
        <v>24</v>
      </c>
      <c r="I76" s="78" t="s">
        <v>312</v>
      </c>
      <c r="J76" s="78">
        <v>2</v>
      </c>
      <c r="K76" s="78"/>
      <c r="L76" s="78"/>
      <c r="M76" s="78" t="s">
        <v>305</v>
      </c>
      <c r="N76" s="78">
        <v>1</v>
      </c>
      <c r="O76" s="78" t="s">
        <v>301</v>
      </c>
      <c r="P76" s="78">
        <v>3</v>
      </c>
      <c r="Q76" s="78" t="s">
        <v>326</v>
      </c>
      <c r="R76" s="78">
        <v>2</v>
      </c>
      <c r="S76" s="78"/>
      <c r="T76" s="78"/>
      <c r="U76" s="78" t="s">
        <v>318</v>
      </c>
      <c r="V76" s="78">
        <v>1</v>
      </c>
    </row>
    <row r="77" spans="1:22" x14ac:dyDescent="0.25">
      <c r="A77" s="79" t="s">
        <v>322</v>
      </c>
      <c r="B77" s="78">
        <v>24</v>
      </c>
      <c r="C77" s="78" t="s">
        <v>332</v>
      </c>
      <c r="D77" s="78">
        <v>3</v>
      </c>
      <c r="E77" s="78" t="s">
        <v>308</v>
      </c>
      <c r="F77" s="78">
        <v>6</v>
      </c>
      <c r="G77" s="78" t="s">
        <v>320</v>
      </c>
      <c r="H77" s="78">
        <v>21</v>
      </c>
      <c r="I77" s="78" t="s">
        <v>314</v>
      </c>
      <c r="J77" s="78">
        <v>2</v>
      </c>
      <c r="K77" s="78"/>
      <c r="L77" s="78"/>
      <c r="M77" s="78" t="s">
        <v>304</v>
      </c>
      <c r="N77" s="78">
        <v>1</v>
      </c>
      <c r="O77" s="78"/>
      <c r="P77" s="78"/>
      <c r="Q77" s="78" t="s">
        <v>279</v>
      </c>
      <c r="R77" s="78">
        <v>2</v>
      </c>
      <c r="S77" s="78"/>
      <c r="T77" s="78"/>
      <c r="U77" s="78"/>
      <c r="V77" s="78"/>
    </row>
    <row r="78" spans="1:22" x14ac:dyDescent="0.25">
      <c r="A78" s="79" t="s">
        <v>320</v>
      </c>
      <c r="B78" s="78">
        <v>21</v>
      </c>
      <c r="C78" s="78" t="s">
        <v>298</v>
      </c>
      <c r="D78" s="78">
        <v>3</v>
      </c>
      <c r="E78" s="78"/>
      <c r="F78" s="78"/>
      <c r="G78" s="78" t="s">
        <v>321</v>
      </c>
      <c r="H78" s="78">
        <v>15</v>
      </c>
      <c r="I78" s="78" t="s">
        <v>315</v>
      </c>
      <c r="J78" s="78">
        <v>2</v>
      </c>
      <c r="K78" s="78"/>
      <c r="L78" s="78"/>
      <c r="M78" s="78"/>
      <c r="N78" s="78"/>
      <c r="O78" s="78"/>
      <c r="P78" s="78"/>
      <c r="Q78" s="78" t="s">
        <v>319</v>
      </c>
      <c r="R78" s="78">
        <v>1</v>
      </c>
      <c r="S78" s="78"/>
      <c r="T78" s="78"/>
      <c r="U78" s="78"/>
      <c r="V78" s="78"/>
    </row>
    <row r="79" spans="1:22" x14ac:dyDescent="0.25">
      <c r="A79" s="79" t="s">
        <v>256</v>
      </c>
      <c r="B79" s="78">
        <v>18</v>
      </c>
      <c r="C79" s="78" t="s">
        <v>331</v>
      </c>
      <c r="D79" s="78">
        <v>2</v>
      </c>
      <c r="E79" s="78"/>
      <c r="F79" s="78"/>
      <c r="G79" s="78" t="s">
        <v>329</v>
      </c>
      <c r="H79" s="78">
        <v>8</v>
      </c>
      <c r="I79" s="78" t="s">
        <v>310</v>
      </c>
      <c r="J79" s="78">
        <v>1</v>
      </c>
      <c r="K79" s="78"/>
      <c r="L79" s="78"/>
      <c r="M79" s="78"/>
      <c r="N79" s="78"/>
      <c r="O79" s="78"/>
      <c r="P79" s="78"/>
      <c r="Q79" s="78"/>
      <c r="R79" s="78"/>
      <c r="S79" s="78"/>
      <c r="T79" s="78"/>
      <c r="U79" s="78"/>
      <c r="V79" s="78"/>
    </row>
    <row r="80" spans="1:22" x14ac:dyDescent="0.25">
      <c r="A80" s="79" t="s">
        <v>321</v>
      </c>
      <c r="B80" s="78">
        <v>15</v>
      </c>
      <c r="C80" s="78" t="s">
        <v>335</v>
      </c>
      <c r="D80" s="78">
        <v>2</v>
      </c>
      <c r="E80" s="78"/>
      <c r="F80" s="78"/>
      <c r="G80" s="78" t="s">
        <v>324</v>
      </c>
      <c r="H80" s="78">
        <v>6</v>
      </c>
      <c r="I80" s="78" t="s">
        <v>309</v>
      </c>
      <c r="J80" s="78">
        <v>1</v>
      </c>
      <c r="K80" s="78"/>
      <c r="L80" s="78"/>
      <c r="M80" s="78"/>
      <c r="N80" s="78"/>
      <c r="O80" s="78"/>
      <c r="P80" s="78"/>
      <c r="Q80" s="78"/>
      <c r="R80" s="78"/>
      <c r="S80" s="78"/>
      <c r="T80" s="78"/>
      <c r="U80" s="78"/>
      <c r="V80" s="78"/>
    </row>
    <row r="81" spans="1:22" x14ac:dyDescent="0.25">
      <c r="A81" s="79" t="s">
        <v>304</v>
      </c>
      <c r="B81" s="78">
        <v>11</v>
      </c>
      <c r="C81" s="78" t="s">
        <v>286</v>
      </c>
      <c r="D81" s="78">
        <v>1</v>
      </c>
      <c r="E81" s="78"/>
      <c r="F81" s="78"/>
      <c r="G81" s="78" t="s">
        <v>323</v>
      </c>
      <c r="H81" s="78">
        <v>6</v>
      </c>
      <c r="I81" s="78" t="s">
        <v>316</v>
      </c>
      <c r="J81" s="78">
        <v>1</v>
      </c>
      <c r="K81" s="78"/>
      <c r="L81" s="78"/>
      <c r="M81" s="78"/>
      <c r="N81" s="78"/>
      <c r="O81" s="78"/>
      <c r="P81" s="78"/>
      <c r="Q81" s="78"/>
      <c r="R81" s="78"/>
      <c r="S81" s="78"/>
      <c r="T81" s="78"/>
      <c r="U81" s="78"/>
      <c r="V81" s="78"/>
    </row>
    <row r="82" spans="1:22" x14ac:dyDescent="0.25">
      <c r="A82" s="79" t="s">
        <v>329</v>
      </c>
      <c r="B82" s="78">
        <v>8</v>
      </c>
      <c r="C82" s="78" t="s">
        <v>307</v>
      </c>
      <c r="D82" s="78">
        <v>1</v>
      </c>
      <c r="E82" s="78"/>
      <c r="F82" s="78"/>
      <c r="G82" s="78" t="s">
        <v>287</v>
      </c>
      <c r="H82" s="78">
        <v>6</v>
      </c>
      <c r="I82" s="78" t="s">
        <v>313</v>
      </c>
      <c r="J82" s="78">
        <v>1</v>
      </c>
      <c r="K82" s="78"/>
      <c r="L82" s="78"/>
      <c r="M82" s="78"/>
      <c r="N82" s="78"/>
      <c r="O82" s="78"/>
      <c r="P82" s="78"/>
      <c r="Q82" s="78"/>
      <c r="R82" s="78"/>
      <c r="S82" s="78"/>
      <c r="T82" s="78"/>
      <c r="U82" s="78"/>
      <c r="V82" s="78"/>
    </row>
    <row r="83" spans="1:22" x14ac:dyDescent="0.25">
      <c r="A83" s="79" t="s">
        <v>257</v>
      </c>
      <c r="B83" s="78">
        <v>6</v>
      </c>
      <c r="C83" s="78" t="s">
        <v>288</v>
      </c>
      <c r="D83" s="78">
        <v>1</v>
      </c>
      <c r="E83" s="78"/>
      <c r="F83" s="78"/>
      <c r="G83" s="78" t="s">
        <v>330</v>
      </c>
      <c r="H83" s="78">
        <v>1</v>
      </c>
      <c r="I83" s="78" t="s">
        <v>287</v>
      </c>
      <c r="J83" s="78">
        <v>1</v>
      </c>
      <c r="K83" s="78"/>
      <c r="L83" s="78"/>
      <c r="M83" s="78"/>
      <c r="N83" s="78"/>
      <c r="O83" s="78"/>
      <c r="P83" s="78"/>
      <c r="Q83" s="78"/>
      <c r="R83" s="78"/>
      <c r="S83" s="78"/>
      <c r="T83" s="78"/>
      <c r="U83" s="78"/>
      <c r="V83" s="78"/>
    </row>
    <row r="84" spans="1:22" x14ac:dyDescent="0.25">
      <c r="A84" s="79" t="s">
        <v>308</v>
      </c>
      <c r="B84" s="78">
        <v>6</v>
      </c>
      <c r="C84" s="78" t="s">
        <v>336</v>
      </c>
      <c r="D84" s="78">
        <v>1</v>
      </c>
      <c r="E84" s="78"/>
      <c r="F84" s="78"/>
      <c r="G84" s="78"/>
      <c r="H84" s="78"/>
      <c r="I84" s="78"/>
      <c r="J84" s="78"/>
      <c r="K84" s="78"/>
      <c r="L84" s="78"/>
      <c r="M84" s="78"/>
      <c r="N84" s="78"/>
      <c r="O84" s="78"/>
      <c r="P84" s="78"/>
      <c r="Q84" s="78"/>
      <c r="R84" s="78"/>
      <c r="S84" s="78"/>
      <c r="T84" s="78"/>
      <c r="U84" s="78"/>
      <c r="V84" s="78"/>
    </row>
    <row r="87" spans="1:22" ht="15" customHeight="1" x14ac:dyDescent="0.25">
      <c r="A87" s="13" t="s">
        <v>1926</v>
      </c>
      <c r="B87" s="13" t="s">
        <v>1592</v>
      </c>
      <c r="C87" s="13" t="s">
        <v>1927</v>
      </c>
      <c r="D87" s="13" t="s">
        <v>1600</v>
      </c>
      <c r="E87" s="13" t="s">
        <v>1928</v>
      </c>
      <c r="F87" s="13" t="s">
        <v>1602</v>
      </c>
      <c r="G87" s="13" t="s">
        <v>1929</v>
      </c>
      <c r="H87" s="13" t="s">
        <v>1604</v>
      </c>
      <c r="I87" s="13" t="s">
        <v>1930</v>
      </c>
      <c r="J87" s="13" t="s">
        <v>1606</v>
      </c>
      <c r="K87" s="13" t="s">
        <v>1931</v>
      </c>
      <c r="L87" s="13" t="s">
        <v>1609</v>
      </c>
      <c r="M87" s="13" t="s">
        <v>1932</v>
      </c>
      <c r="N87" s="13" t="s">
        <v>1611</v>
      </c>
      <c r="O87" s="13" t="s">
        <v>1933</v>
      </c>
      <c r="P87" s="13" t="s">
        <v>1613</v>
      </c>
      <c r="Q87" s="13" t="s">
        <v>1934</v>
      </c>
      <c r="R87" s="13" t="s">
        <v>1616</v>
      </c>
      <c r="S87" s="13" t="s">
        <v>1935</v>
      </c>
      <c r="T87" s="13" t="s">
        <v>1618</v>
      </c>
      <c r="U87" s="13" t="s">
        <v>1936</v>
      </c>
      <c r="V87" s="13" t="s">
        <v>1619</v>
      </c>
    </row>
    <row r="88" spans="1:22" x14ac:dyDescent="0.25">
      <c r="A88" s="134" t="s">
        <v>271</v>
      </c>
      <c r="B88" s="78">
        <v>729873</v>
      </c>
      <c r="C88" s="134" t="s">
        <v>271</v>
      </c>
      <c r="D88" s="78">
        <v>729873</v>
      </c>
      <c r="E88" s="134" t="s">
        <v>252</v>
      </c>
      <c r="F88" s="78">
        <v>95861</v>
      </c>
      <c r="G88" s="134" t="s">
        <v>321</v>
      </c>
      <c r="H88" s="78">
        <v>39134</v>
      </c>
      <c r="I88" s="134" t="s">
        <v>310</v>
      </c>
      <c r="J88" s="78">
        <v>277845</v>
      </c>
      <c r="K88" s="134" t="s">
        <v>221</v>
      </c>
      <c r="L88" s="78">
        <v>41173</v>
      </c>
      <c r="M88" s="134" t="s">
        <v>306</v>
      </c>
      <c r="N88" s="78">
        <v>46805</v>
      </c>
      <c r="O88" s="134" t="s">
        <v>215</v>
      </c>
      <c r="P88" s="78">
        <v>14652</v>
      </c>
      <c r="Q88" s="134" t="s">
        <v>326</v>
      </c>
      <c r="R88" s="78">
        <v>15933</v>
      </c>
      <c r="S88" s="134" t="s">
        <v>228</v>
      </c>
      <c r="T88" s="78">
        <v>72706</v>
      </c>
      <c r="U88" s="134" t="s">
        <v>318</v>
      </c>
      <c r="V88" s="78">
        <v>175</v>
      </c>
    </row>
    <row r="89" spans="1:22" x14ac:dyDescent="0.25">
      <c r="A89" s="135" t="s">
        <v>293</v>
      </c>
      <c r="B89" s="78">
        <v>313198</v>
      </c>
      <c r="C89" s="134" t="s">
        <v>293</v>
      </c>
      <c r="D89" s="78">
        <v>313198</v>
      </c>
      <c r="E89" s="134" t="s">
        <v>242</v>
      </c>
      <c r="F89" s="78">
        <v>75941</v>
      </c>
      <c r="G89" s="134" t="s">
        <v>323</v>
      </c>
      <c r="H89" s="78">
        <v>35063</v>
      </c>
      <c r="I89" s="134" t="s">
        <v>315</v>
      </c>
      <c r="J89" s="78">
        <v>21668</v>
      </c>
      <c r="K89" s="134" t="s">
        <v>220</v>
      </c>
      <c r="L89" s="78">
        <v>12651</v>
      </c>
      <c r="M89" s="134" t="s">
        <v>305</v>
      </c>
      <c r="N89" s="78">
        <v>10563</v>
      </c>
      <c r="O89" s="134" t="s">
        <v>217</v>
      </c>
      <c r="P89" s="78">
        <v>3686</v>
      </c>
      <c r="Q89" s="134" t="s">
        <v>327</v>
      </c>
      <c r="R89" s="78">
        <v>6969</v>
      </c>
      <c r="S89" s="134" t="s">
        <v>225</v>
      </c>
      <c r="T89" s="78">
        <v>3266</v>
      </c>
      <c r="U89" s="134" t="s">
        <v>259</v>
      </c>
      <c r="V89" s="78">
        <v>152</v>
      </c>
    </row>
    <row r="90" spans="1:22" x14ac:dyDescent="0.25">
      <c r="A90" s="135" t="s">
        <v>310</v>
      </c>
      <c r="B90" s="78">
        <v>277845</v>
      </c>
      <c r="C90" s="134" t="s">
        <v>290</v>
      </c>
      <c r="D90" s="78">
        <v>165043</v>
      </c>
      <c r="E90" s="134" t="s">
        <v>239</v>
      </c>
      <c r="F90" s="78">
        <v>70018</v>
      </c>
      <c r="G90" s="134" t="s">
        <v>320</v>
      </c>
      <c r="H90" s="78">
        <v>19033</v>
      </c>
      <c r="I90" s="134" t="s">
        <v>245</v>
      </c>
      <c r="J90" s="78">
        <v>12949</v>
      </c>
      <c r="K90" s="134" t="s">
        <v>223</v>
      </c>
      <c r="L90" s="78">
        <v>1564</v>
      </c>
      <c r="M90" s="134" t="s">
        <v>233</v>
      </c>
      <c r="N90" s="78">
        <v>4643</v>
      </c>
      <c r="O90" s="134" t="s">
        <v>300</v>
      </c>
      <c r="P90" s="78">
        <v>1549</v>
      </c>
      <c r="Q90" s="134" t="s">
        <v>319</v>
      </c>
      <c r="R90" s="78">
        <v>337</v>
      </c>
      <c r="S90" s="134" t="s">
        <v>303</v>
      </c>
      <c r="T90" s="78">
        <v>575</v>
      </c>
      <c r="U90" s="134" t="s">
        <v>317</v>
      </c>
      <c r="V90" s="78">
        <v>3</v>
      </c>
    </row>
    <row r="91" spans="1:22" x14ac:dyDescent="0.25">
      <c r="A91" s="135" t="s">
        <v>290</v>
      </c>
      <c r="B91" s="78">
        <v>165043</v>
      </c>
      <c r="C91" s="134" t="s">
        <v>277</v>
      </c>
      <c r="D91" s="78">
        <v>106095</v>
      </c>
      <c r="E91" s="134" t="s">
        <v>251</v>
      </c>
      <c r="F91" s="78">
        <v>60571</v>
      </c>
      <c r="G91" s="134" t="s">
        <v>267</v>
      </c>
      <c r="H91" s="78">
        <v>15883</v>
      </c>
      <c r="I91" s="134" t="s">
        <v>311</v>
      </c>
      <c r="J91" s="78">
        <v>12762</v>
      </c>
      <c r="K91" s="134" t="s">
        <v>224</v>
      </c>
      <c r="L91" s="78">
        <v>1010</v>
      </c>
      <c r="M91" s="134" t="s">
        <v>274</v>
      </c>
      <c r="N91" s="78">
        <v>1666</v>
      </c>
      <c r="O91" s="134" t="s">
        <v>216</v>
      </c>
      <c r="P91" s="78">
        <v>549</v>
      </c>
      <c r="Q91" s="134" t="s">
        <v>261</v>
      </c>
      <c r="R91" s="78">
        <v>202</v>
      </c>
      <c r="S91" s="134" t="s">
        <v>227</v>
      </c>
      <c r="T91" s="78">
        <v>78</v>
      </c>
      <c r="U91" s="134"/>
      <c r="V91" s="78"/>
    </row>
    <row r="92" spans="1:22" x14ac:dyDescent="0.25">
      <c r="A92" s="135" t="s">
        <v>277</v>
      </c>
      <c r="B92" s="78">
        <v>106095</v>
      </c>
      <c r="C92" s="134" t="s">
        <v>283</v>
      </c>
      <c r="D92" s="78">
        <v>104150</v>
      </c>
      <c r="E92" s="134" t="s">
        <v>250</v>
      </c>
      <c r="F92" s="78">
        <v>60168</v>
      </c>
      <c r="G92" s="134" t="s">
        <v>329</v>
      </c>
      <c r="H92" s="78">
        <v>10900</v>
      </c>
      <c r="I92" s="134" t="s">
        <v>314</v>
      </c>
      <c r="J92" s="78">
        <v>12082</v>
      </c>
      <c r="K92" s="134" t="s">
        <v>292</v>
      </c>
      <c r="L92" s="78">
        <v>773</v>
      </c>
      <c r="M92" s="134" t="s">
        <v>232</v>
      </c>
      <c r="N92" s="78">
        <v>335</v>
      </c>
      <c r="O92" s="134" t="s">
        <v>301</v>
      </c>
      <c r="P92" s="78">
        <v>218</v>
      </c>
      <c r="Q92" s="134" t="s">
        <v>279</v>
      </c>
      <c r="R92" s="78">
        <v>124</v>
      </c>
      <c r="S92" s="134"/>
      <c r="T92" s="78"/>
      <c r="U92" s="134"/>
      <c r="V92" s="78"/>
    </row>
    <row r="93" spans="1:22" x14ac:dyDescent="0.25">
      <c r="A93" s="135" t="s">
        <v>283</v>
      </c>
      <c r="B93" s="78">
        <v>104150</v>
      </c>
      <c r="C93" s="134" t="s">
        <v>272</v>
      </c>
      <c r="D93" s="78">
        <v>49179</v>
      </c>
      <c r="E93" s="134" t="s">
        <v>248</v>
      </c>
      <c r="F93" s="78">
        <v>58130</v>
      </c>
      <c r="G93" s="134" t="s">
        <v>322</v>
      </c>
      <c r="H93" s="78">
        <v>5026</v>
      </c>
      <c r="I93" s="134" t="s">
        <v>312</v>
      </c>
      <c r="J93" s="78">
        <v>4691</v>
      </c>
      <c r="K93" s="134" t="s">
        <v>294</v>
      </c>
      <c r="L93" s="78">
        <v>125</v>
      </c>
      <c r="M93" s="134"/>
      <c r="N93" s="78"/>
      <c r="O93" s="134"/>
      <c r="P93" s="78"/>
      <c r="Q93" s="134"/>
      <c r="R93" s="78"/>
      <c r="S93" s="134"/>
      <c r="T93" s="78"/>
      <c r="U93" s="134"/>
      <c r="V93" s="78"/>
    </row>
    <row r="94" spans="1:22" x14ac:dyDescent="0.25">
      <c r="A94" s="135" t="s">
        <v>252</v>
      </c>
      <c r="B94" s="78">
        <v>95861</v>
      </c>
      <c r="C94" s="134" t="s">
        <v>276</v>
      </c>
      <c r="D94" s="78">
        <v>40595</v>
      </c>
      <c r="E94" s="134" t="s">
        <v>238</v>
      </c>
      <c r="F94" s="78">
        <v>53188</v>
      </c>
      <c r="G94" s="134" t="s">
        <v>265</v>
      </c>
      <c r="H94" s="78">
        <v>819</v>
      </c>
      <c r="I94" s="134" t="s">
        <v>313</v>
      </c>
      <c r="J94" s="78">
        <v>706</v>
      </c>
      <c r="K94" s="134" t="s">
        <v>291</v>
      </c>
      <c r="L94" s="78">
        <v>118</v>
      </c>
      <c r="M94" s="134"/>
      <c r="N94" s="78"/>
      <c r="O94" s="134"/>
      <c r="P94" s="78"/>
      <c r="Q94" s="134"/>
      <c r="R94" s="78"/>
      <c r="S94" s="134"/>
      <c r="T94" s="78"/>
      <c r="U94" s="134"/>
      <c r="V94" s="78"/>
    </row>
    <row r="95" spans="1:22" x14ac:dyDescent="0.25">
      <c r="A95" s="135" t="s">
        <v>242</v>
      </c>
      <c r="B95" s="78">
        <v>75941</v>
      </c>
      <c r="C95" s="134" t="s">
        <v>262</v>
      </c>
      <c r="D95" s="78">
        <v>19407</v>
      </c>
      <c r="E95" s="134" t="s">
        <v>249</v>
      </c>
      <c r="F95" s="78">
        <v>24415</v>
      </c>
      <c r="G95" s="134" t="s">
        <v>266</v>
      </c>
      <c r="H95" s="78">
        <v>775</v>
      </c>
      <c r="I95" s="134" t="s">
        <v>309</v>
      </c>
      <c r="J95" s="78">
        <v>587</v>
      </c>
      <c r="K95" s="134" t="s">
        <v>226</v>
      </c>
      <c r="L95" s="78">
        <v>117</v>
      </c>
      <c r="M95" s="134"/>
      <c r="N95" s="78"/>
      <c r="O95" s="134"/>
      <c r="P95" s="78"/>
      <c r="Q95" s="134"/>
      <c r="R95" s="78"/>
      <c r="S95" s="134"/>
      <c r="T95" s="78"/>
      <c r="U95" s="134"/>
      <c r="V95" s="78"/>
    </row>
    <row r="96" spans="1:22" x14ac:dyDescent="0.25">
      <c r="A96" s="135" t="s">
        <v>228</v>
      </c>
      <c r="B96" s="78">
        <v>72706</v>
      </c>
      <c r="C96" s="134" t="s">
        <v>331</v>
      </c>
      <c r="D96" s="78">
        <v>14903</v>
      </c>
      <c r="E96" s="134" t="s">
        <v>244</v>
      </c>
      <c r="F96" s="78">
        <v>24332</v>
      </c>
      <c r="G96" s="134" t="s">
        <v>289</v>
      </c>
      <c r="H96" s="78">
        <v>145</v>
      </c>
      <c r="I96" s="134" t="s">
        <v>316</v>
      </c>
      <c r="J96" s="78">
        <v>541</v>
      </c>
      <c r="K96" s="134" t="s">
        <v>235</v>
      </c>
      <c r="L96" s="78">
        <v>64</v>
      </c>
      <c r="M96" s="134"/>
      <c r="N96" s="78"/>
      <c r="O96" s="134"/>
      <c r="P96" s="78"/>
      <c r="Q96" s="134"/>
      <c r="R96" s="78"/>
      <c r="S96" s="134"/>
      <c r="T96" s="78"/>
      <c r="U96" s="134"/>
      <c r="V96" s="78"/>
    </row>
    <row r="97" spans="1:22" x14ac:dyDescent="0.25">
      <c r="A97" s="135" t="s">
        <v>239</v>
      </c>
      <c r="B97" s="78">
        <v>70018</v>
      </c>
      <c r="C97" s="134" t="s">
        <v>304</v>
      </c>
      <c r="D97" s="78">
        <v>9357</v>
      </c>
      <c r="E97" s="134" t="s">
        <v>246</v>
      </c>
      <c r="F97" s="78">
        <v>19869</v>
      </c>
      <c r="G97" s="134" t="s">
        <v>285</v>
      </c>
      <c r="H97" s="78">
        <v>81</v>
      </c>
      <c r="I97" s="134"/>
      <c r="J97" s="78"/>
      <c r="K97" s="134"/>
      <c r="L97" s="78"/>
      <c r="M97" s="134"/>
      <c r="N97" s="78"/>
      <c r="O97" s="134"/>
      <c r="P97" s="78"/>
      <c r="Q97" s="134"/>
      <c r="R97" s="78"/>
      <c r="S97" s="134"/>
      <c r="T97" s="78"/>
      <c r="U97" s="134"/>
      <c r="V97" s="78"/>
    </row>
  </sheetData>
  <hyperlinks>
    <hyperlink ref="A2" r:id="rId1" xr:uid="{8A36D669-393A-47CF-983D-C53631304D1C}"/>
    <hyperlink ref="A3" r:id="rId2" xr:uid="{C6FF06FD-00BB-4AE6-84B5-AEA3160E6D38}"/>
    <hyperlink ref="A4" r:id="rId3" xr:uid="{3DD739E9-1A8D-46B1-AEC0-B8B84D542871}"/>
    <hyperlink ref="A5" r:id="rId4" xr:uid="{25C61893-856A-4070-A659-85C04AE03A88}"/>
    <hyperlink ref="A6" r:id="rId5" xr:uid="{90AE7641-3DBE-49E9-AA1D-CF517E5D9E4F}"/>
    <hyperlink ref="A7" r:id="rId6" xr:uid="{C4A2E1A9-7483-4546-8977-24D4DAC2F642}"/>
    <hyperlink ref="A8" r:id="rId7" xr:uid="{FB59D6D3-0B4A-4503-86B7-70A562AEDCF1}"/>
    <hyperlink ref="A9" r:id="rId8" xr:uid="{A6AA4A47-9926-445D-98D4-96C9D493192C}"/>
    <hyperlink ref="A10" r:id="rId9" xr:uid="{33BD9A94-89A1-4F0B-8F14-4CF82095C18B}"/>
    <hyperlink ref="A11" r:id="rId10" xr:uid="{C9BA5FC2-D0E0-4A24-B340-5FDE5516EFCB}"/>
    <hyperlink ref="C2" r:id="rId11" xr:uid="{FFDF22DE-EE65-4014-A457-C3301978EB9E}"/>
    <hyperlink ref="C3" r:id="rId12" xr:uid="{9FC6DD63-21EA-4D20-BE09-9310D915AD5E}"/>
    <hyperlink ref="C4" r:id="rId13" xr:uid="{8E2BB3CC-F3D0-4373-8262-FCF9D0B6D787}"/>
    <hyperlink ref="C5" r:id="rId14" xr:uid="{8A3AB85E-56DE-4C74-9ED2-27FC04CD6863}"/>
    <hyperlink ref="C6" r:id="rId15" xr:uid="{DA81EBF6-5B00-44BA-BC83-169A5FC8DA61}"/>
    <hyperlink ref="C7" r:id="rId16" xr:uid="{E3893756-A4B1-484A-A96A-C008ED4E2837}"/>
    <hyperlink ref="C8" r:id="rId17" xr:uid="{2A3DDA9A-93FC-4E9F-8E4A-2403A048E9DF}"/>
    <hyperlink ref="C9" r:id="rId18" xr:uid="{8541D0F4-B08C-4D37-A102-B4A819FEE8CF}"/>
    <hyperlink ref="E2" r:id="rId19" xr:uid="{D25E328E-3DDB-4BA6-97E4-6FEBB598200F}"/>
    <hyperlink ref="G2" r:id="rId20" xr:uid="{A3DE31A5-89CF-4E65-ACAC-1B6E0564F56D}"/>
    <hyperlink ref="G3" r:id="rId21" xr:uid="{CA6ED4A0-24AA-4C4B-B414-95A2B5888FBA}"/>
    <hyperlink ref="G4" r:id="rId22" xr:uid="{D01DBD2A-9C9E-4A8C-B397-D183CA833F28}"/>
    <hyperlink ref="K2" r:id="rId23" xr:uid="{1E2B7CFA-6B03-4472-A240-72A7E29F5295}"/>
    <hyperlink ref="K3" r:id="rId24" xr:uid="{8B57425C-E859-454C-90C1-3A1399D71885}"/>
    <hyperlink ref="O2" r:id="rId25" xr:uid="{191B2EE8-4986-4A03-AAE0-E9CD5092550C}"/>
    <hyperlink ref="Q2" r:id="rId26" xr:uid="{5EAE426B-E369-44E4-AA5C-EC3C16580F76}"/>
  </hyperlinks>
  <pageMargins left="0.7" right="0.7" top="0.75" bottom="0.75" header="0.3" footer="0.3"/>
  <tableParts count="8">
    <tablePart r:id="rId27"/>
    <tablePart r:id="rId28"/>
    <tablePart r:id="rId29"/>
    <tablePart r:id="rId30"/>
    <tablePart r:id="rId31"/>
    <tablePart r:id="rId32"/>
    <tablePart r:id="rId33"/>
    <tablePart r:id="rId3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P124"/>
  <sheetViews>
    <sheetView workbookViewId="0">
      <pane xSplit="1" ySplit="2" topLeftCell="AG80" activePane="bottomRight" state="frozen"/>
      <selection pane="topRight" activeCell="B1" sqref="B1"/>
      <selection pane="bottomLeft" activeCell="A3" sqref="A3"/>
      <selection pane="bottomRight" activeCell="A2" sqref="A2:BK2"/>
    </sheetView>
  </sheetViews>
  <sheetFormatPr defaultRowHeight="15" x14ac:dyDescent="0.25"/>
  <cols>
    <col min="1" max="1" width="16.7109375" style="1" customWidth="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customWidth="1"/>
    <col min="19" max="19" width="9.28515625" customWidth="1"/>
    <col min="20" max="20" width="9.5703125" customWidth="1"/>
    <col min="21" max="23" width="14.28515625" customWidth="1"/>
    <col min="24" max="24" width="11.85546875" customWidth="1"/>
    <col min="25" max="25" width="14.42578125" customWidth="1"/>
    <col min="26" max="26" width="18.28515625" customWidth="1"/>
    <col min="27" max="27" width="5" style="3" hidden="1" customWidth="1"/>
    <col min="28" max="28" width="16" style="3" hidden="1" customWidth="1"/>
    <col min="29" max="29" width="16" style="6" bestFit="1" customWidth="1"/>
    <col min="30" max="30" width="8.5703125" style="2" bestFit="1" customWidth="1"/>
    <col min="31" max="31" width="9.5703125" style="3" bestFit="1" customWidth="1"/>
    <col min="32" max="32" width="11.5703125" style="3" bestFit="1" customWidth="1"/>
    <col min="33" max="33" width="12" style="3" bestFit="1" customWidth="1"/>
    <col min="34" max="34" width="9.7109375" style="3" bestFit="1" customWidth="1"/>
    <col min="35" max="35" width="9.42578125" bestFit="1" customWidth="1"/>
    <col min="36" max="36" width="18.140625" bestFit="1" customWidth="1"/>
    <col min="37" max="37" width="13.42578125" bestFit="1" customWidth="1"/>
    <col min="38" max="38" width="10.7109375" bestFit="1" customWidth="1"/>
    <col min="39" max="39" width="7.42578125" bestFit="1" customWidth="1"/>
    <col min="40" max="40" width="8.140625" bestFit="1" customWidth="1"/>
    <col min="41" max="41" width="16.5703125" bestFit="1" customWidth="1"/>
    <col min="42" max="42" width="12.5703125" bestFit="1" customWidth="1"/>
    <col min="43" max="43" width="10.28515625" bestFit="1" customWidth="1"/>
    <col min="44" max="44" width="16.85546875" bestFit="1" customWidth="1"/>
    <col min="45" max="45" width="10.42578125" bestFit="1" customWidth="1"/>
    <col min="46" max="46" width="11.5703125" bestFit="1" customWidth="1"/>
    <col min="47" max="47" width="9" bestFit="1" customWidth="1"/>
    <col min="48" max="48" width="20.7109375" bestFit="1" customWidth="1"/>
    <col min="49" max="49" width="10.5703125" bestFit="1" customWidth="1"/>
    <col min="50" max="51" width="16.140625" bestFit="1" customWidth="1"/>
    <col min="52" max="52" width="15.140625" bestFit="1" customWidth="1"/>
    <col min="53" max="53" width="9.28515625" bestFit="1" customWidth="1"/>
    <col min="54" max="54" width="17.28515625" bestFit="1" customWidth="1"/>
    <col min="55" max="55" width="19.5703125" bestFit="1" customWidth="1"/>
    <col min="56" max="56" width="17.28515625" bestFit="1" customWidth="1"/>
    <col min="57" max="57" width="19.5703125" bestFit="1" customWidth="1"/>
    <col min="58" max="58" width="17.28515625" bestFit="1" customWidth="1"/>
    <col min="59" max="59" width="19.5703125" bestFit="1" customWidth="1"/>
    <col min="60" max="60" width="17.28515625" bestFit="1" customWidth="1"/>
    <col min="61" max="61" width="19.5703125" bestFit="1" customWidth="1"/>
    <col min="62" max="62" width="18.85546875" bestFit="1" customWidth="1"/>
    <col min="63" max="63" width="19.5703125" bestFit="1" customWidth="1"/>
  </cols>
  <sheetData>
    <row r="1" spans="1:68" x14ac:dyDescent="0.25">
      <c r="B1" s="24" t="s">
        <v>39</v>
      </c>
      <c r="C1" s="17"/>
      <c r="D1" s="17"/>
      <c r="E1" s="17"/>
      <c r="F1" s="17"/>
      <c r="G1" s="17"/>
      <c r="H1" s="26" t="s">
        <v>43</v>
      </c>
      <c r="I1" s="25"/>
      <c r="J1" s="25"/>
      <c r="K1" s="25"/>
      <c r="L1" s="28" t="s">
        <v>44</v>
      </c>
      <c r="M1" s="27"/>
      <c r="N1" s="27"/>
      <c r="O1" s="27"/>
      <c r="P1" s="27"/>
      <c r="Q1" s="27"/>
      <c r="R1" s="23" t="s">
        <v>42</v>
      </c>
      <c r="S1" s="20"/>
      <c r="T1" s="21"/>
      <c r="U1" s="22"/>
      <c r="V1" s="20"/>
      <c r="W1" s="20"/>
      <c r="X1" s="20"/>
      <c r="Y1" s="20"/>
      <c r="Z1" s="20"/>
      <c r="AA1" s="29" t="s">
        <v>40</v>
      </c>
      <c r="AB1" s="19"/>
      <c r="AC1" s="30" t="s">
        <v>41</v>
      </c>
      <c r="AD1"/>
      <c r="AE1"/>
      <c r="AF1"/>
      <c r="AG1"/>
      <c r="AH1"/>
    </row>
    <row r="2" spans="1:68"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136</v>
      </c>
      <c r="Y2" s="13" t="s">
        <v>37</v>
      </c>
      <c r="Z2" s="13" t="s">
        <v>169</v>
      </c>
      <c r="AA2" s="11" t="s">
        <v>12</v>
      </c>
      <c r="AB2" s="11" t="s">
        <v>38</v>
      </c>
      <c r="AC2" s="8" t="s">
        <v>26</v>
      </c>
      <c r="AD2" s="13" t="s">
        <v>932</v>
      </c>
      <c r="AE2" s="13" t="s">
        <v>933</v>
      </c>
      <c r="AF2" s="13" t="s">
        <v>934</v>
      </c>
      <c r="AG2" s="13" t="s">
        <v>935</v>
      </c>
      <c r="AH2" s="13" t="s">
        <v>936</v>
      </c>
      <c r="AI2" s="13" t="s">
        <v>937</v>
      </c>
      <c r="AJ2" s="13" t="s">
        <v>938</v>
      </c>
      <c r="AK2" s="13" t="s">
        <v>939</v>
      </c>
      <c r="AL2" s="13" t="s">
        <v>940</v>
      </c>
      <c r="AM2" s="13" t="s">
        <v>941</v>
      </c>
      <c r="AN2" s="13" t="s">
        <v>942</v>
      </c>
      <c r="AO2" s="13" t="s">
        <v>943</v>
      </c>
      <c r="AP2" s="13" t="s">
        <v>944</v>
      </c>
      <c r="AQ2" s="13" t="s">
        <v>945</v>
      </c>
      <c r="AR2" s="13" t="s">
        <v>946</v>
      </c>
      <c r="AS2" s="13" t="s">
        <v>947</v>
      </c>
      <c r="AT2" s="13" t="s">
        <v>195</v>
      </c>
      <c r="AU2" s="13" t="s">
        <v>948</v>
      </c>
      <c r="AV2" s="13" t="s">
        <v>949</v>
      </c>
      <c r="AW2" s="13" t="s">
        <v>950</v>
      </c>
      <c r="AX2" s="13" t="s">
        <v>951</v>
      </c>
      <c r="AY2" s="13" t="s">
        <v>952</v>
      </c>
      <c r="AZ2" s="13" t="s">
        <v>953</v>
      </c>
      <c r="BA2" s="13" t="s">
        <v>1530</v>
      </c>
      <c r="BB2" s="136" t="s">
        <v>1955</v>
      </c>
      <c r="BC2" s="136" t="s">
        <v>1962</v>
      </c>
      <c r="BD2" s="136" t="s">
        <v>1963</v>
      </c>
      <c r="BE2" s="136" t="s">
        <v>1967</v>
      </c>
      <c r="BF2" s="136" t="s">
        <v>1969</v>
      </c>
      <c r="BG2" s="136" t="s">
        <v>1978</v>
      </c>
      <c r="BH2" s="136" t="s">
        <v>1990</v>
      </c>
      <c r="BI2" s="136" t="s">
        <v>2028</v>
      </c>
      <c r="BJ2" s="136" t="s">
        <v>2045</v>
      </c>
      <c r="BK2" s="136" t="s">
        <v>2081</v>
      </c>
      <c r="BL2" s="3"/>
      <c r="BM2" s="3"/>
    </row>
    <row r="3" spans="1:68" ht="15" customHeight="1" x14ac:dyDescent="0.25">
      <c r="A3" s="64" t="s">
        <v>287</v>
      </c>
      <c r="B3" s="65"/>
      <c r="C3" s="65"/>
      <c r="D3" s="66">
        <v>200</v>
      </c>
      <c r="E3" s="104"/>
      <c r="F3" s="96" t="str">
        <f>HYPERLINK("https://pbs.twimg.com/profile_images/1311001884824604676/RVdli881_normal.png")</f>
        <v>https://pbs.twimg.com/profile_images/1311001884824604676/RVdli881_normal.png</v>
      </c>
      <c r="G3" s="105"/>
      <c r="H3" s="69" t="s">
        <v>287</v>
      </c>
      <c r="I3" s="70"/>
      <c r="J3" s="106"/>
      <c r="K3" s="69" t="s">
        <v>1406</v>
      </c>
      <c r="L3" s="107">
        <v>9999</v>
      </c>
      <c r="M3" s="74">
        <v>1321.8714599609375</v>
      </c>
      <c r="N3" s="74">
        <v>5505.95458984375</v>
      </c>
      <c r="O3" s="75"/>
      <c r="P3" s="76"/>
      <c r="Q3" s="76"/>
      <c r="R3" s="88"/>
      <c r="S3" s="49">
        <v>31</v>
      </c>
      <c r="T3" s="49">
        <v>9</v>
      </c>
      <c r="U3" s="50">
        <v>2696.8571430000002</v>
      </c>
      <c r="V3" s="50">
        <v>1.2048E-2</v>
      </c>
      <c r="W3" s="50">
        <v>0.108615</v>
      </c>
      <c r="X3" s="50">
        <v>8.4298129999999993</v>
      </c>
      <c r="Y3" s="50">
        <v>2.5846702317290554E-2</v>
      </c>
      <c r="Z3" s="50">
        <v>0.11764705882352941</v>
      </c>
      <c r="AA3" s="71">
        <v>3</v>
      </c>
      <c r="AB3"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3" s="72"/>
      <c r="AD3" s="79" t="s">
        <v>983</v>
      </c>
      <c r="AE3" s="85" t="s">
        <v>871</v>
      </c>
      <c r="AF3" s="79">
        <v>772</v>
      </c>
      <c r="AG3" s="79">
        <v>3660</v>
      </c>
      <c r="AH3" s="79">
        <v>6856</v>
      </c>
      <c r="AI3" s="79">
        <v>1260</v>
      </c>
      <c r="AJ3" s="79"/>
      <c r="AK3" s="79" t="s">
        <v>1220</v>
      </c>
      <c r="AL3" s="79" t="s">
        <v>1324</v>
      </c>
      <c r="AM3" s="83" t="str">
        <f>HYPERLINK("https://t.co/BFRhswVpqJ")</f>
        <v>https://t.co/BFRhswVpqJ</v>
      </c>
      <c r="AN3" s="79"/>
      <c r="AO3" s="81">
        <v>40193.604178240741</v>
      </c>
      <c r="AP3" s="83" t="str">
        <f>HYPERLINK("https://pbs.twimg.com/profile_banners/105154667/1622738193")</f>
        <v>https://pbs.twimg.com/profile_banners/105154667/1622738193</v>
      </c>
      <c r="AQ3" s="79" t="b">
        <v>0</v>
      </c>
      <c r="AR3" s="79" t="b">
        <v>0</v>
      </c>
      <c r="AS3" s="79" t="b">
        <v>0</v>
      </c>
      <c r="AT3" s="79"/>
      <c r="AU3" s="79">
        <v>73</v>
      </c>
      <c r="AV3" s="83" t="str">
        <f>HYPERLINK("https://abs.twimg.com/images/themes/theme15/bg.png")</f>
        <v>https://abs.twimg.com/images/themes/theme15/bg.png</v>
      </c>
      <c r="AW3" s="79" t="b">
        <v>0</v>
      </c>
      <c r="AX3" s="79" t="s">
        <v>1376</v>
      </c>
      <c r="AY3" s="83" t="str">
        <f>HYPERLINK("https://twitter.com/coetalk")</f>
        <v>https://twitter.com/coetalk</v>
      </c>
      <c r="AZ3" s="79" t="s">
        <v>66</v>
      </c>
      <c r="BA3" s="78" t="str">
        <f>REPLACE(INDEX(GroupVertices[Group], MATCH(Vertices[[#This Row],[Vertex]],GroupVertices[Vertex],0)),1,1,"")</f>
        <v>1</v>
      </c>
      <c r="BB3" s="49" t="s">
        <v>1956</v>
      </c>
      <c r="BC3" s="49" t="s">
        <v>1956</v>
      </c>
      <c r="BD3" s="49" t="s">
        <v>1964</v>
      </c>
      <c r="BE3" s="49" t="s">
        <v>1964</v>
      </c>
      <c r="BF3" s="49" t="s">
        <v>1970</v>
      </c>
      <c r="BG3" s="49" t="s">
        <v>1979</v>
      </c>
      <c r="BH3" s="137" t="s">
        <v>1991</v>
      </c>
      <c r="BI3" s="137" t="s">
        <v>2029</v>
      </c>
      <c r="BJ3" s="137" t="s">
        <v>2046</v>
      </c>
      <c r="BK3" s="137" t="s">
        <v>2082</v>
      </c>
      <c r="BL3" s="3"/>
      <c r="BM3" s="3"/>
    </row>
    <row r="4" spans="1:68" x14ac:dyDescent="0.25">
      <c r="A4" s="64" t="s">
        <v>245</v>
      </c>
      <c r="B4" s="65"/>
      <c r="C4" s="65"/>
      <c r="D4" s="66">
        <v>200</v>
      </c>
      <c r="E4" s="104"/>
      <c r="F4" s="96" t="str">
        <f>HYPERLINK("https://pbs.twimg.com/profile_images/1375970485297627138/ULDy7mRM_normal.jpg")</f>
        <v>https://pbs.twimg.com/profile_images/1375970485297627138/ULDy7mRM_normal.jpg</v>
      </c>
      <c r="G4" s="105"/>
      <c r="H4" s="69" t="s">
        <v>245</v>
      </c>
      <c r="I4" s="70"/>
      <c r="J4" s="106"/>
      <c r="K4" s="69" t="s">
        <v>1421</v>
      </c>
      <c r="L4" s="107">
        <v>3115.1137830747898</v>
      </c>
      <c r="M4" s="74">
        <v>8830.3798828125</v>
      </c>
      <c r="N4" s="74">
        <v>8101.6083984375</v>
      </c>
      <c r="O4" s="75"/>
      <c r="P4" s="76"/>
      <c r="Q4" s="76"/>
      <c r="R4" s="88"/>
      <c r="S4" s="49">
        <v>1</v>
      </c>
      <c r="T4" s="49">
        <v>10</v>
      </c>
      <c r="U4" s="50">
        <v>840</v>
      </c>
      <c r="V4" s="50">
        <v>8.1300000000000001E-3</v>
      </c>
      <c r="W4" s="50">
        <v>1.84E-2</v>
      </c>
      <c r="X4" s="50">
        <v>4.0792909999999996</v>
      </c>
      <c r="Y4" s="50">
        <v>0</v>
      </c>
      <c r="Z4" s="50">
        <v>0</v>
      </c>
      <c r="AA4" s="71">
        <v>4</v>
      </c>
      <c r="AB4"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4" s="72"/>
      <c r="AD4" s="79" t="s">
        <v>998</v>
      </c>
      <c r="AE4" s="85" t="s">
        <v>1117</v>
      </c>
      <c r="AF4" s="79">
        <v>1936</v>
      </c>
      <c r="AG4" s="79">
        <v>1891</v>
      </c>
      <c r="AH4" s="79">
        <v>12949</v>
      </c>
      <c r="AI4" s="79">
        <v>25352</v>
      </c>
      <c r="AJ4" s="79"/>
      <c r="AK4" s="79" t="s">
        <v>1235</v>
      </c>
      <c r="AL4" s="79" t="s">
        <v>904</v>
      </c>
      <c r="AM4" s="83" t="str">
        <f>HYPERLINK("https://t.co/ooUPcxS9jQ")</f>
        <v>https://t.co/ooUPcxS9jQ</v>
      </c>
      <c r="AN4" s="79"/>
      <c r="AO4" s="81">
        <v>40339.126828703702</v>
      </c>
      <c r="AP4" s="83" t="str">
        <f>HYPERLINK("https://pbs.twimg.com/profile_banners/153996191/1602803488")</f>
        <v>https://pbs.twimg.com/profile_banners/153996191/1602803488</v>
      </c>
      <c r="AQ4" s="79" t="b">
        <v>0</v>
      </c>
      <c r="AR4" s="79" t="b">
        <v>0</v>
      </c>
      <c r="AS4" s="79" t="b">
        <v>1</v>
      </c>
      <c r="AT4" s="79"/>
      <c r="AU4" s="79">
        <v>235</v>
      </c>
      <c r="AV4" s="83" t="str">
        <f>HYPERLINK("https://abs.twimg.com/images/themes/theme6/bg.gif")</f>
        <v>https://abs.twimg.com/images/themes/theme6/bg.gif</v>
      </c>
      <c r="AW4" s="79" t="b">
        <v>0</v>
      </c>
      <c r="AX4" s="79" t="s">
        <v>1376</v>
      </c>
      <c r="AY4" s="83" t="str">
        <f>HYPERLINK("https://twitter.com/aaron_cortes")</f>
        <v>https://twitter.com/aaron_cortes</v>
      </c>
      <c r="AZ4" s="79" t="s">
        <v>66</v>
      </c>
      <c r="BA4" s="78" t="str">
        <f>REPLACE(INDEX(GroupVertices[Group], MATCH(Vertices[[#This Row],[Vertex]],GroupVertices[Vertex],0)),1,1,"")</f>
        <v>4</v>
      </c>
      <c r="BB4" s="49"/>
      <c r="BC4" s="49"/>
      <c r="BD4" s="49"/>
      <c r="BE4" s="49"/>
      <c r="BF4" s="49" t="s">
        <v>1704</v>
      </c>
      <c r="BG4" s="49" t="s">
        <v>1980</v>
      </c>
      <c r="BH4" s="137" t="s">
        <v>1992</v>
      </c>
      <c r="BI4" s="137" t="s">
        <v>2030</v>
      </c>
      <c r="BJ4" s="137" t="s">
        <v>2047</v>
      </c>
      <c r="BK4" s="137" t="s">
        <v>2047</v>
      </c>
      <c r="BL4" s="2"/>
      <c r="BM4" s="3"/>
      <c r="BN4" s="3"/>
      <c r="BO4" s="3"/>
      <c r="BP4" s="3"/>
    </row>
    <row r="5" spans="1:68" x14ac:dyDescent="0.25">
      <c r="A5" s="64" t="s">
        <v>289</v>
      </c>
      <c r="B5" s="65"/>
      <c r="C5" s="65"/>
      <c r="D5" s="66">
        <v>200</v>
      </c>
      <c r="E5" s="104"/>
      <c r="F5" s="96" t="str">
        <f>HYPERLINK("https://pbs.twimg.com/profile_images/1280188684483076097/hDD1guXX_normal.jpg")</f>
        <v>https://pbs.twimg.com/profile_images/1280188684483076097/hDD1guXX_normal.jpg</v>
      </c>
      <c r="G5" s="105"/>
      <c r="H5" s="69" t="s">
        <v>289</v>
      </c>
      <c r="I5" s="70"/>
      <c r="J5" s="106"/>
      <c r="K5" s="69" t="s">
        <v>1453</v>
      </c>
      <c r="L5" s="107">
        <v>1613.8779112398092</v>
      </c>
      <c r="M5" s="74">
        <v>3689.6015625</v>
      </c>
      <c r="N5" s="74">
        <v>1196.9407958984375</v>
      </c>
      <c r="O5" s="75"/>
      <c r="P5" s="76"/>
      <c r="Q5" s="76"/>
      <c r="R5" s="88"/>
      <c r="S5" s="49">
        <v>4</v>
      </c>
      <c r="T5" s="49">
        <v>8</v>
      </c>
      <c r="U5" s="50">
        <v>435.057143</v>
      </c>
      <c r="V5" s="50">
        <v>8.3330000000000001E-3</v>
      </c>
      <c r="W5" s="50">
        <v>3.8455999999999997E-2</v>
      </c>
      <c r="X5" s="50">
        <v>2.3707280000000002</v>
      </c>
      <c r="Y5" s="50">
        <v>0.16666666666666666</v>
      </c>
      <c r="Z5" s="50">
        <v>0</v>
      </c>
      <c r="AA5" s="71">
        <v>5</v>
      </c>
      <c r="AB5"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5" s="72"/>
      <c r="AD5" s="79" t="s">
        <v>1030</v>
      </c>
      <c r="AE5" s="85" t="s">
        <v>1149</v>
      </c>
      <c r="AF5" s="79">
        <v>18</v>
      </c>
      <c r="AG5" s="79">
        <v>23</v>
      </c>
      <c r="AH5" s="79">
        <v>145</v>
      </c>
      <c r="AI5" s="79">
        <v>18</v>
      </c>
      <c r="AJ5" s="79"/>
      <c r="AK5" s="79" t="s">
        <v>1266</v>
      </c>
      <c r="AL5" s="79" t="s">
        <v>1354</v>
      </c>
      <c r="AM5" s="83" t="str">
        <f>HYPERLINK("https://t.co/6MVqyNFfok")</f>
        <v>https://t.co/6MVqyNFfok</v>
      </c>
      <c r="AN5" s="79"/>
      <c r="AO5" s="81">
        <v>44018.718958333331</v>
      </c>
      <c r="AP5" s="83" t="str">
        <f>HYPERLINK("https://pbs.twimg.com/profile_banners/1280188535396597760/1608153119")</f>
        <v>https://pbs.twimg.com/profile_banners/1280188535396597760/1608153119</v>
      </c>
      <c r="AQ5" s="79" t="b">
        <v>1</v>
      </c>
      <c r="AR5" s="79" t="b">
        <v>0</v>
      </c>
      <c r="AS5" s="79" t="b">
        <v>1</v>
      </c>
      <c r="AT5" s="79"/>
      <c r="AU5" s="79">
        <v>0</v>
      </c>
      <c r="AV5" s="79"/>
      <c r="AW5" s="79" t="b">
        <v>0</v>
      </c>
      <c r="AX5" s="79" t="s">
        <v>1376</v>
      </c>
      <c r="AY5" s="83" t="str">
        <f>HYPERLINK("https://twitter.com/ucatonsville")</f>
        <v>https://twitter.com/ucatonsville</v>
      </c>
      <c r="AZ5" s="79" t="s">
        <v>66</v>
      </c>
      <c r="BA5" s="78" t="str">
        <f>REPLACE(INDEX(GroupVertices[Group], MATCH(Vertices[[#This Row],[Vertex]],GroupVertices[Vertex],0)),1,1,"")</f>
        <v>3</v>
      </c>
      <c r="BB5" s="49" t="s">
        <v>1957</v>
      </c>
      <c r="BC5" s="49" t="s">
        <v>1957</v>
      </c>
      <c r="BD5" s="49" t="s">
        <v>1639</v>
      </c>
      <c r="BE5" s="49" t="s">
        <v>1968</v>
      </c>
      <c r="BF5" s="49" t="s">
        <v>1703</v>
      </c>
      <c r="BG5" s="49" t="s">
        <v>478</v>
      </c>
      <c r="BH5" s="137" t="s">
        <v>1993</v>
      </c>
      <c r="BI5" s="137" t="s">
        <v>2031</v>
      </c>
      <c r="BJ5" s="137" t="s">
        <v>2048</v>
      </c>
      <c r="BK5" s="137" t="s">
        <v>2083</v>
      </c>
      <c r="BL5" s="2"/>
      <c r="BM5" s="3"/>
      <c r="BN5" s="3"/>
      <c r="BO5" s="3"/>
      <c r="BP5" s="3"/>
    </row>
    <row r="6" spans="1:68" x14ac:dyDescent="0.25">
      <c r="A6" s="64" t="s">
        <v>274</v>
      </c>
      <c r="B6" s="65"/>
      <c r="C6" s="65"/>
      <c r="D6" s="66">
        <v>200</v>
      </c>
      <c r="E6" s="104"/>
      <c r="F6" s="96" t="str">
        <f>HYPERLINK("https://pbs.twimg.com/profile_images/1319698995200090112/GLiLyJDw_normal.jpg")</f>
        <v>https://pbs.twimg.com/profile_images/1319698995200090112/GLiLyJDw_normal.jpg</v>
      </c>
      <c r="G6" s="105"/>
      <c r="H6" s="69" t="s">
        <v>274</v>
      </c>
      <c r="I6" s="70"/>
      <c r="J6" s="106"/>
      <c r="K6" s="69" t="s">
        <v>1402</v>
      </c>
      <c r="L6" s="107">
        <v>1572.8860047901321</v>
      </c>
      <c r="M6" s="74">
        <v>8460.689453125</v>
      </c>
      <c r="N6" s="74">
        <v>4527.32568359375</v>
      </c>
      <c r="O6" s="75"/>
      <c r="P6" s="76"/>
      <c r="Q6" s="76"/>
      <c r="R6" s="88"/>
      <c r="S6" s="49">
        <v>1</v>
      </c>
      <c r="T6" s="49">
        <v>2</v>
      </c>
      <c r="U6" s="50">
        <v>424</v>
      </c>
      <c r="V6" s="50">
        <v>7.7520000000000002E-3</v>
      </c>
      <c r="W6" s="50">
        <v>1.8107000000000002E-2</v>
      </c>
      <c r="X6" s="50">
        <v>0.95495300000000005</v>
      </c>
      <c r="Y6" s="50">
        <v>0.16666666666666666</v>
      </c>
      <c r="Z6" s="50">
        <v>0</v>
      </c>
      <c r="AA6" s="71">
        <v>6</v>
      </c>
      <c r="AB6"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6" s="72"/>
      <c r="AD6" s="79" t="s">
        <v>979</v>
      </c>
      <c r="AE6" s="85" t="s">
        <v>1100</v>
      </c>
      <c r="AF6" s="79">
        <v>1905</v>
      </c>
      <c r="AG6" s="79">
        <v>1245</v>
      </c>
      <c r="AH6" s="79">
        <v>1666</v>
      </c>
      <c r="AI6" s="79">
        <v>992</v>
      </c>
      <c r="AJ6" s="79"/>
      <c r="AK6" s="79" t="s">
        <v>1216</v>
      </c>
      <c r="AL6" s="79" t="s">
        <v>1319</v>
      </c>
      <c r="AM6" s="79"/>
      <c r="AN6" s="79"/>
      <c r="AO6" s="81">
        <v>40003.666168981479</v>
      </c>
      <c r="AP6" s="83" t="str">
        <f>HYPERLINK("https://pbs.twimg.com/profile_banners/55275254/1498650346")</f>
        <v>https://pbs.twimg.com/profile_banners/55275254/1498650346</v>
      </c>
      <c r="AQ6" s="79" t="b">
        <v>0</v>
      </c>
      <c r="AR6" s="79" t="b">
        <v>0</v>
      </c>
      <c r="AS6" s="79" t="b">
        <v>1</v>
      </c>
      <c r="AT6" s="79"/>
      <c r="AU6" s="79">
        <v>15</v>
      </c>
      <c r="AV6" s="83" t="str">
        <f>HYPERLINK("https://abs.twimg.com/images/themes/theme4/bg.gif")</f>
        <v>https://abs.twimg.com/images/themes/theme4/bg.gif</v>
      </c>
      <c r="AW6" s="79" t="b">
        <v>0</v>
      </c>
      <c r="AX6" s="79" t="s">
        <v>1376</v>
      </c>
      <c r="AY6" s="83" t="str">
        <f>HYPERLINK("https://twitter.com/kjcounsel")</f>
        <v>https://twitter.com/kjcounsel</v>
      </c>
      <c r="AZ6" s="79" t="s">
        <v>66</v>
      </c>
      <c r="BA6" s="78" t="str">
        <f>REPLACE(INDEX(GroupVertices[Group], MATCH(Vertices[[#This Row],[Vertex]],GroupVertices[Vertex],0)),1,1,"")</f>
        <v>6</v>
      </c>
      <c r="BB6" s="49"/>
      <c r="BC6" s="49"/>
      <c r="BD6" s="49"/>
      <c r="BE6" s="49"/>
      <c r="BF6" s="49" t="s">
        <v>461</v>
      </c>
      <c r="BG6" s="49" t="s">
        <v>461</v>
      </c>
      <c r="BH6" s="137" t="s">
        <v>1994</v>
      </c>
      <c r="BI6" s="137" t="s">
        <v>1994</v>
      </c>
      <c r="BJ6" s="137" t="s">
        <v>2049</v>
      </c>
      <c r="BK6" s="137" t="s">
        <v>2049</v>
      </c>
      <c r="BL6" s="2"/>
      <c r="BM6" s="3"/>
      <c r="BN6" s="3"/>
      <c r="BO6" s="3"/>
      <c r="BP6" s="3"/>
    </row>
    <row r="7" spans="1:68" x14ac:dyDescent="0.25">
      <c r="A7" s="64" t="s">
        <v>233</v>
      </c>
      <c r="B7" s="65"/>
      <c r="C7" s="65"/>
      <c r="D7" s="66">
        <v>200</v>
      </c>
      <c r="E7" s="104"/>
      <c r="F7" s="96" t="str">
        <f>HYPERLINK("https://pbs.twimg.com/profile_images/461361080111865857/0aIMWlo5_normal.jpeg")</f>
        <v>https://pbs.twimg.com/profile_images/461361080111865857/0aIMWlo5_normal.jpeg</v>
      </c>
      <c r="G7" s="105"/>
      <c r="H7" s="69" t="s">
        <v>233</v>
      </c>
      <c r="I7" s="70"/>
      <c r="J7" s="106"/>
      <c r="K7" s="69" t="s">
        <v>1400</v>
      </c>
      <c r="L7" s="107">
        <v>1224.4018433508104</v>
      </c>
      <c r="M7" s="74">
        <v>7653.27587890625</v>
      </c>
      <c r="N7" s="74">
        <v>5267.833984375</v>
      </c>
      <c r="O7" s="75"/>
      <c r="P7" s="76"/>
      <c r="Q7" s="76"/>
      <c r="R7" s="88"/>
      <c r="S7" s="49">
        <v>0</v>
      </c>
      <c r="T7" s="49">
        <v>4</v>
      </c>
      <c r="U7" s="50">
        <v>330</v>
      </c>
      <c r="V7" s="50">
        <v>5.587E-3</v>
      </c>
      <c r="W7" s="50">
        <v>2.4030000000000002E-3</v>
      </c>
      <c r="X7" s="50">
        <v>1.752947</v>
      </c>
      <c r="Y7" s="50">
        <v>0</v>
      </c>
      <c r="Z7" s="50">
        <v>0</v>
      </c>
      <c r="AA7" s="71">
        <v>7</v>
      </c>
      <c r="AB7"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7" s="72"/>
      <c r="AD7" s="79" t="s">
        <v>977</v>
      </c>
      <c r="AE7" s="85" t="s">
        <v>1098</v>
      </c>
      <c r="AF7" s="79">
        <v>899</v>
      </c>
      <c r="AG7" s="79">
        <v>1212</v>
      </c>
      <c r="AH7" s="79">
        <v>4643</v>
      </c>
      <c r="AI7" s="79">
        <v>886</v>
      </c>
      <c r="AJ7" s="79"/>
      <c r="AK7" s="79" t="s">
        <v>1214</v>
      </c>
      <c r="AL7" s="79" t="s">
        <v>1320</v>
      </c>
      <c r="AM7" s="83" t="str">
        <f>HYPERLINK("https://t.co/qZlBg5NgTU")</f>
        <v>https://t.co/qZlBg5NgTU</v>
      </c>
      <c r="AN7" s="79"/>
      <c r="AO7" s="81">
        <v>40766.803333333337</v>
      </c>
      <c r="AP7" s="83" t="str">
        <f>HYPERLINK("https://pbs.twimg.com/profile_banners/353234125/1457034136")</f>
        <v>https://pbs.twimg.com/profile_banners/353234125/1457034136</v>
      </c>
      <c r="AQ7" s="79" t="b">
        <v>1</v>
      </c>
      <c r="AR7" s="79" t="b">
        <v>0</v>
      </c>
      <c r="AS7" s="79" t="b">
        <v>1</v>
      </c>
      <c r="AT7" s="79"/>
      <c r="AU7" s="79">
        <v>17</v>
      </c>
      <c r="AV7" s="83" t="str">
        <f>HYPERLINK("https://abs.twimg.com/images/themes/theme1/bg.png")</f>
        <v>https://abs.twimg.com/images/themes/theme1/bg.png</v>
      </c>
      <c r="AW7" s="79" t="b">
        <v>0</v>
      </c>
      <c r="AX7" s="79" t="s">
        <v>1376</v>
      </c>
      <c r="AY7" s="83" t="str">
        <f>HYPERLINK("https://twitter.com/swasaptrio")</f>
        <v>https://twitter.com/swasaptrio</v>
      </c>
      <c r="AZ7" s="79" t="s">
        <v>66</v>
      </c>
      <c r="BA7" s="78" t="str">
        <f>REPLACE(INDEX(GroupVertices[Group], MATCH(Vertices[[#This Row],[Vertex]],GroupVertices[Vertex],0)),1,1,"")</f>
        <v>6</v>
      </c>
      <c r="BB7" s="49"/>
      <c r="BC7" s="49"/>
      <c r="BD7" s="49"/>
      <c r="BE7" s="49"/>
      <c r="BF7" s="49" t="s">
        <v>1971</v>
      </c>
      <c r="BG7" s="49" t="s">
        <v>469</v>
      </c>
      <c r="BH7" s="137" t="s">
        <v>1995</v>
      </c>
      <c r="BI7" s="137" t="s">
        <v>2032</v>
      </c>
      <c r="BJ7" s="137" t="s">
        <v>2050</v>
      </c>
      <c r="BK7" s="137" t="s">
        <v>2050</v>
      </c>
      <c r="BL7" s="2"/>
      <c r="BM7" s="3"/>
      <c r="BN7" s="3"/>
      <c r="BO7" s="3"/>
      <c r="BP7" s="3"/>
    </row>
    <row r="8" spans="1:68" x14ac:dyDescent="0.25">
      <c r="A8" s="64" t="s">
        <v>257</v>
      </c>
      <c r="B8" s="65"/>
      <c r="C8" s="65"/>
      <c r="D8" s="66">
        <v>200</v>
      </c>
      <c r="E8" s="104"/>
      <c r="F8" s="96" t="str">
        <f>HYPERLINK("https://pbs.twimg.com/profile_images/1097350935356063744/0kWU7Jqp_normal.jpg")</f>
        <v>https://pbs.twimg.com/profile_images/1097350935356063744/0kWU7Jqp_normal.jpg</v>
      </c>
      <c r="G8" s="105"/>
      <c r="H8" s="69" t="s">
        <v>257</v>
      </c>
      <c r="I8" s="70"/>
      <c r="J8" s="106"/>
      <c r="K8" s="69" t="s">
        <v>1411</v>
      </c>
      <c r="L8" s="107">
        <v>920.40502166969986</v>
      </c>
      <c r="M8" s="74">
        <v>4091.890625</v>
      </c>
      <c r="N8" s="74">
        <v>6229.2470703125</v>
      </c>
      <c r="O8" s="75"/>
      <c r="P8" s="76"/>
      <c r="Q8" s="76"/>
      <c r="R8" s="88"/>
      <c r="S8" s="49">
        <v>22</v>
      </c>
      <c r="T8" s="49">
        <v>2</v>
      </c>
      <c r="U8" s="50">
        <v>248</v>
      </c>
      <c r="V8" s="50">
        <v>4.3478000000000003E-2</v>
      </c>
      <c r="W8" s="50">
        <v>1.5999999999999999E-5</v>
      </c>
      <c r="X8" s="50">
        <v>5.4083990000000002</v>
      </c>
      <c r="Y8" s="50">
        <v>4.9407114624505928E-2</v>
      </c>
      <c r="Z8" s="50">
        <v>4.3478260869565216E-2</v>
      </c>
      <c r="AA8" s="71">
        <v>8</v>
      </c>
      <c r="AB8"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8" s="72"/>
      <c r="AD8" s="79" t="s">
        <v>988</v>
      </c>
      <c r="AE8" s="85" t="s">
        <v>869</v>
      </c>
      <c r="AF8" s="79">
        <v>822</v>
      </c>
      <c r="AG8" s="79">
        <v>1169</v>
      </c>
      <c r="AH8" s="79">
        <v>1639</v>
      </c>
      <c r="AI8" s="79">
        <v>1253</v>
      </c>
      <c r="AJ8" s="79"/>
      <c r="AK8" s="79" t="s">
        <v>1225</v>
      </c>
      <c r="AL8" s="79"/>
      <c r="AM8" s="79"/>
      <c r="AN8" s="79"/>
      <c r="AO8" s="81">
        <v>43514.175844907404</v>
      </c>
      <c r="AP8" s="79"/>
      <c r="AQ8" s="79" t="b">
        <v>1</v>
      </c>
      <c r="AR8" s="79" t="b">
        <v>0</v>
      </c>
      <c r="AS8" s="79" t="b">
        <v>0</v>
      </c>
      <c r="AT8" s="79"/>
      <c r="AU8" s="79">
        <v>12</v>
      </c>
      <c r="AV8" s="79"/>
      <c r="AW8" s="79" t="b">
        <v>0</v>
      </c>
      <c r="AX8" s="79" t="s">
        <v>1376</v>
      </c>
      <c r="AY8" s="83" t="str">
        <f>HYPERLINK("https://twitter.com/_maburnett")</f>
        <v>https://twitter.com/_maburnett</v>
      </c>
      <c r="AZ8" s="79" t="s">
        <v>66</v>
      </c>
      <c r="BA8" s="78" t="str">
        <f>REPLACE(INDEX(GroupVertices[Group], MATCH(Vertices[[#This Row],[Vertex]],GroupVertices[Vertex],0)),1,1,"")</f>
        <v>2</v>
      </c>
      <c r="BB8" s="49" t="s">
        <v>1582</v>
      </c>
      <c r="BC8" s="49" t="s">
        <v>1582</v>
      </c>
      <c r="BD8" s="49" t="s">
        <v>449</v>
      </c>
      <c r="BE8" s="49" t="s">
        <v>449</v>
      </c>
      <c r="BF8" s="49" t="s">
        <v>461</v>
      </c>
      <c r="BG8" s="49" t="s">
        <v>461</v>
      </c>
      <c r="BH8" s="137" t="s">
        <v>1996</v>
      </c>
      <c r="BI8" s="137" t="s">
        <v>2033</v>
      </c>
      <c r="BJ8" s="137" t="s">
        <v>2051</v>
      </c>
      <c r="BK8" s="137" t="s">
        <v>2051</v>
      </c>
      <c r="BL8" s="2"/>
      <c r="BM8" s="3"/>
      <c r="BN8" s="3"/>
      <c r="BO8" s="3"/>
      <c r="BP8" s="3"/>
    </row>
    <row r="9" spans="1:68" x14ac:dyDescent="0.25">
      <c r="A9" s="64" t="s">
        <v>256</v>
      </c>
      <c r="B9" s="65"/>
      <c r="C9" s="65"/>
      <c r="D9" s="66">
        <v>168.06451612903226</v>
      </c>
      <c r="E9" s="104"/>
      <c r="F9" s="96" t="str">
        <f>HYPERLINK("https://pbs.twimg.com/profile_images/694541205259042818/QcSFzUsp_normal.png")</f>
        <v>https://pbs.twimg.com/profile_images/694541205259042818/QcSFzUsp_normal.png</v>
      </c>
      <c r="G9" s="105"/>
      <c r="H9" s="69" t="s">
        <v>256</v>
      </c>
      <c r="I9" s="70"/>
      <c r="J9" s="106"/>
      <c r="K9" s="69" t="s">
        <v>1410</v>
      </c>
      <c r="L9" s="107">
        <v>757.28477588959186</v>
      </c>
      <c r="M9" s="74">
        <v>4077.989990234375</v>
      </c>
      <c r="N9" s="74">
        <v>5840.720703125</v>
      </c>
      <c r="O9" s="75"/>
      <c r="P9" s="76"/>
      <c r="Q9" s="76"/>
      <c r="R9" s="88"/>
      <c r="S9" s="49">
        <v>21</v>
      </c>
      <c r="T9" s="49">
        <v>2</v>
      </c>
      <c r="U9" s="50">
        <v>204</v>
      </c>
      <c r="V9" s="50">
        <v>4.1667000000000003E-2</v>
      </c>
      <c r="W9" s="50">
        <v>1.5999999999999999E-5</v>
      </c>
      <c r="X9" s="50">
        <v>5.1133199999999999</v>
      </c>
      <c r="Y9" s="50">
        <v>5.4112554112554112E-2</v>
      </c>
      <c r="Z9" s="50">
        <v>4.5454545454545456E-2</v>
      </c>
      <c r="AA9" s="71">
        <v>9</v>
      </c>
      <c r="AB9"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9" s="72"/>
      <c r="AD9" s="79" t="s">
        <v>987</v>
      </c>
      <c r="AE9" s="85" t="s">
        <v>1107</v>
      </c>
      <c r="AF9" s="79">
        <v>705</v>
      </c>
      <c r="AG9" s="79">
        <v>583</v>
      </c>
      <c r="AH9" s="79">
        <v>969</v>
      </c>
      <c r="AI9" s="79">
        <v>1966</v>
      </c>
      <c r="AJ9" s="79"/>
      <c r="AK9" s="79" t="s">
        <v>1224</v>
      </c>
      <c r="AL9" s="79" t="s">
        <v>1326</v>
      </c>
      <c r="AM9" s="83" t="str">
        <f>HYPERLINK("https://t.co/WcuxtjA80W")</f>
        <v>https://t.co/WcuxtjA80W</v>
      </c>
      <c r="AN9" s="79"/>
      <c r="AO9" s="81">
        <v>41180.873506944445</v>
      </c>
      <c r="AP9" s="83" t="str">
        <f>HYPERLINK("https://pbs.twimg.com/profile_banners/851732876/1601927073")</f>
        <v>https://pbs.twimg.com/profile_banners/851732876/1601927073</v>
      </c>
      <c r="AQ9" s="79" t="b">
        <v>1</v>
      </c>
      <c r="AR9" s="79" t="b">
        <v>0</v>
      </c>
      <c r="AS9" s="79" t="b">
        <v>0</v>
      </c>
      <c r="AT9" s="79"/>
      <c r="AU9" s="79">
        <v>6</v>
      </c>
      <c r="AV9" s="83" t="str">
        <f>HYPERLINK("https://abs.twimg.com/images/themes/theme1/bg.png")</f>
        <v>https://abs.twimg.com/images/themes/theme1/bg.png</v>
      </c>
      <c r="AW9" s="79" t="b">
        <v>0</v>
      </c>
      <c r="AX9" s="79" t="s">
        <v>1376</v>
      </c>
      <c r="AY9" s="83" t="str">
        <f>HYPERLINK("https://twitter.com/mcnairunc")</f>
        <v>https://twitter.com/mcnairunc</v>
      </c>
      <c r="AZ9" s="79" t="s">
        <v>66</v>
      </c>
      <c r="BA9" s="78" t="str">
        <f>REPLACE(INDEX(GroupVertices[Group], MATCH(Vertices[[#This Row],[Vertex]],GroupVertices[Vertex],0)),1,1,"")</f>
        <v>2</v>
      </c>
      <c r="BB9" s="49" t="s">
        <v>1582</v>
      </c>
      <c r="BC9" s="49" t="s">
        <v>1582</v>
      </c>
      <c r="BD9" s="49" t="s">
        <v>449</v>
      </c>
      <c r="BE9" s="49" t="s">
        <v>449</v>
      </c>
      <c r="BF9" s="49" t="s">
        <v>461</v>
      </c>
      <c r="BG9" s="49" t="s">
        <v>461</v>
      </c>
      <c r="BH9" s="137" t="s">
        <v>1997</v>
      </c>
      <c r="BI9" s="137" t="s">
        <v>1997</v>
      </c>
      <c r="BJ9" s="137" t="s">
        <v>2052</v>
      </c>
      <c r="BK9" s="137" t="s">
        <v>2052</v>
      </c>
      <c r="BL9" s="2"/>
      <c r="BM9" s="3"/>
      <c r="BN9" s="3"/>
      <c r="BO9" s="3"/>
      <c r="BP9" s="3"/>
    </row>
    <row r="10" spans="1:68" x14ac:dyDescent="0.25">
      <c r="A10" s="64" t="s">
        <v>304</v>
      </c>
      <c r="B10" s="65"/>
      <c r="C10" s="65"/>
      <c r="D10" s="66">
        <v>141.93548387096774</v>
      </c>
      <c r="E10" s="104"/>
      <c r="F10" s="96" t="str">
        <f>HYPERLINK("https://pbs.twimg.com/profile_images/1187465913513078784/J0m17IHd_normal.jpg")</f>
        <v>https://pbs.twimg.com/profile_images/1187465913513078784/J0m17IHd_normal.jpg</v>
      </c>
      <c r="G10" s="105"/>
      <c r="H10" s="69" t="s">
        <v>304</v>
      </c>
      <c r="I10" s="70"/>
      <c r="J10" s="106"/>
      <c r="K10" s="69" t="s">
        <v>1397</v>
      </c>
      <c r="L10" s="107">
        <v>623.82275661495794</v>
      </c>
      <c r="M10" s="74">
        <v>958.882568359375</v>
      </c>
      <c r="N10" s="74">
        <v>6281.80615234375</v>
      </c>
      <c r="O10" s="75"/>
      <c r="P10" s="76"/>
      <c r="Q10" s="76"/>
      <c r="R10" s="88"/>
      <c r="S10" s="49">
        <v>10</v>
      </c>
      <c r="T10" s="49">
        <v>0</v>
      </c>
      <c r="U10" s="50">
        <v>168</v>
      </c>
      <c r="V10" s="50">
        <v>8.0000000000000002E-3</v>
      </c>
      <c r="W10" s="50">
        <v>3.2274999999999998E-2</v>
      </c>
      <c r="X10" s="50">
        <v>2.6791559999999999</v>
      </c>
      <c r="Y10" s="50">
        <v>8.8888888888888892E-2</v>
      </c>
      <c r="Z10" s="50">
        <v>0</v>
      </c>
      <c r="AA10" s="71">
        <v>10</v>
      </c>
      <c r="AB10"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0" s="72"/>
      <c r="AD10" s="79" t="s">
        <v>974</v>
      </c>
      <c r="AE10" s="85" t="s">
        <v>1095</v>
      </c>
      <c r="AF10" s="79">
        <v>2810</v>
      </c>
      <c r="AG10" s="79">
        <v>44769</v>
      </c>
      <c r="AH10" s="79">
        <v>9357</v>
      </c>
      <c r="AI10" s="79">
        <v>1616</v>
      </c>
      <c r="AJ10" s="79"/>
      <c r="AK10" s="79" t="s">
        <v>1211</v>
      </c>
      <c r="AL10" s="79" t="s">
        <v>1319</v>
      </c>
      <c r="AM10" s="83" t="str">
        <f>HYPERLINK("https://t.co/ebeaMlGO5t")</f>
        <v>https://t.co/ebeaMlGO5t</v>
      </c>
      <c r="AN10" s="79"/>
      <c r="AO10" s="81">
        <v>39875.835381944446</v>
      </c>
      <c r="AP10" s="83" t="str">
        <f>HYPERLINK("https://pbs.twimg.com/profile_banners/22669526/1554391426")</f>
        <v>https://pbs.twimg.com/profile_banners/22669526/1554391426</v>
      </c>
      <c r="AQ10" s="79" t="b">
        <v>0</v>
      </c>
      <c r="AR10" s="79" t="b">
        <v>0</v>
      </c>
      <c r="AS10" s="79" t="b">
        <v>1</v>
      </c>
      <c r="AT10" s="79"/>
      <c r="AU10" s="79">
        <v>1553</v>
      </c>
      <c r="AV10" s="83" t="str">
        <f>HYPERLINK("https://abs.twimg.com/images/themes/theme1/bg.png")</f>
        <v>https://abs.twimg.com/images/themes/theme1/bg.png</v>
      </c>
      <c r="AW10" s="79" t="b">
        <v>1</v>
      </c>
      <c r="AX10" s="79" t="s">
        <v>1376</v>
      </c>
      <c r="AY10" s="83" t="str">
        <f>HYPERLINK("https://twitter.com/repgwenmoore")</f>
        <v>https://twitter.com/repgwenmoore</v>
      </c>
      <c r="AZ10" s="79" t="s">
        <v>65</v>
      </c>
      <c r="BA10" s="78" t="str">
        <f>REPLACE(INDEX(GroupVertices[Group], MATCH(Vertices[[#This Row],[Vertex]],GroupVertices[Vertex],0)),1,1,"")</f>
        <v>1</v>
      </c>
      <c r="BB10" s="49"/>
      <c r="BC10" s="49"/>
      <c r="BD10" s="49"/>
      <c r="BE10" s="49"/>
      <c r="BF10" s="49"/>
      <c r="BG10" s="49"/>
      <c r="BH10" s="49"/>
      <c r="BI10" s="49"/>
      <c r="BJ10" s="49"/>
      <c r="BK10" s="49"/>
      <c r="BL10" s="2"/>
      <c r="BM10" s="3"/>
      <c r="BN10" s="3"/>
      <c r="BO10" s="3"/>
      <c r="BP10" s="3"/>
    </row>
    <row r="11" spans="1:68" x14ac:dyDescent="0.25">
      <c r="A11" s="64" t="s">
        <v>267</v>
      </c>
      <c r="B11" s="65"/>
      <c r="C11" s="65"/>
      <c r="D11" s="66">
        <v>106.87903225806451</v>
      </c>
      <c r="E11" s="104"/>
      <c r="F11" s="96" t="str">
        <f>HYPERLINK("https://pbs.twimg.com/profile_images/1398299805156360194/2uVusLCs_normal.jpg")</f>
        <v>https://pbs.twimg.com/profile_images/1398299805156360194/2uVusLCs_normal.jpg</v>
      </c>
      <c r="G11" s="105"/>
      <c r="H11" s="69" t="s">
        <v>267</v>
      </c>
      <c r="I11" s="70"/>
      <c r="J11" s="106"/>
      <c r="K11" s="69" t="s">
        <v>1458</v>
      </c>
      <c r="L11" s="107">
        <v>444.7612140881576</v>
      </c>
      <c r="M11" s="74">
        <v>4251.59521484375</v>
      </c>
      <c r="N11" s="74">
        <v>1213.138916015625</v>
      </c>
      <c r="O11" s="75"/>
      <c r="P11" s="76"/>
      <c r="Q11" s="76"/>
      <c r="R11" s="88"/>
      <c r="S11" s="49">
        <v>0</v>
      </c>
      <c r="T11" s="49">
        <v>7</v>
      </c>
      <c r="U11" s="50">
        <v>119.7</v>
      </c>
      <c r="V11" s="50">
        <v>8.0000000000000002E-3</v>
      </c>
      <c r="W11" s="50">
        <v>2.9249000000000001E-2</v>
      </c>
      <c r="X11" s="50">
        <v>1.379678</v>
      </c>
      <c r="Y11" s="50">
        <v>0.14285714285714285</v>
      </c>
      <c r="Z11" s="50">
        <v>0</v>
      </c>
      <c r="AA11" s="71">
        <v>11</v>
      </c>
      <c r="AB11"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1" s="72"/>
      <c r="AD11" s="79" t="s">
        <v>1035</v>
      </c>
      <c r="AE11" s="85" t="s">
        <v>1153</v>
      </c>
      <c r="AF11" s="79">
        <v>2428</v>
      </c>
      <c r="AG11" s="79">
        <v>1733</v>
      </c>
      <c r="AH11" s="79">
        <v>15883</v>
      </c>
      <c r="AI11" s="79">
        <v>1414</v>
      </c>
      <c r="AJ11" s="79"/>
      <c r="AK11" s="79" t="s">
        <v>1271</v>
      </c>
      <c r="AL11" s="79" t="s">
        <v>1357</v>
      </c>
      <c r="AM11" s="83" t="str">
        <f>HYPERLINK("https://t.co/tDkicWS67o")</f>
        <v>https://t.co/tDkicWS67o</v>
      </c>
      <c r="AN11" s="79"/>
      <c r="AO11" s="81">
        <v>41171.121053240742</v>
      </c>
      <c r="AP11" s="83" t="str">
        <f>HYPERLINK("https://pbs.twimg.com/profile_banners/832408862/1560202823")</f>
        <v>https://pbs.twimg.com/profile_banners/832408862/1560202823</v>
      </c>
      <c r="AQ11" s="79" t="b">
        <v>1</v>
      </c>
      <c r="AR11" s="79" t="b">
        <v>0</v>
      </c>
      <c r="AS11" s="79" t="b">
        <v>1</v>
      </c>
      <c r="AT11" s="79"/>
      <c r="AU11" s="79">
        <v>29</v>
      </c>
      <c r="AV11" s="83" t="str">
        <f>HYPERLINK("https://abs.twimg.com/images/themes/theme1/bg.png")</f>
        <v>https://abs.twimg.com/images/themes/theme1/bg.png</v>
      </c>
      <c r="AW11" s="79" t="b">
        <v>0</v>
      </c>
      <c r="AX11" s="79" t="s">
        <v>1376</v>
      </c>
      <c r="AY11" s="83" t="str">
        <f>HYPERLINK("https://twitter.com/ms_tabu")</f>
        <v>https://twitter.com/ms_tabu</v>
      </c>
      <c r="AZ11" s="79" t="s">
        <v>66</v>
      </c>
      <c r="BA11" s="78" t="str">
        <f>REPLACE(INDEX(GroupVertices[Group], MATCH(Vertices[[#This Row],[Vertex]],GroupVertices[Vertex],0)),1,1,"")</f>
        <v>3</v>
      </c>
      <c r="BB11" s="49" t="s">
        <v>1958</v>
      </c>
      <c r="BC11" s="49" t="s">
        <v>1958</v>
      </c>
      <c r="BD11" s="49" t="s">
        <v>450</v>
      </c>
      <c r="BE11" s="49" t="s">
        <v>450</v>
      </c>
      <c r="BF11" s="49" t="s">
        <v>1703</v>
      </c>
      <c r="BG11" s="49" t="s">
        <v>478</v>
      </c>
      <c r="BH11" s="137" t="s">
        <v>1998</v>
      </c>
      <c r="BI11" s="137" t="s">
        <v>2034</v>
      </c>
      <c r="BJ11" s="137" t="s">
        <v>2053</v>
      </c>
      <c r="BK11" s="137" t="s">
        <v>2084</v>
      </c>
      <c r="BL11" s="2"/>
      <c r="BM11" s="3"/>
      <c r="BN11" s="3"/>
      <c r="BO11" s="3"/>
      <c r="BP11" s="3"/>
    </row>
    <row r="12" spans="1:68" x14ac:dyDescent="0.25">
      <c r="A12" s="64" t="s">
        <v>265</v>
      </c>
      <c r="B12" s="65"/>
      <c r="C12" s="65"/>
      <c r="D12" s="66">
        <v>106.87903225806451</v>
      </c>
      <c r="E12" s="104"/>
      <c r="F12" s="96" t="str">
        <f>HYPERLINK("https://pbs.twimg.com/profile_images/1398298053833117700/ZMmu-5py_normal.jpg")</f>
        <v>https://pbs.twimg.com/profile_images/1398298053833117700/ZMmu-5py_normal.jpg</v>
      </c>
      <c r="G12" s="105"/>
      <c r="H12" s="69" t="s">
        <v>265</v>
      </c>
      <c r="I12" s="70"/>
      <c r="J12" s="106"/>
      <c r="K12" s="69" t="s">
        <v>1450</v>
      </c>
      <c r="L12" s="107">
        <v>444.7612140881576</v>
      </c>
      <c r="M12" s="74">
        <v>3300.969482421875</v>
      </c>
      <c r="N12" s="74">
        <v>1052.6884765625</v>
      </c>
      <c r="O12" s="75"/>
      <c r="P12" s="76"/>
      <c r="Q12" s="76"/>
      <c r="R12" s="88"/>
      <c r="S12" s="49">
        <v>0</v>
      </c>
      <c r="T12" s="49">
        <v>7</v>
      </c>
      <c r="U12" s="50">
        <v>119.7</v>
      </c>
      <c r="V12" s="50">
        <v>8.0000000000000002E-3</v>
      </c>
      <c r="W12" s="50">
        <v>2.9249000000000001E-2</v>
      </c>
      <c r="X12" s="50">
        <v>1.379678</v>
      </c>
      <c r="Y12" s="50">
        <v>0.14285714285714285</v>
      </c>
      <c r="Z12" s="50">
        <v>0</v>
      </c>
      <c r="AA12" s="71">
        <v>12</v>
      </c>
      <c r="AB12"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2" s="72"/>
      <c r="AD12" s="79" t="s">
        <v>1027</v>
      </c>
      <c r="AE12" s="85" t="s">
        <v>1146</v>
      </c>
      <c r="AF12" s="79">
        <v>162</v>
      </c>
      <c r="AG12" s="79">
        <v>41</v>
      </c>
      <c r="AH12" s="79">
        <v>819</v>
      </c>
      <c r="AI12" s="79">
        <v>75</v>
      </c>
      <c r="AJ12" s="79"/>
      <c r="AK12" s="79" t="s">
        <v>1263</v>
      </c>
      <c r="AL12" s="79" t="s">
        <v>1352</v>
      </c>
      <c r="AM12" s="83" t="str">
        <f>HYPERLINK("https://t.co/l2GchY9Fqj")</f>
        <v>https://t.co/l2GchY9Fqj</v>
      </c>
      <c r="AN12" s="79"/>
      <c r="AO12" s="81">
        <v>43528.698136574072</v>
      </c>
      <c r="AP12" s="83" t="str">
        <f>HYPERLINK("https://pbs.twimg.com/profile_banners/1102610984894676993/1551718288")</f>
        <v>https://pbs.twimg.com/profile_banners/1102610984894676993/1551718288</v>
      </c>
      <c r="AQ12" s="79" t="b">
        <v>1</v>
      </c>
      <c r="AR12" s="79" t="b">
        <v>0</v>
      </c>
      <c r="AS12" s="79" t="b">
        <v>1</v>
      </c>
      <c r="AT12" s="79"/>
      <c r="AU12" s="79">
        <v>2</v>
      </c>
      <c r="AV12" s="79"/>
      <c r="AW12" s="79" t="b">
        <v>0</v>
      </c>
      <c r="AX12" s="79" t="s">
        <v>1376</v>
      </c>
      <c r="AY12" s="83" t="str">
        <f>HYPERLINK("https://twitter.com/tabuwinslow")</f>
        <v>https://twitter.com/tabuwinslow</v>
      </c>
      <c r="AZ12" s="79" t="s">
        <v>66</v>
      </c>
      <c r="BA12" s="78" t="str">
        <f>REPLACE(INDEX(GroupVertices[Group], MATCH(Vertices[[#This Row],[Vertex]],GroupVertices[Vertex],0)),1,1,"")</f>
        <v>3</v>
      </c>
      <c r="BB12" s="49" t="s">
        <v>1583</v>
      </c>
      <c r="BC12" s="49" t="s">
        <v>1583</v>
      </c>
      <c r="BD12" s="49" t="s">
        <v>450</v>
      </c>
      <c r="BE12" s="49" t="s">
        <v>450</v>
      </c>
      <c r="BF12" s="49" t="s">
        <v>1703</v>
      </c>
      <c r="BG12" s="49" t="s">
        <v>478</v>
      </c>
      <c r="BH12" s="137" t="s">
        <v>1999</v>
      </c>
      <c r="BI12" s="137" t="s">
        <v>2035</v>
      </c>
      <c r="BJ12" s="137" t="s">
        <v>2054</v>
      </c>
      <c r="BK12" s="137" t="s">
        <v>2085</v>
      </c>
      <c r="BL12" s="2"/>
      <c r="BM12" s="3"/>
      <c r="BN12" s="3"/>
      <c r="BO12" s="3"/>
      <c r="BP12" s="3"/>
    </row>
    <row r="13" spans="1:68" x14ac:dyDescent="0.25">
      <c r="A13" s="64" t="s">
        <v>266</v>
      </c>
      <c r="B13" s="65"/>
      <c r="C13" s="65"/>
      <c r="D13" s="66">
        <v>106.87903225806451</v>
      </c>
      <c r="E13" s="104"/>
      <c r="F13" s="96" t="str">
        <f>HYPERLINK("https://pbs.twimg.com/profile_images/1398299173980717058/eP4MPD6g_normal.jpg")</f>
        <v>https://pbs.twimg.com/profile_images/1398299173980717058/eP4MPD6g_normal.jpg</v>
      </c>
      <c r="G13" s="105"/>
      <c r="H13" s="69" t="s">
        <v>266</v>
      </c>
      <c r="I13" s="70"/>
      <c r="J13" s="106"/>
      <c r="K13" s="69" t="s">
        <v>1457</v>
      </c>
      <c r="L13" s="107">
        <v>444.7612140881576</v>
      </c>
      <c r="M13" s="74">
        <v>3958.7880859375</v>
      </c>
      <c r="N13" s="74">
        <v>1464.0284423828125</v>
      </c>
      <c r="O13" s="75"/>
      <c r="P13" s="76"/>
      <c r="Q13" s="76"/>
      <c r="R13" s="88"/>
      <c r="S13" s="49">
        <v>0</v>
      </c>
      <c r="T13" s="49">
        <v>7</v>
      </c>
      <c r="U13" s="50">
        <v>119.7</v>
      </c>
      <c r="V13" s="50">
        <v>8.0000000000000002E-3</v>
      </c>
      <c r="W13" s="50">
        <v>2.9249000000000001E-2</v>
      </c>
      <c r="X13" s="50">
        <v>1.379678</v>
      </c>
      <c r="Y13" s="50">
        <v>0.14285714285714285</v>
      </c>
      <c r="Z13" s="50">
        <v>0</v>
      </c>
      <c r="AA13" s="71">
        <v>13</v>
      </c>
      <c r="AB13"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3" s="72"/>
      <c r="AD13" s="79" t="s">
        <v>1034</v>
      </c>
      <c r="AE13" s="85" t="s">
        <v>1152</v>
      </c>
      <c r="AF13" s="79">
        <v>84</v>
      </c>
      <c r="AG13" s="79">
        <v>10</v>
      </c>
      <c r="AH13" s="79">
        <v>775</v>
      </c>
      <c r="AI13" s="79">
        <v>90</v>
      </c>
      <c r="AJ13" s="79"/>
      <c r="AK13" s="79" t="s">
        <v>1270</v>
      </c>
      <c r="AL13" s="79" t="s">
        <v>1352</v>
      </c>
      <c r="AM13" s="83" t="str">
        <f>HYPERLINK("https://t.co/6AATIG4hc1")</f>
        <v>https://t.co/6AATIG4hc1</v>
      </c>
      <c r="AN13" s="79"/>
      <c r="AO13" s="81">
        <v>43528.703611111108</v>
      </c>
      <c r="AP13" s="83" t="str">
        <f>HYPERLINK("https://pbs.twimg.com/profile_banners/1102612970574614533/1551718883")</f>
        <v>https://pbs.twimg.com/profile_banners/1102612970574614533/1551718883</v>
      </c>
      <c r="AQ13" s="79" t="b">
        <v>1</v>
      </c>
      <c r="AR13" s="79" t="b">
        <v>0</v>
      </c>
      <c r="AS13" s="79" t="b">
        <v>1</v>
      </c>
      <c r="AT13" s="79"/>
      <c r="AU13" s="79">
        <v>0</v>
      </c>
      <c r="AV13" s="79"/>
      <c r="AW13" s="79" t="b">
        <v>0</v>
      </c>
      <c r="AX13" s="79" t="s">
        <v>1376</v>
      </c>
      <c r="AY13" s="83" t="str">
        <f>HYPERLINK("https://twitter.com/letsplayballan1")</f>
        <v>https://twitter.com/letsplayballan1</v>
      </c>
      <c r="AZ13" s="79" t="s">
        <v>66</v>
      </c>
      <c r="BA13" s="78" t="str">
        <f>REPLACE(INDEX(GroupVertices[Group], MATCH(Vertices[[#This Row],[Vertex]],GroupVertices[Vertex],0)),1,1,"")</f>
        <v>3</v>
      </c>
      <c r="BB13" s="49" t="s">
        <v>1583</v>
      </c>
      <c r="BC13" s="49" t="s">
        <v>1583</v>
      </c>
      <c r="BD13" s="49" t="s">
        <v>450</v>
      </c>
      <c r="BE13" s="49" t="s">
        <v>450</v>
      </c>
      <c r="BF13" s="49" t="s">
        <v>1703</v>
      </c>
      <c r="BG13" s="49" t="s">
        <v>478</v>
      </c>
      <c r="BH13" s="137" t="s">
        <v>1999</v>
      </c>
      <c r="BI13" s="137" t="s">
        <v>2035</v>
      </c>
      <c r="BJ13" s="137" t="s">
        <v>2054</v>
      </c>
      <c r="BK13" s="137" t="s">
        <v>2085</v>
      </c>
      <c r="BL13" s="2"/>
      <c r="BM13" s="3"/>
      <c r="BN13" s="3"/>
      <c r="BO13" s="3"/>
      <c r="BP13" s="3"/>
    </row>
    <row r="14" spans="1:68" x14ac:dyDescent="0.25">
      <c r="A14" s="64" t="s">
        <v>298</v>
      </c>
      <c r="B14" s="65"/>
      <c r="C14" s="65"/>
      <c r="D14" s="66">
        <v>104.19354838709677</v>
      </c>
      <c r="E14" s="104"/>
      <c r="F14" s="96" t="str">
        <f>HYPERLINK("https://pbs.twimg.com/profile_images/1418655417224286225/mBNllP6d_normal.jpg")</f>
        <v>https://pbs.twimg.com/profile_images/1418655417224286225/mBNllP6d_normal.jpg</v>
      </c>
      <c r="G14" s="105"/>
      <c r="H14" s="69" t="s">
        <v>298</v>
      </c>
      <c r="I14" s="70"/>
      <c r="J14" s="106"/>
      <c r="K14" s="69" t="s">
        <v>1407</v>
      </c>
      <c r="L14" s="107">
        <v>431.04428432937573</v>
      </c>
      <c r="M14" s="74">
        <v>1495.7103271484375</v>
      </c>
      <c r="N14" s="74">
        <v>4745.37744140625</v>
      </c>
      <c r="O14" s="75"/>
      <c r="P14" s="76"/>
      <c r="Q14" s="76"/>
      <c r="R14" s="88"/>
      <c r="S14" s="49">
        <v>15</v>
      </c>
      <c r="T14" s="49">
        <v>1</v>
      </c>
      <c r="U14" s="50">
        <v>116</v>
      </c>
      <c r="V14" s="50">
        <v>8.1300000000000001E-3</v>
      </c>
      <c r="W14" s="50">
        <v>5.1551E-2</v>
      </c>
      <c r="X14" s="50">
        <v>3.6676769999999999</v>
      </c>
      <c r="Y14" s="50">
        <v>8.0952380952380956E-2</v>
      </c>
      <c r="Z14" s="50">
        <v>6.6666666666666666E-2</v>
      </c>
      <c r="AA14" s="71">
        <v>14</v>
      </c>
      <c r="AB14"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4" s="72"/>
      <c r="AD14" s="79" t="s">
        <v>984</v>
      </c>
      <c r="AE14" s="85" t="s">
        <v>1104</v>
      </c>
      <c r="AF14" s="79">
        <v>20</v>
      </c>
      <c r="AG14" s="79">
        <v>51216</v>
      </c>
      <c r="AH14" s="79">
        <v>782</v>
      </c>
      <c r="AI14" s="79">
        <v>47</v>
      </c>
      <c r="AJ14" s="79"/>
      <c r="AK14" s="79" t="s">
        <v>1221</v>
      </c>
      <c r="AL14" s="79" t="s">
        <v>1324</v>
      </c>
      <c r="AM14" s="83" t="str">
        <f>HYPERLINK("https://t.co/jeILiayL97")</f>
        <v>https://t.co/jeILiayL97</v>
      </c>
      <c r="AN14" s="79"/>
      <c r="AO14" s="81">
        <v>44250.711967592593</v>
      </c>
      <c r="AP14" s="83" t="str">
        <f>HYPERLINK("https://pbs.twimg.com/profile_banners/1364259892299767810/1614640602")</f>
        <v>https://pbs.twimg.com/profile_banners/1364259892299767810/1614640602</v>
      </c>
      <c r="AQ14" s="79" t="b">
        <v>1</v>
      </c>
      <c r="AR14" s="79" t="b">
        <v>0</v>
      </c>
      <c r="AS14" s="79" t="b">
        <v>0</v>
      </c>
      <c r="AT14" s="79"/>
      <c r="AU14" s="79">
        <v>338</v>
      </c>
      <c r="AV14" s="79"/>
      <c r="AW14" s="79" t="b">
        <v>1</v>
      </c>
      <c r="AX14" s="79" t="s">
        <v>1376</v>
      </c>
      <c r="AY14" s="83" t="str">
        <f>HYPERLINK("https://twitter.com/seccardona")</f>
        <v>https://twitter.com/seccardona</v>
      </c>
      <c r="AZ14" s="79" t="s">
        <v>66</v>
      </c>
      <c r="BA14" s="78" t="str">
        <f>REPLACE(INDEX(GroupVertices[Group], MATCH(Vertices[[#This Row],[Vertex]],GroupVertices[Vertex],0)),1,1,"")</f>
        <v>1</v>
      </c>
      <c r="BB14" s="49"/>
      <c r="BC14" s="49"/>
      <c r="BD14" s="49"/>
      <c r="BE14" s="49"/>
      <c r="BF14" s="49" t="s">
        <v>461</v>
      </c>
      <c r="BG14" s="49" t="s">
        <v>461</v>
      </c>
      <c r="BH14" s="137" t="s">
        <v>2000</v>
      </c>
      <c r="BI14" s="137" t="s">
        <v>2000</v>
      </c>
      <c r="BJ14" s="137" t="s">
        <v>2055</v>
      </c>
      <c r="BK14" s="137" t="s">
        <v>2055</v>
      </c>
      <c r="BL14" s="2"/>
      <c r="BM14" s="3"/>
      <c r="BN14" s="3"/>
      <c r="BO14" s="3"/>
      <c r="BP14" s="3"/>
    </row>
    <row r="15" spans="1:68" x14ac:dyDescent="0.25">
      <c r="A15" s="64" t="s">
        <v>299</v>
      </c>
      <c r="B15" s="65"/>
      <c r="C15" s="65"/>
      <c r="D15" s="66">
        <v>102.01612903225806</v>
      </c>
      <c r="E15" s="104"/>
      <c r="F15" s="96" t="str">
        <f>HYPERLINK("https://pbs.twimg.com/profile_images/1323297412480262144/loo-7mMs_normal.jpg")</f>
        <v>https://pbs.twimg.com/profile_images/1323297412480262144/loo-7mMs_normal.jpg</v>
      </c>
      <c r="G15" s="105"/>
      <c r="H15" s="69" t="s">
        <v>299</v>
      </c>
      <c r="I15" s="70"/>
      <c r="J15" s="106"/>
      <c r="K15" s="69" t="s">
        <v>1495</v>
      </c>
      <c r="L15" s="107">
        <v>419.92244938982293</v>
      </c>
      <c r="M15" s="74">
        <v>1832.4981689453125</v>
      </c>
      <c r="N15" s="74">
        <v>4180.16455078125</v>
      </c>
      <c r="O15" s="75"/>
      <c r="P15" s="76"/>
      <c r="Q15" s="76"/>
      <c r="R15" s="88"/>
      <c r="S15" s="49">
        <v>2</v>
      </c>
      <c r="T15" s="49">
        <v>5</v>
      </c>
      <c r="U15" s="50">
        <v>113</v>
      </c>
      <c r="V15" s="50">
        <v>7.4070000000000004E-3</v>
      </c>
      <c r="W15" s="50">
        <v>2.6105E-2</v>
      </c>
      <c r="X15" s="50">
        <v>1.371081</v>
      </c>
      <c r="Y15" s="50">
        <v>0.25</v>
      </c>
      <c r="Z15" s="50">
        <v>0.25</v>
      </c>
      <c r="AA15" s="71">
        <v>15</v>
      </c>
      <c r="AB15"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5" s="72"/>
      <c r="AD15" s="79" t="s">
        <v>1072</v>
      </c>
      <c r="AE15" s="85" t="s">
        <v>1188</v>
      </c>
      <c r="AF15" s="79">
        <v>56</v>
      </c>
      <c r="AG15" s="79">
        <v>16</v>
      </c>
      <c r="AH15" s="79">
        <v>112</v>
      </c>
      <c r="AI15" s="79">
        <v>42</v>
      </c>
      <c r="AJ15" s="79"/>
      <c r="AK15" s="79" t="s">
        <v>1305</v>
      </c>
      <c r="AL15" s="79"/>
      <c r="AM15" s="79"/>
      <c r="AN15" s="79"/>
      <c r="AO15" s="81">
        <v>44137.676365740743</v>
      </c>
      <c r="AP15" s="83" t="str">
        <f>HYPERLINK("https://pbs.twimg.com/profile_banners/1323297259220393984/1604334422")</f>
        <v>https://pbs.twimg.com/profile_banners/1323297259220393984/1604334422</v>
      </c>
      <c r="AQ15" s="79" t="b">
        <v>1</v>
      </c>
      <c r="AR15" s="79" t="b">
        <v>0</v>
      </c>
      <c r="AS15" s="79" t="b">
        <v>1</v>
      </c>
      <c r="AT15" s="79"/>
      <c r="AU15" s="79">
        <v>0</v>
      </c>
      <c r="AV15" s="79"/>
      <c r="AW15" s="79" t="b">
        <v>0</v>
      </c>
      <c r="AX15" s="79" t="s">
        <v>1376</v>
      </c>
      <c r="AY15" s="83" t="str">
        <f>HYPERLINK("https://twitter.com/mycencalwestop")</f>
        <v>https://twitter.com/mycencalwestop</v>
      </c>
      <c r="AZ15" s="79" t="s">
        <v>66</v>
      </c>
      <c r="BA15" s="78" t="str">
        <f>REPLACE(INDEX(GroupVertices[Group], MATCH(Vertices[[#This Row],[Vertex]],GroupVertices[Vertex],0)),1,1,"")</f>
        <v>1</v>
      </c>
      <c r="BB15" s="49" t="s">
        <v>1959</v>
      </c>
      <c r="BC15" s="49" t="s">
        <v>1959</v>
      </c>
      <c r="BD15" s="49" t="s">
        <v>1965</v>
      </c>
      <c r="BE15" s="49" t="s">
        <v>1965</v>
      </c>
      <c r="BF15" s="49" t="s">
        <v>1972</v>
      </c>
      <c r="BG15" s="49" t="s">
        <v>1981</v>
      </c>
      <c r="BH15" s="137" t="s">
        <v>2001</v>
      </c>
      <c r="BI15" s="137" t="s">
        <v>2036</v>
      </c>
      <c r="BJ15" s="137" t="s">
        <v>2056</v>
      </c>
      <c r="BK15" s="137" t="s">
        <v>2086</v>
      </c>
      <c r="BL15" s="2"/>
      <c r="BM15" s="3"/>
      <c r="BN15" s="3"/>
      <c r="BO15" s="3"/>
      <c r="BP15" s="3"/>
    </row>
    <row r="16" spans="1:68" x14ac:dyDescent="0.25">
      <c r="A16" s="64" t="s">
        <v>234</v>
      </c>
      <c r="B16" s="65"/>
      <c r="C16" s="65"/>
      <c r="D16" s="66">
        <v>101.29032258064517</v>
      </c>
      <c r="E16" s="104"/>
      <c r="F16" s="96" t="str">
        <f>HYPERLINK("https://pbs.twimg.com/profile_images/1136769916797894659/ulKj-lUX_normal.jpg")</f>
        <v>https://pbs.twimg.com/profile_images/1136769916797894659/ulKj-lUX_normal.jpg</v>
      </c>
      <c r="G16" s="105"/>
      <c r="H16" s="69" t="s">
        <v>234</v>
      </c>
      <c r="I16" s="70"/>
      <c r="J16" s="106"/>
      <c r="K16" s="69" t="s">
        <v>1403</v>
      </c>
      <c r="L16" s="107">
        <v>416.21517107663863</v>
      </c>
      <c r="M16" s="74">
        <v>1006.5535278320313</v>
      </c>
      <c r="N16" s="74">
        <v>3669.576416015625</v>
      </c>
      <c r="O16" s="75"/>
      <c r="P16" s="76"/>
      <c r="Q16" s="76"/>
      <c r="R16" s="88"/>
      <c r="S16" s="49">
        <v>0</v>
      </c>
      <c r="T16" s="49">
        <v>4</v>
      </c>
      <c r="U16" s="50">
        <v>112</v>
      </c>
      <c r="V16" s="50">
        <v>7.4070000000000004E-3</v>
      </c>
      <c r="W16" s="50">
        <v>2.3987000000000001E-2</v>
      </c>
      <c r="X16" s="50">
        <v>1.104754</v>
      </c>
      <c r="Y16" s="50">
        <v>0.41666666666666669</v>
      </c>
      <c r="Z16" s="50">
        <v>0</v>
      </c>
      <c r="AA16" s="71">
        <v>16</v>
      </c>
      <c r="AB16"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6" s="72"/>
      <c r="AD16" s="79" t="s">
        <v>980</v>
      </c>
      <c r="AE16" s="85" t="s">
        <v>1101</v>
      </c>
      <c r="AF16" s="79">
        <v>60</v>
      </c>
      <c r="AG16" s="79">
        <v>23</v>
      </c>
      <c r="AH16" s="79">
        <v>265</v>
      </c>
      <c r="AI16" s="79">
        <v>51</v>
      </c>
      <c r="AJ16" s="79"/>
      <c r="AK16" s="79" t="s">
        <v>1217</v>
      </c>
      <c r="AL16" s="79" t="s">
        <v>1322</v>
      </c>
      <c r="AM16" s="83" t="str">
        <f>HYPERLINK("https://t.co/aw7JqyzcVA")</f>
        <v>https://t.co/aw7JqyzcVA</v>
      </c>
      <c r="AN16" s="79"/>
      <c r="AO16" s="81">
        <v>43622.957824074074</v>
      </c>
      <c r="AP16" s="83" t="str">
        <f>HYPERLINK("https://pbs.twimg.com/profile_banners/1136769554015772673/1559862920")</f>
        <v>https://pbs.twimg.com/profile_banners/1136769554015772673/1559862920</v>
      </c>
      <c r="AQ16" s="79" t="b">
        <v>1</v>
      </c>
      <c r="AR16" s="79" t="b">
        <v>0</v>
      </c>
      <c r="AS16" s="79" t="b">
        <v>0</v>
      </c>
      <c r="AT16" s="79"/>
      <c r="AU16" s="79">
        <v>0</v>
      </c>
      <c r="AV16" s="79"/>
      <c r="AW16" s="79" t="b">
        <v>0</v>
      </c>
      <c r="AX16" s="79" t="s">
        <v>1376</v>
      </c>
      <c r="AY16" s="83" t="str">
        <f>HYPERLINK("https://twitter.com/sssivytechfw")</f>
        <v>https://twitter.com/sssivytechfw</v>
      </c>
      <c r="AZ16" s="79" t="s">
        <v>66</v>
      </c>
      <c r="BA16" s="78" t="str">
        <f>REPLACE(INDEX(GroupVertices[Group], MATCH(Vertices[[#This Row],[Vertex]],GroupVertices[Vertex],0)),1,1,"")</f>
        <v>1</v>
      </c>
      <c r="BB16" s="49"/>
      <c r="BC16" s="49"/>
      <c r="BD16" s="49"/>
      <c r="BE16" s="49"/>
      <c r="BF16" s="49" t="s">
        <v>471</v>
      </c>
      <c r="BG16" s="49" t="s">
        <v>471</v>
      </c>
      <c r="BH16" s="137" t="s">
        <v>2002</v>
      </c>
      <c r="BI16" s="137" t="s">
        <v>2002</v>
      </c>
      <c r="BJ16" s="137" t="s">
        <v>2057</v>
      </c>
      <c r="BK16" s="137" t="s">
        <v>2057</v>
      </c>
      <c r="BL16" s="2"/>
      <c r="BM16" s="3"/>
      <c r="BN16" s="3"/>
      <c r="BO16" s="3"/>
      <c r="BP16" s="3"/>
    </row>
    <row r="17" spans="1:68" x14ac:dyDescent="0.25">
      <c r="A17" s="64" t="s">
        <v>261</v>
      </c>
      <c r="B17" s="65"/>
      <c r="C17" s="65"/>
      <c r="D17" s="66">
        <v>25.080645161290324</v>
      </c>
      <c r="E17" s="104"/>
      <c r="F17" s="96" t="str">
        <f>HYPERLINK("https://pbs.twimg.com/profile_images/1409551882087960582/EN_K-fIZ_normal.jpg")</f>
        <v>https://pbs.twimg.com/profile_images/1409551882087960582/EN_K-fIZ_normal.jpg</v>
      </c>
      <c r="G17" s="105"/>
      <c r="H17" s="69" t="s">
        <v>261</v>
      </c>
      <c r="I17" s="70"/>
      <c r="J17" s="106"/>
      <c r="K17" s="69" t="s">
        <v>1445</v>
      </c>
      <c r="L17" s="107">
        <v>26.950948192289914</v>
      </c>
      <c r="M17" s="74">
        <v>6114.9658203125</v>
      </c>
      <c r="N17" s="74">
        <v>3701.552490234375</v>
      </c>
      <c r="O17" s="75"/>
      <c r="P17" s="76"/>
      <c r="Q17" s="76"/>
      <c r="R17" s="88"/>
      <c r="S17" s="49">
        <v>2</v>
      </c>
      <c r="T17" s="49">
        <v>5</v>
      </c>
      <c r="U17" s="50">
        <v>7</v>
      </c>
      <c r="V17" s="50">
        <v>0.25</v>
      </c>
      <c r="W17" s="50">
        <v>0</v>
      </c>
      <c r="X17" s="50">
        <v>1.8421829999999999</v>
      </c>
      <c r="Y17" s="50">
        <v>0.16666666666666666</v>
      </c>
      <c r="Z17" s="50">
        <v>0.25</v>
      </c>
      <c r="AA17" s="71">
        <v>17</v>
      </c>
      <c r="AB17"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7" s="72"/>
      <c r="AD17" s="79" t="s">
        <v>1022</v>
      </c>
      <c r="AE17" s="85" t="s">
        <v>1141</v>
      </c>
      <c r="AF17" s="79">
        <v>137</v>
      </c>
      <c r="AG17" s="79">
        <v>61</v>
      </c>
      <c r="AH17" s="79">
        <v>202</v>
      </c>
      <c r="AI17" s="79">
        <v>142</v>
      </c>
      <c r="AJ17" s="79"/>
      <c r="AK17" s="79" t="s">
        <v>1258</v>
      </c>
      <c r="AL17" s="79" t="s">
        <v>1348</v>
      </c>
      <c r="AM17" s="83" t="str">
        <f>HYPERLINK("https://t.co/wZBoUnfRih")</f>
        <v>https://t.co/wZBoUnfRih</v>
      </c>
      <c r="AN17" s="79"/>
      <c r="AO17" s="81">
        <v>42299.786631944444</v>
      </c>
      <c r="AP17" s="83" t="str">
        <f>HYPERLINK("https://pbs.twimg.com/profile_banners/4018875568/1624898332")</f>
        <v>https://pbs.twimg.com/profile_banners/4018875568/1624898332</v>
      </c>
      <c r="AQ17" s="79" t="b">
        <v>0</v>
      </c>
      <c r="AR17" s="79" t="b">
        <v>0</v>
      </c>
      <c r="AS17" s="79" t="b">
        <v>0</v>
      </c>
      <c r="AT17" s="79"/>
      <c r="AU17" s="79">
        <v>0</v>
      </c>
      <c r="AV17" s="83" t="str">
        <f>HYPERLINK("https://abs.twimg.com/images/themes/theme15/bg.png")</f>
        <v>https://abs.twimg.com/images/themes/theme15/bg.png</v>
      </c>
      <c r="AW17" s="79" t="b">
        <v>0</v>
      </c>
      <c r="AX17" s="79" t="s">
        <v>1376</v>
      </c>
      <c r="AY17" s="83" t="str">
        <f>HYPERLINK("https://twitter.com/aeeetrio")</f>
        <v>https://twitter.com/aeeetrio</v>
      </c>
      <c r="AZ17" s="79" t="s">
        <v>66</v>
      </c>
      <c r="BA17" s="78" t="str">
        <f>REPLACE(INDEX(GroupVertices[Group], MATCH(Vertices[[#This Row],[Vertex]],GroupVertices[Vertex],0)),1,1,"")</f>
        <v>8</v>
      </c>
      <c r="BB17" s="49" t="s">
        <v>1614</v>
      </c>
      <c r="BC17" s="49" t="s">
        <v>1614</v>
      </c>
      <c r="BD17" s="49" t="s">
        <v>450</v>
      </c>
      <c r="BE17" s="49" t="s">
        <v>450</v>
      </c>
      <c r="BF17" s="49" t="s">
        <v>1973</v>
      </c>
      <c r="BG17" s="49" t="s">
        <v>1982</v>
      </c>
      <c r="BH17" s="137" t="s">
        <v>2003</v>
      </c>
      <c r="BI17" s="137" t="s">
        <v>2037</v>
      </c>
      <c r="BJ17" s="137" t="s">
        <v>2058</v>
      </c>
      <c r="BK17" s="137" t="s">
        <v>1888</v>
      </c>
      <c r="BL17" s="2"/>
      <c r="BM17" s="3"/>
      <c r="BN17" s="3"/>
      <c r="BO17" s="3"/>
      <c r="BP17" s="3"/>
    </row>
    <row r="18" spans="1:68" x14ac:dyDescent="0.25">
      <c r="A18" s="64" t="s">
        <v>285</v>
      </c>
      <c r="B18" s="65"/>
      <c r="C18" s="65"/>
      <c r="D18" s="66">
        <v>23.048387096774192</v>
      </c>
      <c r="E18" s="104"/>
      <c r="F18" s="96" t="str">
        <f>HYPERLINK("https://pbs.twimg.com/profile_images/1260893721773715457/YqP2DtuB_normal.jpg")</f>
        <v>https://pbs.twimg.com/profile_images/1260893721773715457/YqP2DtuB_normal.jpg</v>
      </c>
      <c r="G18" s="105"/>
      <c r="H18" s="69" t="s">
        <v>285</v>
      </c>
      <c r="I18" s="70"/>
      <c r="J18" s="106"/>
      <c r="K18" s="69" t="s">
        <v>1479</v>
      </c>
      <c r="L18" s="107">
        <v>16.570568915373947</v>
      </c>
      <c r="M18" s="74">
        <v>3256.670166015625</v>
      </c>
      <c r="N18" s="74">
        <v>807.74237060546875</v>
      </c>
      <c r="O18" s="75"/>
      <c r="P18" s="76"/>
      <c r="Q18" s="76"/>
      <c r="R18" s="88"/>
      <c r="S18" s="49">
        <v>0</v>
      </c>
      <c r="T18" s="49">
        <v>5</v>
      </c>
      <c r="U18" s="50">
        <v>4.2</v>
      </c>
      <c r="V18" s="50">
        <v>5.8139999999999997E-3</v>
      </c>
      <c r="W18" s="50">
        <v>1.2304000000000001E-2</v>
      </c>
      <c r="X18" s="50">
        <v>1.0362180000000001</v>
      </c>
      <c r="Y18" s="50">
        <v>0.2</v>
      </c>
      <c r="Z18" s="50">
        <v>0</v>
      </c>
      <c r="AA18" s="71">
        <v>18</v>
      </c>
      <c r="AB18"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8" s="72"/>
      <c r="AD18" s="79" t="s">
        <v>1056</v>
      </c>
      <c r="AE18" s="85" t="s">
        <v>1173</v>
      </c>
      <c r="AF18" s="79">
        <v>24</v>
      </c>
      <c r="AG18" s="79">
        <v>3</v>
      </c>
      <c r="AH18" s="79">
        <v>81</v>
      </c>
      <c r="AI18" s="79">
        <v>163</v>
      </c>
      <c r="AJ18" s="79"/>
      <c r="AK18" s="79" t="s">
        <v>1289</v>
      </c>
      <c r="AL18" s="79"/>
      <c r="AM18" s="79"/>
      <c r="AN18" s="79"/>
      <c r="AO18" s="81">
        <v>43965.472268518519</v>
      </c>
      <c r="AP18" s="79"/>
      <c r="AQ18" s="79" t="b">
        <v>1</v>
      </c>
      <c r="AR18" s="79" t="b">
        <v>0</v>
      </c>
      <c r="AS18" s="79" t="b">
        <v>0</v>
      </c>
      <c r="AT18" s="79"/>
      <c r="AU18" s="79">
        <v>0</v>
      </c>
      <c r="AV18" s="79"/>
      <c r="AW18" s="79" t="b">
        <v>0</v>
      </c>
      <c r="AX18" s="79" t="s">
        <v>1376</v>
      </c>
      <c r="AY18" s="83" t="str">
        <f>HYPERLINK("https://twitter.com/edabipi")</f>
        <v>https://twitter.com/edabipi</v>
      </c>
      <c r="AZ18" s="79" t="s">
        <v>66</v>
      </c>
      <c r="BA18" s="78" t="str">
        <f>REPLACE(INDEX(GroupVertices[Group], MATCH(Vertices[[#This Row],[Vertex]],GroupVertices[Vertex],0)),1,1,"")</f>
        <v>3</v>
      </c>
      <c r="BB18" s="49"/>
      <c r="BC18" s="49"/>
      <c r="BD18" s="49"/>
      <c r="BE18" s="49"/>
      <c r="BF18" s="49" t="s">
        <v>461</v>
      </c>
      <c r="BG18" s="49" t="s">
        <v>461</v>
      </c>
      <c r="BH18" s="137" t="s">
        <v>2004</v>
      </c>
      <c r="BI18" s="137" t="s">
        <v>2038</v>
      </c>
      <c r="BJ18" s="137" t="s">
        <v>2059</v>
      </c>
      <c r="BK18" s="137" t="s">
        <v>2087</v>
      </c>
      <c r="BL18" s="2"/>
      <c r="BM18" s="3"/>
      <c r="BN18" s="3"/>
      <c r="BO18" s="3"/>
      <c r="BP18" s="3"/>
    </row>
    <row r="19" spans="1:68" x14ac:dyDescent="0.25">
      <c r="A19" s="64" t="s">
        <v>308</v>
      </c>
      <c r="B19" s="65"/>
      <c r="C19" s="65"/>
      <c r="D19" s="66">
        <v>22.903225806451612</v>
      </c>
      <c r="E19" s="104"/>
      <c r="F19" s="96" t="str">
        <f>HYPERLINK("https://pbs.twimg.com/profile_images/439473322188087296/LrshbVOf_normal.jpeg")</f>
        <v>https://pbs.twimg.com/profile_images/439473322188087296/LrshbVOf_normal.jpeg</v>
      </c>
      <c r="G19" s="105"/>
      <c r="H19" s="69" t="s">
        <v>308</v>
      </c>
      <c r="I19" s="70"/>
      <c r="J19" s="106"/>
      <c r="K19" s="69" t="s">
        <v>1419</v>
      </c>
      <c r="L19" s="107">
        <v>15.829113252737095</v>
      </c>
      <c r="M19" s="74">
        <v>4912.4130859375</v>
      </c>
      <c r="N19" s="74">
        <v>5579.24755859375</v>
      </c>
      <c r="O19" s="75"/>
      <c r="P19" s="76"/>
      <c r="Q19" s="76"/>
      <c r="R19" s="88"/>
      <c r="S19" s="49">
        <v>6</v>
      </c>
      <c r="T19" s="49">
        <v>0</v>
      </c>
      <c r="U19" s="50">
        <v>4</v>
      </c>
      <c r="V19" s="50">
        <v>2.5000000000000001E-2</v>
      </c>
      <c r="W19" s="50">
        <v>6.9999999999999999E-6</v>
      </c>
      <c r="X19" s="50">
        <v>1.3912310000000001</v>
      </c>
      <c r="Y19" s="50">
        <v>0.33333333333333331</v>
      </c>
      <c r="Z19" s="50">
        <v>0</v>
      </c>
      <c r="AA19" s="71">
        <v>19</v>
      </c>
      <c r="AB19"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9" s="72"/>
      <c r="AD19" s="79" t="s">
        <v>996</v>
      </c>
      <c r="AE19" s="85" t="s">
        <v>1115</v>
      </c>
      <c r="AF19" s="79">
        <v>108</v>
      </c>
      <c r="AG19" s="79">
        <v>178</v>
      </c>
      <c r="AH19" s="79">
        <v>92</v>
      </c>
      <c r="AI19" s="79">
        <v>71</v>
      </c>
      <c r="AJ19" s="79"/>
      <c r="AK19" s="79" t="s">
        <v>1233</v>
      </c>
      <c r="AL19" s="79" t="s">
        <v>1333</v>
      </c>
      <c r="AM19" s="83" t="str">
        <f>HYPERLINK("http://t.co/b1mnrGednc")</f>
        <v>http://t.co/b1mnrGednc</v>
      </c>
      <c r="AN19" s="79"/>
      <c r="AO19" s="81">
        <v>41698.731446759259</v>
      </c>
      <c r="AP19" s="79"/>
      <c r="AQ19" s="79" t="b">
        <v>1</v>
      </c>
      <c r="AR19" s="79" t="b">
        <v>0</v>
      </c>
      <c r="AS19" s="79" t="b">
        <v>0</v>
      </c>
      <c r="AT19" s="79"/>
      <c r="AU19" s="79">
        <v>2</v>
      </c>
      <c r="AV19" s="83" t="str">
        <f>HYPERLINK("https://abs.twimg.com/images/themes/theme1/bg.png")</f>
        <v>https://abs.twimg.com/images/themes/theme1/bg.png</v>
      </c>
      <c r="AW19" s="79" t="b">
        <v>0</v>
      </c>
      <c r="AX19" s="79" t="s">
        <v>1376</v>
      </c>
      <c r="AY19" s="83" t="str">
        <f>HYPERLINK("https://twitter.com/cheopunc")</f>
        <v>https://twitter.com/cheopunc</v>
      </c>
      <c r="AZ19" s="79" t="s">
        <v>65</v>
      </c>
      <c r="BA19" s="78" t="str">
        <f>REPLACE(INDEX(GroupVertices[Group], MATCH(Vertices[[#This Row],[Vertex]],GroupVertices[Vertex],0)),1,1,"")</f>
        <v>2</v>
      </c>
      <c r="BB19" s="49"/>
      <c r="BC19" s="49"/>
      <c r="BD19" s="49"/>
      <c r="BE19" s="49"/>
      <c r="BF19" s="49"/>
      <c r="BG19" s="49"/>
      <c r="BH19" s="49"/>
      <c r="BI19" s="49"/>
      <c r="BJ19" s="49"/>
      <c r="BK19" s="49"/>
      <c r="BL19" s="2"/>
      <c r="BM19" s="3"/>
      <c r="BN19" s="3"/>
      <c r="BO19" s="3"/>
      <c r="BP19" s="3"/>
    </row>
    <row r="20" spans="1:68" x14ac:dyDescent="0.25">
      <c r="A20" s="64" t="s">
        <v>321</v>
      </c>
      <c r="B20" s="65"/>
      <c r="C20" s="65"/>
      <c r="D20" s="66">
        <v>21.710829596774193</v>
      </c>
      <c r="E20" s="104"/>
      <c r="F20" s="96" t="str">
        <f>HYPERLINK("https://pbs.twimg.com/profile_images/1331664385417285632/dTkbDbOt_normal.jpg")</f>
        <v>https://pbs.twimg.com/profile_images/1331664385417285632/dTkbDbOt_normal.jpg</v>
      </c>
      <c r="G20" s="105"/>
      <c r="H20" s="69" t="s">
        <v>321</v>
      </c>
      <c r="I20" s="70"/>
      <c r="J20" s="106"/>
      <c r="K20" s="69" t="s">
        <v>1452</v>
      </c>
      <c r="L20" s="107">
        <v>9.7385851249741187</v>
      </c>
      <c r="M20" s="74">
        <v>3991.0830078125</v>
      </c>
      <c r="N20" s="74">
        <v>856.06390380859375</v>
      </c>
      <c r="O20" s="75"/>
      <c r="P20" s="76"/>
      <c r="Q20" s="76"/>
      <c r="R20" s="88"/>
      <c r="S20" s="49">
        <v>5</v>
      </c>
      <c r="T20" s="49">
        <v>0</v>
      </c>
      <c r="U20" s="50">
        <v>2.3571430000000002</v>
      </c>
      <c r="V20" s="50">
        <v>5.8139999999999997E-3</v>
      </c>
      <c r="W20" s="50">
        <v>1.7502E-2</v>
      </c>
      <c r="X20" s="50">
        <v>0.99668000000000001</v>
      </c>
      <c r="Y20" s="50">
        <v>0.2</v>
      </c>
      <c r="Z20" s="50">
        <v>0</v>
      </c>
      <c r="AA20" s="71">
        <v>20</v>
      </c>
      <c r="AB20"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20" s="72"/>
      <c r="AD20" s="79" t="s">
        <v>1029</v>
      </c>
      <c r="AE20" s="85" t="s">
        <v>1148</v>
      </c>
      <c r="AF20" s="79">
        <v>1335</v>
      </c>
      <c r="AG20" s="79">
        <v>170607</v>
      </c>
      <c r="AH20" s="79">
        <v>39134</v>
      </c>
      <c r="AI20" s="79">
        <v>5511</v>
      </c>
      <c r="AJ20" s="79"/>
      <c r="AK20" s="79" t="s">
        <v>1265</v>
      </c>
      <c r="AL20" s="79" t="s">
        <v>1319</v>
      </c>
      <c r="AM20" s="83" t="str">
        <f>HYPERLINK("https://t.co/zTYizA6y9D")</f>
        <v>https://t.co/zTYizA6y9D</v>
      </c>
      <c r="AN20" s="79"/>
      <c r="AO20" s="81">
        <v>39712.983055555553</v>
      </c>
      <c r="AP20" s="83" t="str">
        <f>HYPERLINK("https://pbs.twimg.com/profile_banners/16396588/1621952315")</f>
        <v>https://pbs.twimg.com/profile_banners/16396588/1621952315</v>
      </c>
      <c r="AQ20" s="79" t="b">
        <v>0</v>
      </c>
      <c r="AR20" s="79" t="b">
        <v>0</v>
      </c>
      <c r="AS20" s="79" t="b">
        <v>1</v>
      </c>
      <c r="AT20" s="79"/>
      <c r="AU20" s="79">
        <v>2611</v>
      </c>
      <c r="AV20" s="83" t="str">
        <f>HYPERLINK("https://abs.twimg.com/images/themes/theme1/bg.png")</f>
        <v>https://abs.twimg.com/images/themes/theme1/bg.png</v>
      </c>
      <c r="AW20" s="79" t="b">
        <v>1</v>
      </c>
      <c r="AX20" s="79" t="s">
        <v>1376</v>
      </c>
      <c r="AY20" s="83" t="str">
        <f>HYPERLINK("https://twitter.com/washingtondc")</f>
        <v>https://twitter.com/washingtondc</v>
      </c>
      <c r="AZ20" s="79" t="s">
        <v>65</v>
      </c>
      <c r="BA20" s="78" t="str">
        <f>REPLACE(INDEX(GroupVertices[Group], MATCH(Vertices[[#This Row],[Vertex]],GroupVertices[Vertex],0)),1,1,"")</f>
        <v>3</v>
      </c>
      <c r="BB20" s="49"/>
      <c r="BC20" s="49"/>
      <c r="BD20" s="49"/>
      <c r="BE20" s="49"/>
      <c r="BF20" s="49"/>
      <c r="BG20" s="49"/>
      <c r="BH20" s="49"/>
      <c r="BI20" s="49"/>
      <c r="BJ20" s="49"/>
      <c r="BK20" s="49"/>
      <c r="BL20" s="2"/>
      <c r="BM20" s="3"/>
      <c r="BN20" s="3"/>
      <c r="BO20" s="3"/>
      <c r="BP20" s="3"/>
    </row>
    <row r="21" spans="1:68" x14ac:dyDescent="0.25">
      <c r="A21" s="64" t="s">
        <v>320</v>
      </c>
      <c r="B21" s="65"/>
      <c r="C21" s="65"/>
      <c r="D21" s="66">
        <v>21.710829596774193</v>
      </c>
      <c r="E21" s="104"/>
      <c r="F21" s="96" t="str">
        <f>HYPERLINK("https://pbs.twimg.com/profile_images/978626179556171778/ApUvEAOP_normal.jpg")</f>
        <v>https://pbs.twimg.com/profile_images/978626179556171778/ApUvEAOP_normal.jpg</v>
      </c>
      <c r="G21" s="105"/>
      <c r="H21" s="69" t="s">
        <v>320</v>
      </c>
      <c r="I21" s="70"/>
      <c r="J21" s="106"/>
      <c r="K21" s="69" t="s">
        <v>1451</v>
      </c>
      <c r="L21" s="107">
        <v>9.7385851249741187</v>
      </c>
      <c r="M21" s="74">
        <v>3363.6640625</v>
      </c>
      <c r="N21" s="74">
        <v>1401.44580078125</v>
      </c>
      <c r="O21" s="75"/>
      <c r="P21" s="76"/>
      <c r="Q21" s="76"/>
      <c r="R21" s="88"/>
      <c r="S21" s="49">
        <v>5</v>
      </c>
      <c r="T21" s="49">
        <v>0</v>
      </c>
      <c r="U21" s="50">
        <v>2.3571430000000002</v>
      </c>
      <c r="V21" s="50">
        <v>5.8139999999999997E-3</v>
      </c>
      <c r="W21" s="50">
        <v>1.7502E-2</v>
      </c>
      <c r="X21" s="50">
        <v>0.99668000000000001</v>
      </c>
      <c r="Y21" s="50">
        <v>0.2</v>
      </c>
      <c r="Z21" s="50">
        <v>0</v>
      </c>
      <c r="AA21" s="71">
        <v>21</v>
      </c>
      <c r="AB21"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21" s="72"/>
      <c r="AD21" s="79" t="s">
        <v>1028</v>
      </c>
      <c r="AE21" s="85" t="s">
        <v>1147</v>
      </c>
      <c r="AF21" s="79">
        <v>2004</v>
      </c>
      <c r="AG21" s="79">
        <v>108443</v>
      </c>
      <c r="AH21" s="79">
        <v>19033</v>
      </c>
      <c r="AI21" s="79">
        <v>11043</v>
      </c>
      <c r="AJ21" s="79"/>
      <c r="AK21" s="79" t="s">
        <v>1264</v>
      </c>
      <c r="AL21" s="79" t="s">
        <v>1353</v>
      </c>
      <c r="AM21" s="83" t="str">
        <f>HYPERLINK("https://t.co/VfKwaEobcY")</f>
        <v>https://t.co/VfKwaEobcY</v>
      </c>
      <c r="AN21" s="79"/>
      <c r="AO21" s="81">
        <v>40662.857916666668</v>
      </c>
      <c r="AP21" s="83" t="str">
        <f>HYPERLINK("https://pbs.twimg.com/profile_banners/290158385/1624558312")</f>
        <v>https://pbs.twimg.com/profile_banners/290158385/1624558312</v>
      </c>
      <c r="AQ21" s="79" t="b">
        <v>1</v>
      </c>
      <c r="AR21" s="79" t="b">
        <v>0</v>
      </c>
      <c r="AS21" s="79" t="b">
        <v>1</v>
      </c>
      <c r="AT21" s="79"/>
      <c r="AU21" s="79">
        <v>305</v>
      </c>
      <c r="AV21" s="83" t="str">
        <f>HYPERLINK("https://abs.twimg.com/images/themes/theme1/bg.png")</f>
        <v>https://abs.twimg.com/images/themes/theme1/bg.png</v>
      </c>
      <c r="AW21" s="79" t="b">
        <v>1</v>
      </c>
      <c r="AX21" s="79" t="s">
        <v>1376</v>
      </c>
      <c r="AY21" s="83" t="str">
        <f>HYPERLINK("https://twitter.com/baltcops")</f>
        <v>https://twitter.com/baltcops</v>
      </c>
      <c r="AZ21" s="79" t="s">
        <v>65</v>
      </c>
      <c r="BA21" s="78" t="str">
        <f>REPLACE(INDEX(GroupVertices[Group], MATCH(Vertices[[#This Row],[Vertex]],GroupVertices[Vertex],0)),1,1,"")</f>
        <v>3</v>
      </c>
      <c r="BB21" s="49"/>
      <c r="BC21" s="49"/>
      <c r="BD21" s="49"/>
      <c r="BE21" s="49"/>
      <c r="BF21" s="49"/>
      <c r="BG21" s="49"/>
      <c r="BH21" s="49"/>
      <c r="BI21" s="49"/>
      <c r="BJ21" s="49"/>
      <c r="BK21" s="49"/>
      <c r="BL21" s="2"/>
      <c r="BM21" s="3"/>
      <c r="BN21" s="3"/>
      <c r="BO21" s="3"/>
      <c r="BP21" s="3"/>
    </row>
    <row r="22" spans="1:68" x14ac:dyDescent="0.25">
      <c r="A22" s="64" t="s">
        <v>322</v>
      </c>
      <c r="B22" s="65"/>
      <c r="C22" s="65"/>
      <c r="D22" s="66">
        <v>21.710829596774193</v>
      </c>
      <c r="E22" s="104"/>
      <c r="F22" s="96" t="str">
        <f>HYPERLINK("https://pbs.twimg.com/profile_images/907690315334778882/HkmaDl4l_normal.jpg")</f>
        <v>https://pbs.twimg.com/profile_images/907690315334778882/HkmaDl4l_normal.jpg</v>
      </c>
      <c r="G22" s="105"/>
      <c r="H22" s="69" t="s">
        <v>322</v>
      </c>
      <c r="I22" s="70"/>
      <c r="J22" s="106"/>
      <c r="K22" s="69" t="s">
        <v>1454</v>
      </c>
      <c r="L22" s="107">
        <v>9.7385851249741187</v>
      </c>
      <c r="M22" s="74">
        <v>3897.551025390625</v>
      </c>
      <c r="N22" s="74">
        <v>1121.373291015625</v>
      </c>
      <c r="O22" s="75"/>
      <c r="P22" s="76"/>
      <c r="Q22" s="76"/>
      <c r="R22" s="88"/>
      <c r="S22" s="49">
        <v>5</v>
      </c>
      <c r="T22" s="49">
        <v>0</v>
      </c>
      <c r="U22" s="50">
        <v>2.3571430000000002</v>
      </c>
      <c r="V22" s="50">
        <v>5.8139999999999997E-3</v>
      </c>
      <c r="W22" s="50">
        <v>1.7502E-2</v>
      </c>
      <c r="X22" s="50">
        <v>0.99668000000000001</v>
      </c>
      <c r="Y22" s="50">
        <v>0.2</v>
      </c>
      <c r="Z22" s="50">
        <v>0</v>
      </c>
      <c r="AA22" s="71">
        <v>22</v>
      </c>
      <c r="AB22"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22" s="72"/>
      <c r="AD22" s="79" t="s">
        <v>1031</v>
      </c>
      <c r="AE22" s="85" t="s">
        <v>872</v>
      </c>
      <c r="AF22" s="79">
        <v>481</v>
      </c>
      <c r="AG22" s="79">
        <v>4817</v>
      </c>
      <c r="AH22" s="79">
        <v>5026</v>
      </c>
      <c r="AI22" s="79">
        <v>484</v>
      </c>
      <c r="AJ22" s="79"/>
      <c r="AK22" s="79" t="s">
        <v>1267</v>
      </c>
      <c r="AL22" s="79" t="s">
        <v>1355</v>
      </c>
      <c r="AM22" s="83" t="str">
        <f>HYPERLINK("https://t.co/iZxF7rzeip")</f>
        <v>https://t.co/iZxF7rzeip</v>
      </c>
      <c r="AN22" s="79"/>
      <c r="AO22" s="81">
        <v>39878.802129629628</v>
      </c>
      <c r="AP22" s="83" t="str">
        <f>HYPERLINK("https://pbs.twimg.com/profile_banners/23104618/1543524256")</f>
        <v>https://pbs.twimg.com/profile_banners/23104618/1543524256</v>
      </c>
      <c r="AQ22" s="79" t="b">
        <v>0</v>
      </c>
      <c r="AR22" s="79" t="b">
        <v>0</v>
      </c>
      <c r="AS22" s="79" t="b">
        <v>0</v>
      </c>
      <c r="AT22" s="79"/>
      <c r="AU22" s="79">
        <v>77</v>
      </c>
      <c r="AV22" s="83" t="str">
        <f>HYPERLINK("https://abs.twimg.com/images/themes/theme1/bg.png")</f>
        <v>https://abs.twimg.com/images/themes/theme1/bg.png</v>
      </c>
      <c r="AW22" s="79" t="b">
        <v>0</v>
      </c>
      <c r="AX22" s="79" t="s">
        <v>1376</v>
      </c>
      <c r="AY22" s="83" t="str">
        <f>HYPERLINK("https://twitter.com/ccbcmd")</f>
        <v>https://twitter.com/ccbcmd</v>
      </c>
      <c r="AZ22" s="79" t="s">
        <v>65</v>
      </c>
      <c r="BA22" s="78" t="str">
        <f>REPLACE(INDEX(GroupVertices[Group], MATCH(Vertices[[#This Row],[Vertex]],GroupVertices[Vertex],0)),1,1,"")</f>
        <v>3</v>
      </c>
      <c r="BB22" s="49"/>
      <c r="BC22" s="49"/>
      <c r="BD22" s="49"/>
      <c r="BE22" s="49"/>
      <c r="BF22" s="49"/>
      <c r="BG22" s="49"/>
      <c r="BH22" s="49"/>
      <c r="BI22" s="49"/>
      <c r="BJ22" s="49"/>
      <c r="BK22" s="49"/>
      <c r="BL22" s="2"/>
      <c r="BM22" s="3"/>
      <c r="BN22" s="3"/>
      <c r="BO22" s="3"/>
      <c r="BP22" s="3"/>
    </row>
    <row r="23" spans="1:68" x14ac:dyDescent="0.25">
      <c r="A23" s="64" t="s">
        <v>259</v>
      </c>
      <c r="B23" s="65"/>
      <c r="C23" s="65"/>
      <c r="D23" s="66">
        <v>21.451612903225808</v>
      </c>
      <c r="E23" s="104"/>
      <c r="F23" s="96" t="str">
        <f>HYPERLINK("https://pbs.twimg.com/profile_images/1349810434732339200/yxBKL417_normal.jpg")</f>
        <v>https://pbs.twimg.com/profile_images/1349810434732339200/yxBKL417_normal.jpg</v>
      </c>
      <c r="G23" s="105"/>
      <c r="H23" s="69" t="s">
        <v>259</v>
      </c>
      <c r="I23" s="70"/>
      <c r="J23" s="106"/>
      <c r="K23" s="69" t="s">
        <v>1441</v>
      </c>
      <c r="L23" s="107">
        <v>8.4145566263685474</v>
      </c>
      <c r="M23" s="74">
        <v>7240.453125</v>
      </c>
      <c r="N23" s="74">
        <v>3658.5537109375</v>
      </c>
      <c r="O23" s="75"/>
      <c r="P23" s="76"/>
      <c r="Q23" s="76"/>
      <c r="R23" s="88"/>
      <c r="S23" s="49">
        <v>0</v>
      </c>
      <c r="T23" s="49">
        <v>2</v>
      </c>
      <c r="U23" s="50">
        <v>2</v>
      </c>
      <c r="V23" s="50">
        <v>0.5</v>
      </c>
      <c r="W23" s="50">
        <v>0</v>
      </c>
      <c r="X23" s="50">
        <v>1.4594529999999999</v>
      </c>
      <c r="Y23" s="50">
        <v>0</v>
      </c>
      <c r="Z23" s="50">
        <v>0</v>
      </c>
      <c r="AA23" s="71">
        <v>23</v>
      </c>
      <c r="AB23"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23" s="72"/>
      <c r="AD23" s="79" t="s">
        <v>1018</v>
      </c>
      <c r="AE23" s="85" t="s">
        <v>1137</v>
      </c>
      <c r="AF23" s="79">
        <v>107</v>
      </c>
      <c r="AG23" s="79">
        <v>10</v>
      </c>
      <c r="AH23" s="79">
        <v>152</v>
      </c>
      <c r="AI23" s="79">
        <v>17</v>
      </c>
      <c r="AJ23" s="79"/>
      <c r="AK23" s="79" t="s">
        <v>1254</v>
      </c>
      <c r="AL23" s="79" t="s">
        <v>1344</v>
      </c>
      <c r="AM23" s="83" t="str">
        <f>HYPERLINK("https://t.co/dY25bE6q1N")</f>
        <v>https://t.co/dY25bE6q1N</v>
      </c>
      <c r="AN23" s="79"/>
      <c r="AO23" s="81">
        <v>44204.6640162037</v>
      </c>
      <c r="AP23" s="83" t="str">
        <f>HYPERLINK("https://pbs.twimg.com/profile_banners/1347572773670035457/1618379961")</f>
        <v>https://pbs.twimg.com/profile_banners/1347572773670035457/1618379961</v>
      </c>
      <c r="AQ23" s="79" t="b">
        <v>1</v>
      </c>
      <c r="AR23" s="79" t="b">
        <v>0</v>
      </c>
      <c r="AS23" s="79" t="b">
        <v>0</v>
      </c>
      <c r="AT23" s="79"/>
      <c r="AU23" s="79">
        <v>0</v>
      </c>
      <c r="AV23" s="79"/>
      <c r="AW23" s="79" t="b">
        <v>0</v>
      </c>
      <c r="AX23" s="79" t="s">
        <v>1376</v>
      </c>
      <c r="AY23" s="83" t="str">
        <f>HYPERLINK("https://twitter.com/ub_trio_sjc")</f>
        <v>https://twitter.com/ub_trio_sjc</v>
      </c>
      <c r="AZ23" s="79" t="s">
        <v>66</v>
      </c>
      <c r="BA23" s="78" t="str">
        <f>REPLACE(INDEX(GroupVertices[Group], MATCH(Vertices[[#This Row],[Vertex]],GroupVertices[Vertex],0)),1,1,"")</f>
        <v>10</v>
      </c>
      <c r="BB23" s="49"/>
      <c r="BC23" s="49"/>
      <c r="BD23" s="49"/>
      <c r="BE23" s="49"/>
      <c r="BF23" s="49" t="s">
        <v>1708</v>
      </c>
      <c r="BG23" s="49" t="s">
        <v>1983</v>
      </c>
      <c r="BH23" s="137" t="s">
        <v>2005</v>
      </c>
      <c r="BI23" s="137" t="s">
        <v>2039</v>
      </c>
      <c r="BJ23" s="137" t="s">
        <v>2060</v>
      </c>
      <c r="BK23" s="137" t="s">
        <v>2060</v>
      </c>
      <c r="BL23" s="2"/>
      <c r="BM23" s="3"/>
      <c r="BN23" s="3"/>
      <c r="BO23" s="3"/>
      <c r="BP23" s="3"/>
    </row>
    <row r="24" spans="1:68" x14ac:dyDescent="0.25">
      <c r="A24" s="64" t="s">
        <v>216</v>
      </c>
      <c r="B24" s="65"/>
      <c r="C24" s="65"/>
      <c r="D24" s="66">
        <v>20.967741693548387</v>
      </c>
      <c r="E24" s="104"/>
      <c r="F24" s="96" t="str">
        <f>HYPERLINK("https://pbs.twimg.com/profile_images/1366419938001494018/omVo3XU0_normal.png")</f>
        <v>https://pbs.twimg.com/profile_images/1366419938001494018/omVo3XU0_normal.png</v>
      </c>
      <c r="G24" s="105"/>
      <c r="H24" s="69" t="s">
        <v>216</v>
      </c>
      <c r="I24" s="70"/>
      <c r="J24" s="106"/>
      <c r="K24" s="69" t="s">
        <v>1379</v>
      </c>
      <c r="L24" s="107">
        <v>5.9430365151529276</v>
      </c>
      <c r="M24" s="74">
        <v>6708.7265625</v>
      </c>
      <c r="N24" s="74">
        <v>2173.786376953125</v>
      </c>
      <c r="O24" s="75"/>
      <c r="P24" s="76"/>
      <c r="Q24" s="76"/>
      <c r="R24" s="88"/>
      <c r="S24" s="49">
        <v>2</v>
      </c>
      <c r="T24" s="49">
        <v>2</v>
      </c>
      <c r="U24" s="50">
        <v>1.3333330000000001</v>
      </c>
      <c r="V24" s="50">
        <v>0.25</v>
      </c>
      <c r="W24" s="50">
        <v>0</v>
      </c>
      <c r="X24" s="50">
        <v>1.220774</v>
      </c>
      <c r="Y24" s="50">
        <v>0.33333333333333331</v>
      </c>
      <c r="Z24" s="50">
        <v>0</v>
      </c>
      <c r="AA24" s="71">
        <v>24</v>
      </c>
      <c r="AB24"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24" s="72"/>
      <c r="AD24" s="79" t="s">
        <v>956</v>
      </c>
      <c r="AE24" s="85" t="s">
        <v>1078</v>
      </c>
      <c r="AF24" s="79">
        <v>303</v>
      </c>
      <c r="AG24" s="79">
        <v>325</v>
      </c>
      <c r="AH24" s="79">
        <v>549</v>
      </c>
      <c r="AI24" s="79">
        <v>1663</v>
      </c>
      <c r="AJ24" s="79"/>
      <c r="AK24" s="79" t="s">
        <v>1193</v>
      </c>
      <c r="AL24" s="79" t="s">
        <v>1308</v>
      </c>
      <c r="AM24" s="83" t="str">
        <f>HYPERLINK("https://t.co/yJdwyu8sNK")</f>
        <v>https://t.co/yJdwyu8sNK</v>
      </c>
      <c r="AN24" s="79"/>
      <c r="AO24" s="81">
        <v>42566.687893518516</v>
      </c>
      <c r="AP24" s="83" t="str">
        <f>HYPERLINK("https://pbs.twimg.com/profile_banners/753990147968864256/1468607988")</f>
        <v>https://pbs.twimg.com/profile_banners/753990147968864256/1468607988</v>
      </c>
      <c r="AQ24" s="79" t="b">
        <v>0</v>
      </c>
      <c r="AR24" s="79" t="b">
        <v>0</v>
      </c>
      <c r="AS24" s="79" t="b">
        <v>0</v>
      </c>
      <c r="AT24" s="79"/>
      <c r="AU24" s="79">
        <v>1</v>
      </c>
      <c r="AV24" s="83" t="str">
        <f>HYPERLINK("https://abs.twimg.com/images/themes/theme1/bg.png")</f>
        <v>https://abs.twimg.com/images/themes/theme1/bg.png</v>
      </c>
      <c r="AW24" s="79" t="b">
        <v>0</v>
      </c>
      <c r="AX24" s="79" t="s">
        <v>1376</v>
      </c>
      <c r="AY24" s="83" t="str">
        <f>HYPERLINK("https://twitter.com/ess_kstate")</f>
        <v>https://twitter.com/ess_kstate</v>
      </c>
      <c r="AZ24" s="79" t="s">
        <v>66</v>
      </c>
      <c r="BA24" s="78" t="str">
        <f>REPLACE(INDEX(GroupVertices[Group], MATCH(Vertices[[#This Row],[Vertex]],GroupVertices[Vertex],0)),1,1,"")</f>
        <v>7</v>
      </c>
      <c r="BB24" s="49" t="s">
        <v>1584</v>
      </c>
      <c r="BC24" s="49" t="s">
        <v>1584</v>
      </c>
      <c r="BD24" s="49" t="s">
        <v>446</v>
      </c>
      <c r="BE24" s="49" t="s">
        <v>446</v>
      </c>
      <c r="BF24" s="49" t="s">
        <v>460</v>
      </c>
      <c r="BG24" s="49" t="s">
        <v>460</v>
      </c>
      <c r="BH24" s="137" t="s">
        <v>1791</v>
      </c>
      <c r="BI24" s="137" t="s">
        <v>1791</v>
      </c>
      <c r="BJ24" s="137" t="s">
        <v>1887</v>
      </c>
      <c r="BK24" s="137" t="s">
        <v>1887</v>
      </c>
      <c r="BL24" s="2"/>
      <c r="BM24" s="3"/>
      <c r="BN24" s="3"/>
      <c r="BO24" s="3"/>
      <c r="BP24" s="3"/>
    </row>
    <row r="25" spans="1:68" x14ac:dyDescent="0.25">
      <c r="A25" s="64" t="s">
        <v>303</v>
      </c>
      <c r="B25" s="65"/>
      <c r="C25" s="65"/>
      <c r="D25" s="66">
        <v>20.725806451612904</v>
      </c>
      <c r="E25" s="104"/>
      <c r="F25" s="96" t="str">
        <f>HYPERLINK("https://pbs.twimg.com/profile_images/454066489398546432/zhooUHWV_normal.jpeg")</f>
        <v>https://pbs.twimg.com/profile_images/454066489398546432/zhooUHWV_normal.jpeg</v>
      </c>
      <c r="G25" s="105"/>
      <c r="H25" s="69" t="s">
        <v>303</v>
      </c>
      <c r="I25" s="70"/>
      <c r="J25" s="106"/>
      <c r="K25" s="69" t="s">
        <v>1390</v>
      </c>
      <c r="L25" s="107">
        <v>4.7072783131842737</v>
      </c>
      <c r="M25" s="74">
        <v>8603.125</v>
      </c>
      <c r="N25" s="74">
        <v>5289.91064453125</v>
      </c>
      <c r="O25" s="75"/>
      <c r="P25" s="76"/>
      <c r="Q25" s="76"/>
      <c r="R25" s="88"/>
      <c r="S25" s="49">
        <v>3</v>
      </c>
      <c r="T25" s="49">
        <v>0</v>
      </c>
      <c r="U25" s="50">
        <v>1</v>
      </c>
      <c r="V25" s="50">
        <v>0.33333299999999999</v>
      </c>
      <c r="W25" s="50">
        <v>0</v>
      </c>
      <c r="X25" s="50">
        <v>1.1808460000000001</v>
      </c>
      <c r="Y25" s="50">
        <v>0.33333333333333331</v>
      </c>
      <c r="Z25" s="50">
        <v>0</v>
      </c>
      <c r="AA25" s="71">
        <v>25</v>
      </c>
      <c r="AB25"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25" s="72"/>
      <c r="AD25" s="79" t="s">
        <v>967</v>
      </c>
      <c r="AE25" s="85" t="s">
        <v>1088</v>
      </c>
      <c r="AF25" s="79">
        <v>343</v>
      </c>
      <c r="AG25" s="79">
        <v>289</v>
      </c>
      <c r="AH25" s="79">
        <v>575</v>
      </c>
      <c r="AI25" s="79">
        <v>1263</v>
      </c>
      <c r="AJ25" s="79"/>
      <c r="AK25" s="79" t="s">
        <v>1204</v>
      </c>
      <c r="AL25" s="79" t="s">
        <v>1315</v>
      </c>
      <c r="AM25" s="79"/>
      <c r="AN25" s="79"/>
      <c r="AO25" s="81">
        <v>41738.183206018519</v>
      </c>
      <c r="AP25" s="83" t="str">
        <f>HYPERLINK("https://pbs.twimg.com/profile_banners/2434879746/1397020030")</f>
        <v>https://pbs.twimg.com/profile_banners/2434879746/1397020030</v>
      </c>
      <c r="AQ25" s="79" t="b">
        <v>1</v>
      </c>
      <c r="AR25" s="79" t="b">
        <v>0</v>
      </c>
      <c r="AS25" s="79" t="b">
        <v>1</v>
      </c>
      <c r="AT25" s="79"/>
      <c r="AU25" s="79">
        <v>1</v>
      </c>
      <c r="AV25" s="83" t="str">
        <f>HYPERLINK("https://abs.twimg.com/images/themes/theme1/bg.png")</f>
        <v>https://abs.twimg.com/images/themes/theme1/bg.png</v>
      </c>
      <c r="AW25" s="79" t="b">
        <v>0</v>
      </c>
      <c r="AX25" s="79" t="s">
        <v>1376</v>
      </c>
      <c r="AY25" s="83" t="str">
        <f>HYPERLINK("https://twitter.com/therealeligio")</f>
        <v>https://twitter.com/therealeligio</v>
      </c>
      <c r="AZ25" s="79" t="s">
        <v>65</v>
      </c>
      <c r="BA25" s="78" t="str">
        <f>REPLACE(INDEX(GroupVertices[Group], MATCH(Vertices[[#This Row],[Vertex]],GroupVertices[Vertex],0)),1,1,"")</f>
        <v>9</v>
      </c>
      <c r="BB25" s="49"/>
      <c r="BC25" s="49"/>
      <c r="BD25" s="49"/>
      <c r="BE25" s="49"/>
      <c r="BF25" s="49"/>
      <c r="BG25" s="49"/>
      <c r="BH25" s="49"/>
      <c r="BI25" s="49"/>
      <c r="BJ25" s="49"/>
      <c r="BK25" s="49"/>
      <c r="BL25" s="2"/>
      <c r="BM25" s="3"/>
      <c r="BN25" s="3"/>
      <c r="BO25" s="3"/>
      <c r="BP25" s="3"/>
    </row>
    <row r="26" spans="1:68" x14ac:dyDescent="0.25">
      <c r="A26" s="64" t="s">
        <v>227</v>
      </c>
      <c r="B26" s="65"/>
      <c r="C26" s="65"/>
      <c r="D26" s="66">
        <v>20.725806451612904</v>
      </c>
      <c r="E26" s="104"/>
      <c r="F26" s="96" t="str">
        <f>HYPERLINK("https://pbs.twimg.com/profile_images/1382332184061644800/6WPg2bai_normal.jpg")</f>
        <v>https://pbs.twimg.com/profile_images/1382332184061644800/6WPg2bai_normal.jpg</v>
      </c>
      <c r="G26" s="105"/>
      <c r="H26" s="69" t="s">
        <v>227</v>
      </c>
      <c r="I26" s="70"/>
      <c r="J26" s="106"/>
      <c r="K26" s="69" t="s">
        <v>1391</v>
      </c>
      <c r="L26" s="107">
        <v>4.7072783131842737</v>
      </c>
      <c r="M26" s="74">
        <v>9773.775390625</v>
      </c>
      <c r="N26" s="74">
        <v>5154.7314453125</v>
      </c>
      <c r="O26" s="75"/>
      <c r="P26" s="76"/>
      <c r="Q26" s="76"/>
      <c r="R26" s="88"/>
      <c r="S26" s="49">
        <v>2</v>
      </c>
      <c r="T26" s="49">
        <v>1</v>
      </c>
      <c r="U26" s="50">
        <v>1</v>
      </c>
      <c r="V26" s="50">
        <v>0.33333299999999999</v>
      </c>
      <c r="W26" s="50">
        <v>0</v>
      </c>
      <c r="X26" s="50">
        <v>1.1808460000000001</v>
      </c>
      <c r="Y26" s="50">
        <v>0.33333333333333331</v>
      </c>
      <c r="Z26" s="50">
        <v>0</v>
      </c>
      <c r="AA26" s="71">
        <v>26</v>
      </c>
      <c r="AB26"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26" s="72"/>
      <c r="AD26" s="79" t="s">
        <v>968</v>
      </c>
      <c r="AE26" s="85" t="s">
        <v>1089</v>
      </c>
      <c r="AF26" s="79">
        <v>193</v>
      </c>
      <c r="AG26" s="79">
        <v>92</v>
      </c>
      <c r="AH26" s="79">
        <v>78</v>
      </c>
      <c r="AI26" s="79">
        <v>224</v>
      </c>
      <c r="AJ26" s="79"/>
      <c r="AK26" s="79" t="s">
        <v>1205</v>
      </c>
      <c r="AL26" s="79"/>
      <c r="AM26" s="79"/>
      <c r="AN26" s="79"/>
      <c r="AO26" s="81">
        <v>44300.570462962962</v>
      </c>
      <c r="AP26" s="83" t="str">
        <f>HYPERLINK("https://pbs.twimg.com/profile_banners/1382328099916767234/1618409943")</f>
        <v>https://pbs.twimg.com/profile_banners/1382328099916767234/1618409943</v>
      </c>
      <c r="AQ26" s="79" t="b">
        <v>1</v>
      </c>
      <c r="AR26" s="79" t="b">
        <v>0</v>
      </c>
      <c r="AS26" s="79" t="b">
        <v>0</v>
      </c>
      <c r="AT26" s="79"/>
      <c r="AU26" s="79">
        <v>0</v>
      </c>
      <c r="AV26" s="79"/>
      <c r="AW26" s="79" t="b">
        <v>0</v>
      </c>
      <c r="AX26" s="79" t="s">
        <v>1376</v>
      </c>
      <c r="AY26" s="83" t="str">
        <f>HYPERLINK("https://twitter.com/strwisescholar")</f>
        <v>https://twitter.com/strwisescholar</v>
      </c>
      <c r="AZ26" s="79" t="s">
        <v>66</v>
      </c>
      <c r="BA26" s="78" t="str">
        <f>REPLACE(INDEX(GroupVertices[Group], MATCH(Vertices[[#This Row],[Vertex]],GroupVertices[Vertex],0)),1,1,"")</f>
        <v>9</v>
      </c>
      <c r="BB26" s="49"/>
      <c r="BC26" s="49"/>
      <c r="BD26" s="49"/>
      <c r="BE26" s="49"/>
      <c r="BF26" s="49" t="s">
        <v>465</v>
      </c>
      <c r="BG26" s="49" t="s">
        <v>465</v>
      </c>
      <c r="BH26" s="137" t="s">
        <v>1793</v>
      </c>
      <c r="BI26" s="137" t="s">
        <v>1793</v>
      </c>
      <c r="BJ26" s="137" t="s">
        <v>1889</v>
      </c>
      <c r="BK26" s="137" t="s">
        <v>1889</v>
      </c>
      <c r="BL26" s="2"/>
      <c r="BM26" s="3"/>
      <c r="BN26" s="3"/>
      <c r="BO26" s="3"/>
      <c r="BP26" s="3"/>
    </row>
    <row r="27" spans="1:68" x14ac:dyDescent="0.25">
      <c r="A27" s="64" t="s">
        <v>295</v>
      </c>
      <c r="B27" s="65"/>
      <c r="C27" s="65"/>
      <c r="D27" s="66">
        <v>20.725806451612904</v>
      </c>
      <c r="E27" s="104"/>
      <c r="F27" s="96" t="str">
        <f>HYPERLINK("https://pbs.twimg.com/profile_images/1239235756020977670/CFkgVpBH_normal.jpg")</f>
        <v>https://pbs.twimg.com/profile_images/1239235756020977670/CFkgVpBH_normal.jpg</v>
      </c>
      <c r="G27" s="105"/>
      <c r="H27" s="69" t="s">
        <v>295</v>
      </c>
      <c r="I27" s="70"/>
      <c r="J27" s="106"/>
      <c r="K27" s="69" t="s">
        <v>1489</v>
      </c>
      <c r="L27" s="107">
        <v>4.7072783131842737</v>
      </c>
      <c r="M27" s="74">
        <v>1106.7388916015625</v>
      </c>
      <c r="N27" s="74">
        <v>9435.9443359375</v>
      </c>
      <c r="O27" s="75"/>
      <c r="P27" s="76"/>
      <c r="Q27" s="76"/>
      <c r="R27" s="88"/>
      <c r="S27" s="49">
        <v>0</v>
      </c>
      <c r="T27" s="49">
        <v>3</v>
      </c>
      <c r="U27" s="50">
        <v>1</v>
      </c>
      <c r="V27" s="50">
        <v>7.2989999999999999E-3</v>
      </c>
      <c r="W27" s="50">
        <v>1.7760000000000001E-2</v>
      </c>
      <c r="X27" s="50">
        <v>0.86441999999999997</v>
      </c>
      <c r="Y27" s="50">
        <v>0.33333333333333331</v>
      </c>
      <c r="Z27" s="50">
        <v>0</v>
      </c>
      <c r="AA27" s="71">
        <v>27</v>
      </c>
      <c r="AB27"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27" s="72"/>
      <c r="AD27" s="79" t="s">
        <v>1066</v>
      </c>
      <c r="AE27" s="85" t="s">
        <v>1182</v>
      </c>
      <c r="AF27" s="79">
        <v>710</v>
      </c>
      <c r="AG27" s="79">
        <v>61</v>
      </c>
      <c r="AH27" s="79">
        <v>359</v>
      </c>
      <c r="AI27" s="79">
        <v>1362</v>
      </c>
      <c r="AJ27" s="79"/>
      <c r="AK27" s="79" t="s">
        <v>1299</v>
      </c>
      <c r="AL27" s="79" t="s">
        <v>1372</v>
      </c>
      <c r="AM27" s="83" t="str">
        <f>HYPERLINK("https://t.co/Z9rj0TFZ2w")</f>
        <v>https://t.co/Z9rj0TFZ2w</v>
      </c>
      <c r="AN27" s="79"/>
      <c r="AO27" s="81">
        <v>39897.885949074072</v>
      </c>
      <c r="AP27" s="83" t="str">
        <f>HYPERLINK("https://pbs.twimg.com/profile_banners/26593786/1467042559")</f>
        <v>https://pbs.twimg.com/profile_banners/26593786/1467042559</v>
      </c>
      <c r="AQ27" s="79" t="b">
        <v>0</v>
      </c>
      <c r="AR27" s="79" t="b">
        <v>0</v>
      </c>
      <c r="AS27" s="79" t="b">
        <v>0</v>
      </c>
      <c r="AT27" s="79"/>
      <c r="AU27" s="79">
        <v>0</v>
      </c>
      <c r="AV27" s="83" t="str">
        <f>HYPERLINK("https://abs.twimg.com/images/themes/theme10/bg.gif")</f>
        <v>https://abs.twimg.com/images/themes/theme10/bg.gif</v>
      </c>
      <c r="AW27" s="79" t="b">
        <v>0</v>
      </c>
      <c r="AX27" s="79" t="s">
        <v>1376</v>
      </c>
      <c r="AY27" s="83" t="str">
        <f>HYPERLINK("https://twitter.com/terryluiken")</f>
        <v>https://twitter.com/terryluiken</v>
      </c>
      <c r="AZ27" s="79" t="s">
        <v>66</v>
      </c>
      <c r="BA27" s="78" t="str">
        <f>REPLACE(INDEX(GroupVertices[Group], MATCH(Vertices[[#This Row],[Vertex]],GroupVertices[Vertex],0)),1,1,"")</f>
        <v>1</v>
      </c>
      <c r="BB27" s="49"/>
      <c r="BC27" s="49"/>
      <c r="BD27" s="49"/>
      <c r="BE27" s="49"/>
      <c r="BF27" s="49" t="s">
        <v>461</v>
      </c>
      <c r="BG27" s="49" t="s">
        <v>461</v>
      </c>
      <c r="BH27" s="137" t="s">
        <v>2006</v>
      </c>
      <c r="BI27" s="137" t="s">
        <v>2006</v>
      </c>
      <c r="BJ27" s="137" t="s">
        <v>2061</v>
      </c>
      <c r="BK27" s="137" t="s">
        <v>2061</v>
      </c>
      <c r="BL27" s="2"/>
      <c r="BM27" s="3"/>
      <c r="BN27" s="3"/>
      <c r="BO27" s="3"/>
      <c r="BP27" s="3"/>
    </row>
    <row r="28" spans="1:68" x14ac:dyDescent="0.25">
      <c r="A28" s="64" t="s">
        <v>279</v>
      </c>
      <c r="B28" s="65"/>
      <c r="C28" s="65"/>
      <c r="D28" s="66">
        <v>20.725806451612904</v>
      </c>
      <c r="E28" s="104"/>
      <c r="F28" s="96" t="str">
        <f>HYPERLINK("https://pbs.twimg.com/profile_images/1394673346823000065/USX0VQdW_normal.jpg")</f>
        <v>https://pbs.twimg.com/profile_images/1394673346823000065/USX0VQdW_normal.jpg</v>
      </c>
      <c r="G28" s="105"/>
      <c r="H28" s="69" t="s">
        <v>279</v>
      </c>
      <c r="I28" s="70"/>
      <c r="J28" s="106"/>
      <c r="K28" s="69" t="s">
        <v>1471</v>
      </c>
      <c r="L28" s="107">
        <v>4.7072783131842737</v>
      </c>
      <c r="M28" s="74">
        <v>6227.64013671875</v>
      </c>
      <c r="N28" s="74">
        <v>4856.3623046875</v>
      </c>
      <c r="O28" s="75"/>
      <c r="P28" s="76"/>
      <c r="Q28" s="76"/>
      <c r="R28" s="88"/>
      <c r="S28" s="49">
        <v>1</v>
      </c>
      <c r="T28" s="49">
        <v>3</v>
      </c>
      <c r="U28" s="50">
        <v>1</v>
      </c>
      <c r="V28" s="50">
        <v>0.2</v>
      </c>
      <c r="W28" s="50">
        <v>0</v>
      </c>
      <c r="X28" s="50">
        <v>1.128692</v>
      </c>
      <c r="Y28" s="50">
        <v>0.33333333333333331</v>
      </c>
      <c r="Z28" s="50">
        <v>0.33333333333333331</v>
      </c>
      <c r="AA28" s="71">
        <v>28</v>
      </c>
      <c r="AB28"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28" s="72"/>
      <c r="AD28" s="79" t="s">
        <v>1048</v>
      </c>
      <c r="AE28" s="85" t="s">
        <v>1166</v>
      </c>
      <c r="AF28" s="79">
        <v>41</v>
      </c>
      <c r="AG28" s="79">
        <v>13</v>
      </c>
      <c r="AH28" s="79">
        <v>124</v>
      </c>
      <c r="AI28" s="79">
        <v>101</v>
      </c>
      <c r="AJ28" s="79"/>
      <c r="AK28" s="79"/>
      <c r="AL28" s="79"/>
      <c r="AM28" s="79"/>
      <c r="AN28" s="79"/>
      <c r="AO28" s="81">
        <v>44133.743587962963</v>
      </c>
      <c r="AP28" s="79"/>
      <c r="AQ28" s="79" t="b">
        <v>1</v>
      </c>
      <c r="AR28" s="79" t="b">
        <v>0</v>
      </c>
      <c r="AS28" s="79" t="b">
        <v>0</v>
      </c>
      <c r="AT28" s="79"/>
      <c r="AU28" s="79">
        <v>0</v>
      </c>
      <c r="AV28" s="79"/>
      <c r="AW28" s="79" t="b">
        <v>0</v>
      </c>
      <c r="AX28" s="79" t="s">
        <v>1376</v>
      </c>
      <c r="AY28" s="83" t="str">
        <f>HYPERLINK("https://twitter.com/jackashawiley")</f>
        <v>https://twitter.com/jackashawiley</v>
      </c>
      <c r="AZ28" s="79" t="s">
        <v>66</v>
      </c>
      <c r="BA28" s="78" t="str">
        <f>REPLACE(INDEX(GroupVertices[Group], MATCH(Vertices[[#This Row],[Vertex]],GroupVertices[Vertex],0)),1,1,"")</f>
        <v>8</v>
      </c>
      <c r="BB28" s="49"/>
      <c r="BC28" s="49"/>
      <c r="BD28" s="49"/>
      <c r="BE28" s="49"/>
      <c r="BF28" s="49" t="s">
        <v>480</v>
      </c>
      <c r="BG28" s="49" t="s">
        <v>480</v>
      </c>
      <c r="BH28" s="137" t="s">
        <v>2007</v>
      </c>
      <c r="BI28" s="137" t="s">
        <v>2007</v>
      </c>
      <c r="BJ28" s="137" t="s">
        <v>1888</v>
      </c>
      <c r="BK28" s="137" t="s">
        <v>1888</v>
      </c>
      <c r="BL28" s="2"/>
      <c r="BM28" s="3"/>
      <c r="BN28" s="3"/>
      <c r="BO28" s="3"/>
      <c r="BP28" s="3"/>
    </row>
    <row r="29" spans="1:68" x14ac:dyDescent="0.25">
      <c r="A29" s="64" t="s">
        <v>323</v>
      </c>
      <c r="B29" s="65"/>
      <c r="C29" s="65"/>
      <c r="D29" s="66">
        <v>20.622119919354837</v>
      </c>
      <c r="E29" s="104"/>
      <c r="F29" s="96" t="str">
        <f>HYPERLINK("https://pbs.twimg.com/profile_images/1415106724504109059/3Q4zmxjQ_normal.jpg")</f>
        <v>https://pbs.twimg.com/profile_images/1415106724504109059/3Q4zmxjQ_normal.jpg</v>
      </c>
      <c r="G29" s="105"/>
      <c r="H29" s="69" t="s">
        <v>323</v>
      </c>
      <c r="I29" s="70"/>
      <c r="J29" s="106"/>
      <c r="K29" s="69" t="s">
        <v>1455</v>
      </c>
      <c r="L29" s="107">
        <v>4.1776676551977072</v>
      </c>
      <c r="M29" s="74">
        <v>4289.978515625</v>
      </c>
      <c r="N29" s="74">
        <v>438.43524169921875</v>
      </c>
      <c r="O29" s="75"/>
      <c r="P29" s="76"/>
      <c r="Q29" s="76"/>
      <c r="R29" s="88"/>
      <c r="S29" s="49">
        <v>4</v>
      </c>
      <c r="T29" s="49">
        <v>0</v>
      </c>
      <c r="U29" s="50">
        <v>0.85714299999999999</v>
      </c>
      <c r="V29" s="50">
        <v>5.7800000000000004E-3</v>
      </c>
      <c r="W29" s="50">
        <v>1.5946999999999999E-2</v>
      </c>
      <c r="X29" s="50">
        <v>0.820523</v>
      </c>
      <c r="Y29" s="50">
        <v>0.25</v>
      </c>
      <c r="Z29" s="50">
        <v>0</v>
      </c>
      <c r="AA29" s="71">
        <v>29</v>
      </c>
      <c r="AB29"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29" s="72"/>
      <c r="AD29" s="79" t="s">
        <v>1032</v>
      </c>
      <c r="AE29" s="85" t="s">
        <v>1150</v>
      </c>
      <c r="AF29" s="79">
        <v>1198</v>
      </c>
      <c r="AG29" s="79">
        <v>73047216</v>
      </c>
      <c r="AH29" s="79">
        <v>35063</v>
      </c>
      <c r="AI29" s="79">
        <v>5694</v>
      </c>
      <c r="AJ29" s="79"/>
      <c r="AK29" s="79" t="s">
        <v>1268</v>
      </c>
      <c r="AL29" s="79" t="s">
        <v>1356</v>
      </c>
      <c r="AM29" s="83" t="str">
        <f>HYPERLINK("https://t.co/kjUK7E8YAQ")</f>
        <v>https://t.co/kjUK7E8YAQ</v>
      </c>
      <c r="AN29" s="79"/>
      <c r="AO29" s="81">
        <v>39399.905393518522</v>
      </c>
      <c r="AP29" s="83" t="str">
        <f>HYPERLINK("https://pbs.twimg.com/profile_banners/10228272/1626222710")</f>
        <v>https://pbs.twimg.com/profile_banners/10228272/1626222710</v>
      </c>
      <c r="AQ29" s="79" t="b">
        <v>0</v>
      </c>
      <c r="AR29" s="79" t="b">
        <v>0</v>
      </c>
      <c r="AS29" s="79" t="b">
        <v>0</v>
      </c>
      <c r="AT29" s="79"/>
      <c r="AU29" s="79">
        <v>79317</v>
      </c>
      <c r="AV29" s="83" t="str">
        <f>HYPERLINK("https://abs.twimg.com/images/themes/theme14/bg.gif")</f>
        <v>https://abs.twimg.com/images/themes/theme14/bg.gif</v>
      </c>
      <c r="AW29" s="79" t="b">
        <v>1</v>
      </c>
      <c r="AX29" s="79" t="s">
        <v>1376</v>
      </c>
      <c r="AY29" s="83" t="str">
        <f>HYPERLINK("https://twitter.com/youtube")</f>
        <v>https://twitter.com/youtube</v>
      </c>
      <c r="AZ29" s="79" t="s">
        <v>65</v>
      </c>
      <c r="BA29" s="78" t="str">
        <f>REPLACE(INDEX(GroupVertices[Group], MATCH(Vertices[[#This Row],[Vertex]],GroupVertices[Vertex],0)),1,1,"")</f>
        <v>3</v>
      </c>
      <c r="BB29" s="49"/>
      <c r="BC29" s="49"/>
      <c r="BD29" s="49"/>
      <c r="BE29" s="49"/>
      <c r="BF29" s="49"/>
      <c r="BG29" s="49"/>
      <c r="BH29" s="49"/>
      <c r="BI29" s="49"/>
      <c r="BJ29" s="49"/>
      <c r="BK29" s="49"/>
      <c r="BL29" s="2"/>
      <c r="BM29" s="3"/>
      <c r="BN29" s="3"/>
      <c r="BO29" s="3"/>
      <c r="BP29" s="3"/>
    </row>
    <row r="30" spans="1:68" x14ac:dyDescent="0.25">
      <c r="A30" s="64" t="s">
        <v>324</v>
      </c>
      <c r="B30" s="65"/>
      <c r="C30" s="65"/>
      <c r="D30" s="66">
        <v>20.622119919354837</v>
      </c>
      <c r="E30" s="104"/>
      <c r="F30" s="96" t="str">
        <f>HYPERLINK("https://pbs.twimg.com/profile_images/2520315218/american-sign-language_normal.jpg")</f>
        <v>https://pbs.twimg.com/profile_images/2520315218/american-sign-language_normal.jpg</v>
      </c>
      <c r="G30" s="105"/>
      <c r="H30" s="69" t="s">
        <v>324</v>
      </c>
      <c r="I30" s="70"/>
      <c r="J30" s="106"/>
      <c r="K30" s="69" t="s">
        <v>1456</v>
      </c>
      <c r="L30" s="107">
        <v>4.1776676551977072</v>
      </c>
      <c r="M30" s="74">
        <v>5498.0234375</v>
      </c>
      <c r="N30" s="74">
        <v>1491.418701171875</v>
      </c>
      <c r="O30" s="75"/>
      <c r="P30" s="76"/>
      <c r="Q30" s="76"/>
      <c r="R30" s="88"/>
      <c r="S30" s="49">
        <v>4</v>
      </c>
      <c r="T30" s="49">
        <v>0</v>
      </c>
      <c r="U30" s="50">
        <v>0.85714299999999999</v>
      </c>
      <c r="V30" s="50">
        <v>5.7800000000000004E-3</v>
      </c>
      <c r="W30" s="50">
        <v>1.5946999999999999E-2</v>
      </c>
      <c r="X30" s="50">
        <v>0.820523</v>
      </c>
      <c r="Y30" s="50">
        <v>0.25</v>
      </c>
      <c r="Z30" s="50">
        <v>0</v>
      </c>
      <c r="AA30" s="71">
        <v>30</v>
      </c>
      <c r="AB30"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30" s="72"/>
      <c r="AD30" s="79" t="s">
        <v>1033</v>
      </c>
      <c r="AE30" s="85" t="s">
        <v>1151</v>
      </c>
      <c r="AF30" s="79">
        <v>0</v>
      </c>
      <c r="AG30" s="79">
        <v>3758</v>
      </c>
      <c r="AH30" s="79">
        <v>3</v>
      </c>
      <c r="AI30" s="79">
        <v>0</v>
      </c>
      <c r="AJ30" s="79"/>
      <c r="AK30" s="79" t="s">
        <v>1269</v>
      </c>
      <c r="AL30" s="79"/>
      <c r="AM30" s="83" t="str">
        <f>HYPERLINK("http://t.co/ijDhyKK9nU")</f>
        <v>http://t.co/ijDhyKK9nU</v>
      </c>
      <c r="AN30" s="79"/>
      <c r="AO30" s="81">
        <v>41140.319247685184</v>
      </c>
      <c r="AP30" s="79"/>
      <c r="AQ30" s="79" t="b">
        <v>0</v>
      </c>
      <c r="AR30" s="79" t="b">
        <v>0</v>
      </c>
      <c r="AS30" s="79" t="b">
        <v>0</v>
      </c>
      <c r="AT30" s="79"/>
      <c r="AU30" s="79">
        <v>20</v>
      </c>
      <c r="AV30" s="83" t="str">
        <f>HYPERLINK("https://abs.twimg.com/images/themes/theme14/bg.gif")</f>
        <v>https://abs.twimg.com/images/themes/theme14/bg.gif</v>
      </c>
      <c r="AW30" s="79" t="b">
        <v>0</v>
      </c>
      <c r="AX30" s="79" t="s">
        <v>1376</v>
      </c>
      <c r="AY30" s="83" t="str">
        <f>HYPERLINK("https://twitter.com/americanasl")</f>
        <v>https://twitter.com/americanasl</v>
      </c>
      <c r="AZ30" s="79" t="s">
        <v>65</v>
      </c>
      <c r="BA30" s="78" t="str">
        <f>REPLACE(INDEX(GroupVertices[Group], MATCH(Vertices[[#This Row],[Vertex]],GroupVertices[Vertex],0)),1,1,"")</f>
        <v>3</v>
      </c>
      <c r="BB30" s="49"/>
      <c r="BC30" s="49"/>
      <c r="BD30" s="49"/>
      <c r="BE30" s="49"/>
      <c r="BF30" s="49"/>
      <c r="BG30" s="49"/>
      <c r="BH30" s="49"/>
      <c r="BI30" s="49"/>
      <c r="BJ30" s="49"/>
      <c r="BK30" s="49"/>
      <c r="BL30" s="2"/>
      <c r="BM30" s="3"/>
      <c r="BN30" s="3"/>
      <c r="BO30" s="3"/>
      <c r="BP30" s="3"/>
    </row>
    <row r="31" spans="1:68" x14ac:dyDescent="0.25">
      <c r="A31" s="64" t="s">
        <v>215</v>
      </c>
      <c r="B31" s="65"/>
      <c r="C31" s="65"/>
      <c r="D31" s="66">
        <v>20.483871209677421</v>
      </c>
      <c r="E31" s="68"/>
      <c r="F31" s="96" t="str">
        <f>HYPERLINK("https://pbs.twimg.com/profile_images/1001930684242579456/MIC_r_1S_normal.jpg")</f>
        <v>https://pbs.twimg.com/profile_images/1001930684242579456/MIC_r_1S_normal.jpg</v>
      </c>
      <c r="G31" s="65"/>
      <c r="H31" s="69" t="s">
        <v>215</v>
      </c>
      <c r="I31" s="70"/>
      <c r="J31" s="70"/>
      <c r="K31" s="69" t="s">
        <v>1498</v>
      </c>
      <c r="L31" s="73">
        <v>3.4715201112156202</v>
      </c>
      <c r="M31" s="74">
        <v>5640.45751953125</v>
      </c>
      <c r="N31" s="74">
        <v>437.42913818359375</v>
      </c>
      <c r="O31" s="75"/>
      <c r="P31" s="76"/>
      <c r="Q31" s="76"/>
      <c r="R31" s="49"/>
      <c r="S31" s="49">
        <v>0</v>
      </c>
      <c r="T31" s="49">
        <v>3</v>
      </c>
      <c r="U31" s="50">
        <v>0.66666700000000001</v>
      </c>
      <c r="V31" s="50">
        <v>0.2</v>
      </c>
      <c r="W31" s="50">
        <v>0</v>
      </c>
      <c r="X31" s="50">
        <v>0.944801</v>
      </c>
      <c r="Y31" s="50">
        <v>0.33333333333333331</v>
      </c>
      <c r="Z31" s="50">
        <v>0</v>
      </c>
      <c r="AA31" s="71">
        <v>31</v>
      </c>
      <c r="AB31"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31" s="72"/>
      <c r="AD31" s="78" t="s">
        <v>1075</v>
      </c>
      <c r="AE31" s="84" t="s">
        <v>1191</v>
      </c>
      <c r="AF31" s="78">
        <v>5130</v>
      </c>
      <c r="AG31" s="78">
        <v>38724</v>
      </c>
      <c r="AH31" s="78">
        <v>14652</v>
      </c>
      <c r="AI31" s="78">
        <v>5625</v>
      </c>
      <c r="AJ31" s="78"/>
      <c r="AK31" s="78" t="s">
        <v>1307</v>
      </c>
      <c r="AL31" s="78" t="s">
        <v>1319</v>
      </c>
      <c r="AM31" s="82" t="str">
        <f>HYPERLINK("http://t.co/RSaNvCLL2p")</f>
        <v>http://t.co/RSaNvCLL2p</v>
      </c>
      <c r="AN31" s="78"/>
      <c r="AO31" s="80">
        <v>40240.080150462964</v>
      </c>
      <c r="AP31" s="82" t="str">
        <f>HYPERLINK("https://pbs.twimg.com/profile_banners/119235720/1617049214")</f>
        <v>https://pbs.twimg.com/profile_banners/119235720/1617049214</v>
      </c>
      <c r="AQ31" s="78" t="b">
        <v>0</v>
      </c>
      <c r="AR31" s="78" t="b">
        <v>0</v>
      </c>
      <c r="AS31" s="78" t="b">
        <v>0</v>
      </c>
      <c r="AT31" s="78"/>
      <c r="AU31" s="78">
        <v>1135</v>
      </c>
      <c r="AV31" s="82" t="str">
        <f>HYPERLINK("https://abs.twimg.com/images/themes/theme14/bg.gif")</f>
        <v>https://abs.twimg.com/images/themes/theme14/bg.gif</v>
      </c>
      <c r="AW31" s="78" t="b">
        <v>1</v>
      </c>
      <c r="AX31" s="78" t="s">
        <v>1376</v>
      </c>
      <c r="AY31" s="82" t="str">
        <f>HYPERLINK("https://twitter.com/aceducation")</f>
        <v>https://twitter.com/aceducation</v>
      </c>
      <c r="AZ31" s="78" t="s">
        <v>66</v>
      </c>
      <c r="BA31" s="78" t="str">
        <f>REPLACE(INDEX(GroupVertices[Group], MATCH(Vertices[[#This Row],[Vertex]],GroupVertices[Vertex],0)),1,1,"")</f>
        <v>7</v>
      </c>
      <c r="BB31" s="49" t="s">
        <v>1584</v>
      </c>
      <c r="BC31" s="49" t="s">
        <v>1584</v>
      </c>
      <c r="BD31" s="49" t="s">
        <v>446</v>
      </c>
      <c r="BE31" s="49" t="s">
        <v>446</v>
      </c>
      <c r="BF31" s="49" t="s">
        <v>460</v>
      </c>
      <c r="BG31" s="49" t="s">
        <v>460</v>
      </c>
      <c r="BH31" s="137" t="s">
        <v>1791</v>
      </c>
      <c r="BI31" s="137" t="s">
        <v>1791</v>
      </c>
      <c r="BJ31" s="137" t="s">
        <v>1887</v>
      </c>
      <c r="BK31" s="137" t="s">
        <v>1887</v>
      </c>
      <c r="BL31" s="2"/>
      <c r="BM31" s="3"/>
      <c r="BN31" s="3"/>
      <c r="BO31" s="3"/>
      <c r="BP31" s="3"/>
    </row>
    <row r="32" spans="1:68" x14ac:dyDescent="0.25">
      <c r="A32" s="64" t="s">
        <v>217</v>
      </c>
      <c r="B32" s="65"/>
      <c r="C32" s="65"/>
      <c r="D32" s="66">
        <v>20.483871209677421</v>
      </c>
      <c r="E32" s="104"/>
      <c r="F32" s="96" t="str">
        <f>HYPERLINK("https://pbs.twimg.com/profile_images/1229001244/RISKIND_normal.jpg")</f>
        <v>https://pbs.twimg.com/profile_images/1229001244/RISKIND_normal.jpg</v>
      </c>
      <c r="G32" s="105"/>
      <c r="H32" s="69" t="s">
        <v>217</v>
      </c>
      <c r="I32" s="70"/>
      <c r="J32" s="106"/>
      <c r="K32" s="69" t="s">
        <v>1380</v>
      </c>
      <c r="L32" s="107">
        <v>3.4715201112156202</v>
      </c>
      <c r="M32" s="74">
        <v>6604.505859375</v>
      </c>
      <c r="N32" s="74">
        <v>437.42913818359375</v>
      </c>
      <c r="O32" s="75"/>
      <c r="P32" s="76"/>
      <c r="Q32" s="76"/>
      <c r="R32" s="88"/>
      <c r="S32" s="49">
        <v>0</v>
      </c>
      <c r="T32" s="49">
        <v>3</v>
      </c>
      <c r="U32" s="50">
        <v>0.66666700000000001</v>
      </c>
      <c r="V32" s="50">
        <v>0.2</v>
      </c>
      <c r="W32" s="50">
        <v>0</v>
      </c>
      <c r="X32" s="50">
        <v>0.944801</v>
      </c>
      <c r="Y32" s="50">
        <v>0.33333333333333331</v>
      </c>
      <c r="Z32" s="50">
        <v>0</v>
      </c>
      <c r="AA32" s="71">
        <v>32</v>
      </c>
      <c r="AB32"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32" s="72"/>
      <c r="AD32" s="79" t="s">
        <v>957</v>
      </c>
      <c r="AE32" s="85" t="s">
        <v>1079</v>
      </c>
      <c r="AF32" s="79">
        <v>1112</v>
      </c>
      <c r="AG32" s="79">
        <v>1007</v>
      </c>
      <c r="AH32" s="79">
        <v>3686</v>
      </c>
      <c r="AI32" s="79">
        <v>689</v>
      </c>
      <c r="AJ32" s="79"/>
      <c r="AK32" s="79" t="s">
        <v>1194</v>
      </c>
      <c r="AL32" s="79"/>
      <c r="AM32" s="83" t="str">
        <f>HYPERLINK("https://t.co/RSaNvCuaaR")</f>
        <v>https://t.co/RSaNvCuaaR</v>
      </c>
      <c r="AN32" s="79"/>
      <c r="AO32" s="81">
        <v>40571.855405092596</v>
      </c>
      <c r="AP32" s="83" t="str">
        <f>HYPERLINK("https://pbs.twimg.com/profile_banners/244222141/1394721574")</f>
        <v>https://pbs.twimg.com/profile_banners/244222141/1394721574</v>
      </c>
      <c r="AQ32" s="79" t="b">
        <v>1</v>
      </c>
      <c r="AR32" s="79" t="b">
        <v>0</v>
      </c>
      <c r="AS32" s="79" t="b">
        <v>0</v>
      </c>
      <c r="AT32" s="79"/>
      <c r="AU32" s="79">
        <v>55</v>
      </c>
      <c r="AV32" s="83" t="str">
        <f>HYPERLINK("https://abs.twimg.com/images/themes/theme1/bg.png")</f>
        <v>https://abs.twimg.com/images/themes/theme1/bg.png</v>
      </c>
      <c r="AW32" s="79" t="b">
        <v>0</v>
      </c>
      <c r="AX32" s="79" t="s">
        <v>1376</v>
      </c>
      <c r="AY32" s="83" t="str">
        <f>HYPERLINK("https://twitter.com/jonriskindatace")</f>
        <v>https://twitter.com/jonriskindatace</v>
      </c>
      <c r="AZ32" s="79" t="s">
        <v>66</v>
      </c>
      <c r="BA32" s="78" t="str">
        <f>REPLACE(INDEX(GroupVertices[Group], MATCH(Vertices[[#This Row],[Vertex]],GroupVertices[Vertex],0)),1,1,"")</f>
        <v>7</v>
      </c>
      <c r="BB32" s="49" t="s">
        <v>1584</v>
      </c>
      <c r="BC32" s="49" t="s">
        <v>1584</v>
      </c>
      <c r="BD32" s="49" t="s">
        <v>446</v>
      </c>
      <c r="BE32" s="49" t="s">
        <v>446</v>
      </c>
      <c r="BF32" s="49" t="s">
        <v>460</v>
      </c>
      <c r="BG32" s="49" t="s">
        <v>460</v>
      </c>
      <c r="BH32" s="137" t="s">
        <v>1791</v>
      </c>
      <c r="BI32" s="137" t="s">
        <v>1791</v>
      </c>
      <c r="BJ32" s="137" t="s">
        <v>1887</v>
      </c>
      <c r="BK32" s="137" t="s">
        <v>1887</v>
      </c>
      <c r="BL32" s="2"/>
      <c r="BM32" s="3"/>
      <c r="BN32" s="3"/>
      <c r="BO32" s="3"/>
      <c r="BP32" s="3"/>
    </row>
    <row r="33" spans="1:68" x14ac:dyDescent="0.25">
      <c r="A33" s="64" t="s">
        <v>300</v>
      </c>
      <c r="B33" s="65"/>
      <c r="C33" s="65"/>
      <c r="D33" s="66">
        <v>20.483871209677421</v>
      </c>
      <c r="E33" s="104"/>
      <c r="F33" s="96" t="str">
        <f>HYPERLINK("https://pbs.twimg.com/profile_images/1034889296480595968/tnoKEVb5_normal.jpg")</f>
        <v>https://pbs.twimg.com/profile_images/1034889296480595968/tnoKEVb5_normal.jpg</v>
      </c>
      <c r="G33" s="105"/>
      <c r="H33" s="69" t="s">
        <v>300</v>
      </c>
      <c r="I33" s="70"/>
      <c r="J33" s="106"/>
      <c r="K33" s="69" t="s">
        <v>1378</v>
      </c>
      <c r="L33" s="107">
        <v>3.4715201112156202</v>
      </c>
      <c r="M33" s="74">
        <v>5870.37939453125</v>
      </c>
      <c r="N33" s="74">
        <v>1508.654296875</v>
      </c>
      <c r="O33" s="75"/>
      <c r="P33" s="76"/>
      <c r="Q33" s="76"/>
      <c r="R33" s="88"/>
      <c r="S33" s="49">
        <v>3</v>
      </c>
      <c r="T33" s="49">
        <v>0</v>
      </c>
      <c r="U33" s="50">
        <v>0.66666700000000001</v>
      </c>
      <c r="V33" s="50">
        <v>0.2</v>
      </c>
      <c r="W33" s="50">
        <v>0</v>
      </c>
      <c r="X33" s="50">
        <v>0.944801</v>
      </c>
      <c r="Y33" s="50">
        <v>0.33333333333333331</v>
      </c>
      <c r="Z33" s="50">
        <v>0</v>
      </c>
      <c r="AA33" s="71">
        <v>33</v>
      </c>
      <c r="AB33"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33" s="72"/>
      <c r="AD33" s="79" t="s">
        <v>955</v>
      </c>
      <c r="AE33" s="85" t="s">
        <v>1077</v>
      </c>
      <c r="AF33" s="79">
        <v>220</v>
      </c>
      <c r="AG33" s="79">
        <v>835</v>
      </c>
      <c r="AH33" s="79">
        <v>1549</v>
      </c>
      <c r="AI33" s="79">
        <v>830</v>
      </c>
      <c r="AJ33" s="79"/>
      <c r="AK33" s="79" t="s">
        <v>1192</v>
      </c>
      <c r="AL33" s="79" t="s">
        <v>1308</v>
      </c>
      <c r="AM33" s="83" t="str">
        <f>HYPERLINK("https://t.co/UzVmQo3SYQ")</f>
        <v>https://t.co/UzVmQo3SYQ</v>
      </c>
      <c r="AN33" s="79"/>
      <c r="AO33" s="81">
        <v>41701.734409722223</v>
      </c>
      <c r="AP33" s="83" t="str">
        <f>HYPERLINK("https://pbs.twimg.com/profile_banners/2370729536/1528919838")</f>
        <v>https://pbs.twimg.com/profile_banners/2370729536/1528919838</v>
      </c>
      <c r="AQ33" s="79" t="b">
        <v>1</v>
      </c>
      <c r="AR33" s="79" t="b">
        <v>0</v>
      </c>
      <c r="AS33" s="79" t="b">
        <v>1</v>
      </c>
      <c r="AT33" s="79"/>
      <c r="AU33" s="79">
        <v>6</v>
      </c>
      <c r="AV33" s="83" t="str">
        <f>HYPERLINK("https://abs.twimg.com/images/themes/theme1/bg.png")</f>
        <v>https://abs.twimg.com/images/themes/theme1/bg.png</v>
      </c>
      <c r="AW33" s="79" t="b">
        <v>0</v>
      </c>
      <c r="AX33" s="79" t="s">
        <v>1376</v>
      </c>
      <c r="AY33" s="83" t="str">
        <f>HYPERLINK("https://twitter.com/kstateofgs")</f>
        <v>https://twitter.com/kstateofgs</v>
      </c>
      <c r="AZ33" s="79" t="s">
        <v>65</v>
      </c>
      <c r="BA33" s="78" t="str">
        <f>REPLACE(INDEX(GroupVertices[Group], MATCH(Vertices[[#This Row],[Vertex]],GroupVertices[Vertex],0)),1,1,"")</f>
        <v>7</v>
      </c>
      <c r="BB33" s="49"/>
      <c r="BC33" s="49"/>
      <c r="BD33" s="49"/>
      <c r="BE33" s="49"/>
      <c r="BF33" s="49"/>
      <c r="BG33" s="49"/>
      <c r="BH33" s="49"/>
      <c r="BI33" s="49"/>
      <c r="BJ33" s="49"/>
      <c r="BK33" s="49"/>
      <c r="BL33" s="2"/>
      <c r="BM33" s="3"/>
      <c r="BN33" s="3"/>
      <c r="BO33" s="3"/>
      <c r="BP33" s="3"/>
    </row>
    <row r="34" spans="1:68" x14ac:dyDescent="0.25">
      <c r="A34" s="64" t="s">
        <v>301</v>
      </c>
      <c r="B34" s="65"/>
      <c r="C34" s="65"/>
      <c r="D34" s="66">
        <v>20.483871209677421</v>
      </c>
      <c r="E34" s="104"/>
      <c r="F34" s="96" t="str">
        <f>HYPERLINK("https://pbs.twimg.com/profile_images/1242154696166510595/SWlZvfiM_normal.jpg")</f>
        <v>https://pbs.twimg.com/profile_images/1242154696166510595/SWlZvfiM_normal.jpg</v>
      </c>
      <c r="G34" s="105"/>
      <c r="H34" s="69" t="s">
        <v>301</v>
      </c>
      <c r="I34" s="70"/>
      <c r="J34" s="106"/>
      <c r="K34" s="69" t="s">
        <v>1377</v>
      </c>
      <c r="L34" s="107">
        <v>3.4715201112156202</v>
      </c>
      <c r="M34" s="74">
        <v>6099.97216796875</v>
      </c>
      <c r="N34" s="74">
        <v>3249.6787109375</v>
      </c>
      <c r="O34" s="75"/>
      <c r="P34" s="76"/>
      <c r="Q34" s="76"/>
      <c r="R34" s="88"/>
      <c r="S34" s="49">
        <v>3</v>
      </c>
      <c r="T34" s="49">
        <v>0</v>
      </c>
      <c r="U34" s="50">
        <v>0.66666700000000001</v>
      </c>
      <c r="V34" s="50">
        <v>0.2</v>
      </c>
      <c r="W34" s="50">
        <v>0</v>
      </c>
      <c r="X34" s="50">
        <v>0.944801</v>
      </c>
      <c r="Y34" s="50">
        <v>0.33333333333333331</v>
      </c>
      <c r="Z34" s="50">
        <v>0</v>
      </c>
      <c r="AA34" s="71">
        <v>34</v>
      </c>
      <c r="AB34"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34" s="72"/>
      <c r="AD34" s="79" t="s">
        <v>954</v>
      </c>
      <c r="AE34" s="85" t="s">
        <v>1076</v>
      </c>
      <c r="AF34" s="79">
        <v>93</v>
      </c>
      <c r="AG34" s="79">
        <v>151</v>
      </c>
      <c r="AH34" s="79">
        <v>218</v>
      </c>
      <c r="AI34" s="79">
        <v>442</v>
      </c>
      <c r="AJ34" s="79"/>
      <c r="AK34" s="79"/>
      <c r="AL34" s="79"/>
      <c r="AM34" s="79"/>
      <c r="AN34" s="79"/>
      <c r="AO34" s="81">
        <v>43912.692048611112</v>
      </c>
      <c r="AP34" s="83" t="str">
        <f>HYPERLINK("https://pbs.twimg.com/profile_banners/1241765573991809027/1585444607")</f>
        <v>https://pbs.twimg.com/profile_banners/1241765573991809027/1585444607</v>
      </c>
      <c r="AQ34" s="79" t="b">
        <v>1</v>
      </c>
      <c r="AR34" s="79" t="b">
        <v>0</v>
      </c>
      <c r="AS34" s="79" t="b">
        <v>0</v>
      </c>
      <c r="AT34" s="79"/>
      <c r="AU34" s="79">
        <v>0</v>
      </c>
      <c r="AV34" s="79"/>
      <c r="AW34" s="79" t="b">
        <v>0</v>
      </c>
      <c r="AX34" s="79" t="s">
        <v>1376</v>
      </c>
      <c r="AY34" s="83" t="str">
        <f>HYPERLINK("https://twitter.com/kstatesuccess")</f>
        <v>https://twitter.com/kstatesuccess</v>
      </c>
      <c r="AZ34" s="79" t="s">
        <v>65</v>
      </c>
      <c r="BA34" s="78" t="str">
        <f>REPLACE(INDEX(GroupVertices[Group], MATCH(Vertices[[#This Row],[Vertex]],GroupVertices[Vertex],0)),1,1,"")</f>
        <v>7</v>
      </c>
      <c r="BB34" s="49"/>
      <c r="BC34" s="49"/>
      <c r="BD34" s="49"/>
      <c r="BE34" s="49"/>
      <c r="BF34" s="49"/>
      <c r="BG34" s="49"/>
      <c r="BH34" s="49"/>
      <c r="BI34" s="49"/>
      <c r="BJ34" s="49"/>
      <c r="BK34" s="49"/>
      <c r="BL34" s="2"/>
      <c r="BM34" s="3"/>
      <c r="BN34" s="3"/>
      <c r="BO34" s="3"/>
      <c r="BP34" s="3"/>
    </row>
    <row r="35" spans="1:68" x14ac:dyDescent="0.25">
      <c r="A35" s="64" t="s">
        <v>310</v>
      </c>
      <c r="B35" s="65"/>
      <c r="C35" s="65"/>
      <c r="D35" s="66">
        <v>20</v>
      </c>
      <c r="E35" s="104"/>
      <c r="F35" s="96" t="str">
        <f>HYPERLINK("https://pbs.twimg.com/profile_images/1389171234420690948/nfbkVqEz_normal.jpg")</f>
        <v>https://pbs.twimg.com/profile_images/1389171234420690948/nfbkVqEz_normal.jpg</v>
      </c>
      <c r="G35" s="105"/>
      <c r="H35" s="69" t="s">
        <v>310</v>
      </c>
      <c r="I35" s="70"/>
      <c r="J35" s="106"/>
      <c r="K35" s="69" t="s">
        <v>1423</v>
      </c>
      <c r="L35" s="107">
        <v>1</v>
      </c>
      <c r="M35" s="74">
        <v>7819.72705078125</v>
      </c>
      <c r="N35" s="74">
        <v>7728.9130859375</v>
      </c>
      <c r="O35" s="75"/>
      <c r="P35" s="76"/>
      <c r="Q35" s="76"/>
      <c r="R35" s="88"/>
      <c r="S35" s="49">
        <v>1</v>
      </c>
      <c r="T35" s="49">
        <v>0</v>
      </c>
      <c r="U35" s="50">
        <v>0</v>
      </c>
      <c r="V35" s="50">
        <v>5.587E-3</v>
      </c>
      <c r="W35" s="50">
        <v>2.3249999999999998E-3</v>
      </c>
      <c r="X35" s="50">
        <v>0.49674000000000001</v>
      </c>
      <c r="Y35" s="50">
        <v>0</v>
      </c>
      <c r="Z35" s="50">
        <v>0</v>
      </c>
      <c r="AA35" s="71">
        <v>35</v>
      </c>
      <c r="AB35"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35" s="72"/>
      <c r="AD35" s="79" t="s">
        <v>1000</v>
      </c>
      <c r="AE35" s="85" t="s">
        <v>1119</v>
      </c>
      <c r="AF35" s="79">
        <v>12976</v>
      </c>
      <c r="AG35" s="79">
        <v>784095</v>
      </c>
      <c r="AH35" s="79">
        <v>277845</v>
      </c>
      <c r="AI35" s="79">
        <v>34507</v>
      </c>
      <c r="AJ35" s="79"/>
      <c r="AK35" s="79" t="s">
        <v>1237</v>
      </c>
      <c r="AL35" s="79" t="s">
        <v>1334</v>
      </c>
      <c r="AM35" s="83" t="str">
        <f>HYPERLINK("https://t.co/RZQLINvZO3")</f>
        <v>https://t.co/RZQLINvZO3</v>
      </c>
      <c r="AN35" s="79"/>
      <c r="AO35" s="81">
        <v>40959.107291666667</v>
      </c>
      <c r="AP35" s="83" t="str">
        <f>HYPERLINK("https://pbs.twimg.com/profile_banners/497511506/1625782757")</f>
        <v>https://pbs.twimg.com/profile_banners/497511506/1625782757</v>
      </c>
      <c r="AQ35" s="79" t="b">
        <v>0</v>
      </c>
      <c r="AR35" s="79" t="b">
        <v>0</v>
      </c>
      <c r="AS35" s="79" t="b">
        <v>1</v>
      </c>
      <c r="AT35" s="79"/>
      <c r="AU35" s="79">
        <v>779</v>
      </c>
      <c r="AV35" s="83" t="str">
        <f>HYPERLINK("https://abs.twimg.com/images/themes/theme6/bg.gif")</f>
        <v>https://abs.twimg.com/images/themes/theme6/bg.gif</v>
      </c>
      <c r="AW35" s="79" t="b">
        <v>1</v>
      </c>
      <c r="AX35" s="79" t="s">
        <v>1376</v>
      </c>
      <c r="AY35" s="83" t="str">
        <f>HYPERLINK("https://twitter.com/alcaldiademed")</f>
        <v>https://twitter.com/alcaldiademed</v>
      </c>
      <c r="AZ35" s="79" t="s">
        <v>65</v>
      </c>
      <c r="BA35" s="78" t="str">
        <f>REPLACE(INDEX(GroupVertices[Group], MATCH(Vertices[[#This Row],[Vertex]],GroupVertices[Vertex],0)),1,1,"")</f>
        <v>4</v>
      </c>
      <c r="BB35" s="49"/>
      <c r="BC35" s="49"/>
      <c r="BD35" s="49"/>
      <c r="BE35" s="49"/>
      <c r="BF35" s="49"/>
      <c r="BG35" s="49"/>
      <c r="BH35" s="49"/>
      <c r="BI35" s="49"/>
      <c r="BJ35" s="49"/>
      <c r="BK35" s="49"/>
      <c r="BL35" s="2"/>
      <c r="BM35" s="3"/>
      <c r="BN35" s="3"/>
      <c r="BO35" s="3"/>
      <c r="BP35" s="3"/>
    </row>
    <row r="36" spans="1:68" x14ac:dyDescent="0.25">
      <c r="A36" s="64" t="s">
        <v>305</v>
      </c>
      <c r="B36" s="65"/>
      <c r="C36" s="65"/>
      <c r="D36" s="66">
        <v>20</v>
      </c>
      <c r="E36" s="104"/>
      <c r="F36" s="96" t="str">
        <f>HYPERLINK("https://pbs.twimg.com/profile_images/568884049058357248/M-VeVL9u_normal.jpeg")</f>
        <v>https://pbs.twimg.com/profile_images/568884049058357248/M-VeVL9u_normal.jpeg</v>
      </c>
      <c r="G36" s="105"/>
      <c r="H36" s="69" t="s">
        <v>305</v>
      </c>
      <c r="I36" s="70"/>
      <c r="J36" s="106"/>
      <c r="K36" s="69" t="s">
        <v>1399</v>
      </c>
      <c r="L36" s="107">
        <v>1</v>
      </c>
      <c r="M36" s="74">
        <v>6851.1650390625</v>
      </c>
      <c r="N36" s="74">
        <v>5636.81201171875</v>
      </c>
      <c r="O36" s="75"/>
      <c r="P36" s="76"/>
      <c r="Q36" s="76"/>
      <c r="R36" s="88"/>
      <c r="S36" s="49">
        <v>1</v>
      </c>
      <c r="T36" s="49">
        <v>0</v>
      </c>
      <c r="U36" s="50">
        <v>0</v>
      </c>
      <c r="V36" s="50">
        <v>4.2550000000000001E-3</v>
      </c>
      <c r="W36" s="50">
        <v>3.0400000000000002E-4</v>
      </c>
      <c r="X36" s="50">
        <v>0.52250099999999999</v>
      </c>
      <c r="Y36" s="50">
        <v>0</v>
      </c>
      <c r="Z36" s="50">
        <v>0</v>
      </c>
      <c r="AA36" s="71">
        <v>36</v>
      </c>
      <c r="AB36"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36" s="72"/>
      <c r="AD36" s="79" t="s">
        <v>976</v>
      </c>
      <c r="AE36" s="85" t="s">
        <v>1097</v>
      </c>
      <c r="AF36" s="79">
        <v>360</v>
      </c>
      <c r="AG36" s="79">
        <v>397957</v>
      </c>
      <c r="AH36" s="79">
        <v>10563</v>
      </c>
      <c r="AI36" s="79">
        <v>65</v>
      </c>
      <c r="AJ36" s="79"/>
      <c r="AK36" s="79" t="s">
        <v>1213</v>
      </c>
      <c r="AL36" s="79"/>
      <c r="AM36" s="83" t="str">
        <f>HYPERLINK("http://t.co/gR93LLUqRV")</f>
        <v>http://t.co/gR93LLUqRV</v>
      </c>
      <c r="AN36" s="79"/>
      <c r="AO36" s="81">
        <v>41237.814699074072</v>
      </c>
      <c r="AP36" s="83" t="str">
        <f>HYPERLINK("https://pbs.twimg.com/profile_banners/968650362/1366831169")</f>
        <v>https://pbs.twimg.com/profile_banners/968650362/1366831169</v>
      </c>
      <c r="AQ36" s="79" t="b">
        <v>0</v>
      </c>
      <c r="AR36" s="79" t="b">
        <v>0</v>
      </c>
      <c r="AS36" s="79" t="b">
        <v>1</v>
      </c>
      <c r="AT36" s="79"/>
      <c r="AU36" s="79">
        <v>3332</v>
      </c>
      <c r="AV36" s="83" t="str">
        <f>HYPERLINK("https://abs.twimg.com/images/themes/theme15/bg.png")</f>
        <v>https://abs.twimg.com/images/themes/theme15/bg.png</v>
      </c>
      <c r="AW36" s="79" t="b">
        <v>1</v>
      </c>
      <c r="AX36" s="79" t="s">
        <v>1376</v>
      </c>
      <c r="AY36" s="83" t="str">
        <f>HYPERLINK("https://twitter.com/sentomcotton")</f>
        <v>https://twitter.com/sentomcotton</v>
      </c>
      <c r="AZ36" s="79" t="s">
        <v>65</v>
      </c>
      <c r="BA36" s="78" t="str">
        <f>REPLACE(INDEX(GroupVertices[Group], MATCH(Vertices[[#This Row],[Vertex]],GroupVertices[Vertex],0)),1,1,"")</f>
        <v>6</v>
      </c>
      <c r="BB36" s="49"/>
      <c r="BC36" s="49"/>
      <c r="BD36" s="49"/>
      <c r="BE36" s="49"/>
      <c r="BF36" s="49"/>
      <c r="BG36" s="49"/>
      <c r="BH36" s="49"/>
      <c r="BI36" s="49"/>
      <c r="BJ36" s="49"/>
      <c r="BK36" s="49"/>
      <c r="BL36" s="2"/>
      <c r="BM36" s="3"/>
      <c r="BN36" s="3"/>
      <c r="BO36" s="3"/>
      <c r="BP36" s="3"/>
    </row>
    <row r="37" spans="1:68" x14ac:dyDescent="0.25">
      <c r="A37" s="64" t="s">
        <v>306</v>
      </c>
      <c r="B37" s="65"/>
      <c r="C37" s="65"/>
      <c r="D37" s="66">
        <v>20</v>
      </c>
      <c r="E37" s="104"/>
      <c r="F37" s="96" t="str">
        <f>HYPERLINK("https://pbs.twimg.com/profile_images/1246564218259767296/iwEbEtCj_normal.jpg")</f>
        <v>https://pbs.twimg.com/profile_images/1246564218259767296/iwEbEtCj_normal.jpg</v>
      </c>
      <c r="G37" s="105"/>
      <c r="H37" s="69" t="s">
        <v>306</v>
      </c>
      <c r="I37" s="70"/>
      <c r="J37" s="106"/>
      <c r="K37" s="69" t="s">
        <v>1401</v>
      </c>
      <c r="L37" s="107">
        <v>1</v>
      </c>
      <c r="M37" s="74">
        <v>7607.8955078125</v>
      </c>
      <c r="N37" s="74">
        <v>6471.57568359375</v>
      </c>
      <c r="O37" s="75"/>
      <c r="P37" s="76"/>
      <c r="Q37" s="76"/>
      <c r="R37" s="88"/>
      <c r="S37" s="49">
        <v>1</v>
      </c>
      <c r="T37" s="49">
        <v>0</v>
      </c>
      <c r="U37" s="50">
        <v>0</v>
      </c>
      <c r="V37" s="50">
        <v>4.2550000000000001E-3</v>
      </c>
      <c r="W37" s="50">
        <v>3.0400000000000002E-4</v>
      </c>
      <c r="X37" s="50">
        <v>0.52250099999999999</v>
      </c>
      <c r="Y37" s="50">
        <v>0</v>
      </c>
      <c r="Z37" s="50">
        <v>0</v>
      </c>
      <c r="AA37" s="71">
        <v>37</v>
      </c>
      <c r="AB37"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37" s="72"/>
      <c r="AD37" s="79" t="s">
        <v>978</v>
      </c>
      <c r="AE37" s="85" t="s">
        <v>1099</v>
      </c>
      <c r="AF37" s="79">
        <v>12163</v>
      </c>
      <c r="AG37" s="79">
        <v>309008</v>
      </c>
      <c r="AH37" s="79">
        <v>46805</v>
      </c>
      <c r="AI37" s="79">
        <v>6034</v>
      </c>
      <c r="AJ37" s="79"/>
      <c r="AK37" s="79" t="s">
        <v>1215</v>
      </c>
      <c r="AL37" s="79" t="s">
        <v>1321</v>
      </c>
      <c r="AM37" s="79"/>
      <c r="AN37" s="79"/>
      <c r="AO37" s="81">
        <v>39485.828414351854</v>
      </c>
      <c r="AP37" s="83" t="str">
        <f>HYPERLINK("https://pbs.twimg.com/profile_banners/13218102/1584541403")</f>
        <v>https://pbs.twimg.com/profile_banners/13218102/1584541403</v>
      </c>
      <c r="AQ37" s="79" t="b">
        <v>0</v>
      </c>
      <c r="AR37" s="79" t="b">
        <v>0</v>
      </c>
      <c r="AS37" s="79" t="b">
        <v>0</v>
      </c>
      <c r="AT37" s="79"/>
      <c r="AU37" s="79">
        <v>5703</v>
      </c>
      <c r="AV37" s="83" t="str">
        <f t="shared" ref="AV37:AV44" si="0">HYPERLINK("https://abs.twimg.com/images/themes/theme1/bg.png")</f>
        <v>https://abs.twimg.com/images/themes/theme1/bg.png</v>
      </c>
      <c r="AW37" s="79" t="b">
        <v>1</v>
      </c>
      <c r="AX37" s="79" t="s">
        <v>1376</v>
      </c>
      <c r="AY37" s="83" t="str">
        <f>HYPERLINK("https://twitter.com/johncornyn")</f>
        <v>https://twitter.com/johncornyn</v>
      </c>
      <c r="AZ37" s="79" t="s">
        <v>65</v>
      </c>
      <c r="BA37" s="78" t="str">
        <f>REPLACE(INDEX(GroupVertices[Group], MATCH(Vertices[[#This Row],[Vertex]],GroupVertices[Vertex],0)),1,1,"")</f>
        <v>6</v>
      </c>
      <c r="BB37" s="49"/>
      <c r="BC37" s="49"/>
      <c r="BD37" s="49"/>
      <c r="BE37" s="49"/>
      <c r="BF37" s="49"/>
      <c r="BG37" s="49"/>
      <c r="BH37" s="49"/>
      <c r="BI37" s="49"/>
      <c r="BJ37" s="49"/>
      <c r="BK37" s="49"/>
      <c r="BL37" s="2"/>
      <c r="BM37" s="3"/>
      <c r="BN37" s="3"/>
      <c r="BO37" s="3"/>
      <c r="BP37" s="3"/>
    </row>
    <row r="38" spans="1:68" x14ac:dyDescent="0.25">
      <c r="A38" s="64" t="s">
        <v>326</v>
      </c>
      <c r="B38" s="65"/>
      <c r="C38" s="65"/>
      <c r="D38" s="66">
        <v>20</v>
      </c>
      <c r="E38" s="104"/>
      <c r="F38" s="96" t="str">
        <f>HYPERLINK("https://pbs.twimg.com/profile_images/1398374383027200008/3VfiQM9u_normal.jpg")</f>
        <v>https://pbs.twimg.com/profile_images/1398374383027200008/3VfiQM9u_normal.jpg</v>
      </c>
      <c r="G38" s="105"/>
      <c r="H38" s="69" t="s">
        <v>326</v>
      </c>
      <c r="I38" s="70"/>
      <c r="J38" s="106"/>
      <c r="K38" s="69" t="s">
        <v>1470</v>
      </c>
      <c r="L38" s="107">
        <v>1</v>
      </c>
      <c r="M38" s="74">
        <v>5640.4609375</v>
      </c>
      <c r="N38" s="74">
        <v>5353.423828125</v>
      </c>
      <c r="O38" s="75"/>
      <c r="P38" s="76"/>
      <c r="Q38" s="76"/>
      <c r="R38" s="88"/>
      <c r="S38" s="49">
        <v>2</v>
      </c>
      <c r="T38" s="49">
        <v>0</v>
      </c>
      <c r="U38" s="50">
        <v>0</v>
      </c>
      <c r="V38" s="50">
        <v>0.16666700000000001</v>
      </c>
      <c r="W38" s="50">
        <v>0</v>
      </c>
      <c r="X38" s="50">
        <v>0.78296699999999997</v>
      </c>
      <c r="Y38" s="50">
        <v>1</v>
      </c>
      <c r="Z38" s="50">
        <v>0</v>
      </c>
      <c r="AA38" s="71">
        <v>38</v>
      </c>
      <c r="AB38"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38" s="72"/>
      <c r="AD38" s="79" t="s">
        <v>1047</v>
      </c>
      <c r="AE38" s="85" t="s">
        <v>1165</v>
      </c>
      <c r="AF38" s="79">
        <v>1035</v>
      </c>
      <c r="AG38" s="79">
        <v>200730</v>
      </c>
      <c r="AH38" s="79">
        <v>15933</v>
      </c>
      <c r="AI38" s="79">
        <v>3147</v>
      </c>
      <c r="AJ38" s="79"/>
      <c r="AK38" s="79" t="s">
        <v>1281</v>
      </c>
      <c r="AL38" s="79" t="s">
        <v>1340</v>
      </c>
      <c r="AM38" s="83" t="str">
        <f>HYPERLINK("https://t.co/P6lBJPkIxI")</f>
        <v>https://t.co/P6lBJPkIxI</v>
      </c>
      <c r="AN38" s="79"/>
      <c r="AO38" s="81">
        <v>39819.875833333332</v>
      </c>
      <c r="AP38" s="83" t="str">
        <f>HYPERLINK("https://pbs.twimg.com/profile_banners/18695134/1545829307")</f>
        <v>https://pbs.twimg.com/profile_banners/18695134/1545829307</v>
      </c>
      <c r="AQ38" s="79" t="b">
        <v>0</v>
      </c>
      <c r="AR38" s="79" t="b">
        <v>0</v>
      </c>
      <c r="AS38" s="79" t="b">
        <v>1</v>
      </c>
      <c r="AT38" s="79"/>
      <c r="AU38" s="79">
        <v>3879</v>
      </c>
      <c r="AV38" s="83" t="str">
        <f t="shared" si="0"/>
        <v>https://abs.twimg.com/images/themes/theme1/bg.png</v>
      </c>
      <c r="AW38" s="79" t="b">
        <v>1</v>
      </c>
      <c r="AX38" s="79" t="s">
        <v>1376</v>
      </c>
      <c r="AY38" s="83" t="str">
        <f>HYPERLINK("https://twitter.com/senatormenendez")</f>
        <v>https://twitter.com/senatormenendez</v>
      </c>
      <c r="AZ38" s="79" t="s">
        <v>65</v>
      </c>
      <c r="BA38" s="78" t="str">
        <f>REPLACE(INDEX(GroupVertices[Group], MATCH(Vertices[[#This Row],[Vertex]],GroupVertices[Vertex],0)),1,1,"")</f>
        <v>8</v>
      </c>
      <c r="BB38" s="49"/>
      <c r="BC38" s="49"/>
      <c r="BD38" s="49"/>
      <c r="BE38" s="49"/>
      <c r="BF38" s="49"/>
      <c r="BG38" s="49"/>
      <c r="BH38" s="49"/>
      <c r="BI38" s="49"/>
      <c r="BJ38" s="49"/>
      <c r="BK38" s="49"/>
      <c r="BL38" s="2"/>
      <c r="BM38" s="3"/>
      <c r="BN38" s="3"/>
      <c r="BO38" s="3"/>
      <c r="BP38" s="3"/>
    </row>
    <row r="39" spans="1:68" x14ac:dyDescent="0.25">
      <c r="A39" s="64" t="s">
        <v>327</v>
      </c>
      <c r="B39" s="65"/>
      <c r="C39" s="65"/>
      <c r="D39" s="66">
        <v>20</v>
      </c>
      <c r="E39" s="104"/>
      <c r="F39" s="96" t="str">
        <f>HYPERLINK("https://pbs.twimg.com/profile_images/827586956376829952/F-rxck4H_normal.jpg")</f>
        <v>https://pbs.twimg.com/profile_images/827586956376829952/F-rxck4H_normal.jpg</v>
      </c>
      <c r="G39" s="105"/>
      <c r="H39" s="69" t="s">
        <v>327</v>
      </c>
      <c r="I39" s="70"/>
      <c r="J39" s="106"/>
      <c r="K39" s="69" t="s">
        <v>1472</v>
      </c>
      <c r="L39" s="107">
        <v>1</v>
      </c>
      <c r="M39" s="74">
        <v>6691.7294921875</v>
      </c>
      <c r="N39" s="74">
        <v>3527.4267578125</v>
      </c>
      <c r="O39" s="75"/>
      <c r="P39" s="76"/>
      <c r="Q39" s="76"/>
      <c r="R39" s="88"/>
      <c r="S39" s="49">
        <v>2</v>
      </c>
      <c r="T39" s="49">
        <v>0</v>
      </c>
      <c r="U39" s="50">
        <v>0</v>
      </c>
      <c r="V39" s="50">
        <v>0.16666700000000001</v>
      </c>
      <c r="W39" s="50">
        <v>0</v>
      </c>
      <c r="X39" s="50">
        <v>0.78296699999999997</v>
      </c>
      <c r="Y39" s="50">
        <v>1</v>
      </c>
      <c r="Z39" s="50">
        <v>0</v>
      </c>
      <c r="AA39" s="71">
        <v>39</v>
      </c>
      <c r="AB39"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39" s="72"/>
      <c r="AD39" s="79" t="s">
        <v>1049</v>
      </c>
      <c r="AE39" s="85" t="s">
        <v>1167</v>
      </c>
      <c r="AF39" s="79">
        <v>5808</v>
      </c>
      <c r="AG39" s="79">
        <v>181241</v>
      </c>
      <c r="AH39" s="79">
        <v>6969</v>
      </c>
      <c r="AI39" s="79">
        <v>1341</v>
      </c>
      <c r="AJ39" s="79"/>
      <c r="AK39" s="79" t="s">
        <v>1282</v>
      </c>
      <c r="AL39" s="79" t="s">
        <v>1362</v>
      </c>
      <c r="AM39" s="83" t="str">
        <f>HYPERLINK("http://t.co/bl28yzvbjQ")</f>
        <v>http://t.co/bl28yzvbjQ</v>
      </c>
      <c r="AN39" s="79"/>
      <c r="AO39" s="81">
        <v>41578.79310185185</v>
      </c>
      <c r="AP39" s="83" t="str">
        <f>HYPERLINK("https://pbs.twimg.com/profile_banners/2167097881/1579194882")</f>
        <v>https://pbs.twimg.com/profile_banners/2167097881/1579194882</v>
      </c>
      <c r="AQ39" s="79" t="b">
        <v>1</v>
      </c>
      <c r="AR39" s="79" t="b">
        <v>0</v>
      </c>
      <c r="AS39" s="79" t="b">
        <v>0</v>
      </c>
      <c r="AT39" s="79"/>
      <c r="AU39" s="79">
        <v>2215</v>
      </c>
      <c r="AV39" s="83" t="str">
        <f t="shared" si="0"/>
        <v>https://abs.twimg.com/images/themes/theme1/bg.png</v>
      </c>
      <c r="AW39" s="79" t="b">
        <v>1</v>
      </c>
      <c r="AX39" s="79" t="s">
        <v>1376</v>
      </c>
      <c r="AY39" s="83" t="str">
        <f>HYPERLINK("https://twitter.com/senbooker")</f>
        <v>https://twitter.com/senbooker</v>
      </c>
      <c r="AZ39" s="79" t="s">
        <v>65</v>
      </c>
      <c r="BA39" s="78" t="str">
        <f>REPLACE(INDEX(GroupVertices[Group], MATCH(Vertices[[#This Row],[Vertex]],GroupVertices[Vertex],0)),1,1,"")</f>
        <v>8</v>
      </c>
      <c r="BB39" s="49"/>
      <c r="BC39" s="49"/>
      <c r="BD39" s="49"/>
      <c r="BE39" s="49"/>
      <c r="BF39" s="49"/>
      <c r="BG39" s="49"/>
      <c r="BH39" s="49"/>
      <c r="BI39" s="49"/>
      <c r="BJ39" s="49"/>
      <c r="BK39" s="49"/>
      <c r="BL39" s="2"/>
      <c r="BM39" s="3"/>
      <c r="BN39" s="3"/>
      <c r="BO39" s="3"/>
      <c r="BP39" s="3"/>
    </row>
    <row r="40" spans="1:68" x14ac:dyDescent="0.25">
      <c r="A40" s="64" t="s">
        <v>315</v>
      </c>
      <c r="B40" s="65"/>
      <c r="C40" s="65"/>
      <c r="D40" s="66">
        <v>20</v>
      </c>
      <c r="E40" s="104"/>
      <c r="F40" s="96" t="str">
        <f>HYPERLINK("https://pbs.twimg.com/profile_images/1146095231689003009/KkADxOaM_normal.png")</f>
        <v>https://pbs.twimg.com/profile_images/1146095231689003009/KkADxOaM_normal.png</v>
      </c>
      <c r="G40" s="105"/>
      <c r="H40" s="69" t="s">
        <v>315</v>
      </c>
      <c r="I40" s="70"/>
      <c r="J40" s="106"/>
      <c r="K40" s="69" t="s">
        <v>1428</v>
      </c>
      <c r="L40" s="107">
        <v>1</v>
      </c>
      <c r="M40" s="74">
        <v>8416.8037109375</v>
      </c>
      <c r="N40" s="74">
        <v>7672.31298828125</v>
      </c>
      <c r="O40" s="75"/>
      <c r="P40" s="76"/>
      <c r="Q40" s="76"/>
      <c r="R40" s="88"/>
      <c r="S40" s="49">
        <v>1</v>
      </c>
      <c r="T40" s="49">
        <v>0</v>
      </c>
      <c r="U40" s="50">
        <v>0</v>
      </c>
      <c r="V40" s="50">
        <v>5.587E-3</v>
      </c>
      <c r="W40" s="50">
        <v>2.3249999999999998E-3</v>
      </c>
      <c r="X40" s="50">
        <v>0.49674000000000001</v>
      </c>
      <c r="Y40" s="50">
        <v>0</v>
      </c>
      <c r="Z40" s="50">
        <v>0</v>
      </c>
      <c r="AA40" s="71">
        <v>40</v>
      </c>
      <c r="AB40"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40" s="72"/>
      <c r="AD40" s="79" t="s">
        <v>1005</v>
      </c>
      <c r="AE40" s="85" t="s">
        <v>1124</v>
      </c>
      <c r="AF40" s="79">
        <v>693</v>
      </c>
      <c r="AG40" s="79">
        <v>79236</v>
      </c>
      <c r="AH40" s="79">
        <v>21668</v>
      </c>
      <c r="AI40" s="79">
        <v>9153</v>
      </c>
      <c r="AJ40" s="79"/>
      <c r="AK40" s="79" t="s">
        <v>1241</v>
      </c>
      <c r="AL40" s="79" t="s">
        <v>1336</v>
      </c>
      <c r="AM40" s="83" t="str">
        <f>HYPERLINK("https://t.co/YPlX0kpQvu")</f>
        <v>https://t.co/YPlX0kpQvu</v>
      </c>
      <c r="AN40" s="79"/>
      <c r="AO40" s="81">
        <v>40594.660115740742</v>
      </c>
      <c r="AP40" s="83" t="str">
        <f>HYPERLINK("https://pbs.twimg.com/profile_banners/255059151/1627473759")</f>
        <v>https://pbs.twimg.com/profile_banners/255059151/1627473759</v>
      </c>
      <c r="AQ40" s="79" t="b">
        <v>1</v>
      </c>
      <c r="AR40" s="79" t="b">
        <v>0</v>
      </c>
      <c r="AS40" s="79" t="b">
        <v>1</v>
      </c>
      <c r="AT40" s="79"/>
      <c r="AU40" s="79">
        <v>792</v>
      </c>
      <c r="AV40" s="83" t="str">
        <f t="shared" si="0"/>
        <v>https://abs.twimg.com/images/themes/theme1/bg.png</v>
      </c>
      <c r="AW40" s="79" t="b">
        <v>1</v>
      </c>
      <c r="AX40" s="79" t="s">
        <v>1376</v>
      </c>
      <c r="AY40" s="83" t="str">
        <f>HYPERLINK("https://twitter.com/chipubschools")</f>
        <v>https://twitter.com/chipubschools</v>
      </c>
      <c r="AZ40" s="79" t="s">
        <v>65</v>
      </c>
      <c r="BA40" s="78" t="str">
        <f>REPLACE(INDEX(GroupVertices[Group], MATCH(Vertices[[#This Row],[Vertex]],GroupVertices[Vertex],0)),1,1,"")</f>
        <v>4</v>
      </c>
      <c r="BB40" s="49"/>
      <c r="BC40" s="49"/>
      <c r="BD40" s="49"/>
      <c r="BE40" s="49"/>
      <c r="BF40" s="49"/>
      <c r="BG40" s="49"/>
      <c r="BH40" s="49"/>
      <c r="BI40" s="49"/>
      <c r="BJ40" s="49"/>
      <c r="BK40" s="49"/>
      <c r="BL40" s="2"/>
      <c r="BM40" s="3"/>
      <c r="BN40" s="3"/>
      <c r="BO40" s="3"/>
      <c r="BP40" s="3"/>
    </row>
    <row r="41" spans="1:68" x14ac:dyDescent="0.25">
      <c r="A41" s="64" t="s">
        <v>332</v>
      </c>
      <c r="B41" s="65"/>
      <c r="C41" s="65"/>
      <c r="D41" s="66">
        <v>20</v>
      </c>
      <c r="E41" s="104"/>
      <c r="F41" s="96" t="str">
        <f>HYPERLINK("https://pbs.twimg.com/profile_images/1227347272075272193/GH2CwHqF_normal.jpg")</f>
        <v>https://pbs.twimg.com/profile_images/1227347272075272193/GH2CwHqF_normal.jpg</v>
      </c>
      <c r="G41" s="105"/>
      <c r="H41" s="69" t="s">
        <v>332</v>
      </c>
      <c r="I41" s="70"/>
      <c r="J41" s="106"/>
      <c r="K41" s="69" t="s">
        <v>1490</v>
      </c>
      <c r="L41" s="107">
        <v>1</v>
      </c>
      <c r="M41" s="74">
        <v>1573.134765625</v>
      </c>
      <c r="N41" s="74">
        <v>6858.94921875</v>
      </c>
      <c r="O41" s="75"/>
      <c r="P41" s="76"/>
      <c r="Q41" s="76"/>
      <c r="R41" s="88"/>
      <c r="S41" s="49">
        <v>2</v>
      </c>
      <c r="T41" s="49">
        <v>0</v>
      </c>
      <c r="U41" s="50">
        <v>0</v>
      </c>
      <c r="V41" s="50">
        <v>7.2459999999999998E-3</v>
      </c>
      <c r="W41" s="50">
        <v>1.5969000000000001E-2</v>
      </c>
      <c r="X41" s="50">
        <v>0.59964300000000004</v>
      </c>
      <c r="Y41" s="50">
        <v>0.5</v>
      </c>
      <c r="Z41" s="50">
        <v>0</v>
      </c>
      <c r="AA41" s="71">
        <v>41</v>
      </c>
      <c r="AB41"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41" s="72"/>
      <c r="AD41" s="79" t="s">
        <v>1067</v>
      </c>
      <c r="AE41" s="85" t="s">
        <v>1183</v>
      </c>
      <c r="AF41" s="79">
        <v>1268</v>
      </c>
      <c r="AG41" s="79">
        <v>34556</v>
      </c>
      <c r="AH41" s="79">
        <v>8760</v>
      </c>
      <c r="AI41" s="79">
        <v>868</v>
      </c>
      <c r="AJ41" s="79"/>
      <c r="AK41" s="79" t="s">
        <v>1300</v>
      </c>
      <c r="AL41" s="79"/>
      <c r="AM41" s="83" t="str">
        <f>HYPERLINK("https://t.co/8JoiJrGT6b")</f>
        <v>https://t.co/8JoiJrGT6b</v>
      </c>
      <c r="AN41" s="79"/>
      <c r="AO41" s="81">
        <v>41019.68787037037</v>
      </c>
      <c r="AP41" s="83" t="str">
        <f>HYPERLINK("https://pbs.twimg.com/profile_banners/558769636/1513624686")</f>
        <v>https://pbs.twimg.com/profile_banners/558769636/1513624686</v>
      </c>
      <c r="AQ41" s="79" t="b">
        <v>0</v>
      </c>
      <c r="AR41" s="79" t="b">
        <v>0</v>
      </c>
      <c r="AS41" s="79" t="b">
        <v>1</v>
      </c>
      <c r="AT41" s="79"/>
      <c r="AU41" s="79">
        <v>1105</v>
      </c>
      <c r="AV41" s="83" t="str">
        <f t="shared" si="0"/>
        <v>https://abs.twimg.com/images/themes/theme1/bg.png</v>
      </c>
      <c r="AW41" s="79" t="b">
        <v>1</v>
      </c>
      <c r="AX41" s="79" t="s">
        <v>1376</v>
      </c>
      <c r="AY41" s="83" t="str">
        <f>HYPERLINK("https://twitter.com/repbonamici")</f>
        <v>https://twitter.com/repbonamici</v>
      </c>
      <c r="AZ41" s="79" t="s">
        <v>65</v>
      </c>
      <c r="BA41" s="78" t="str">
        <f>REPLACE(INDEX(GroupVertices[Group], MATCH(Vertices[[#This Row],[Vertex]],GroupVertices[Vertex],0)),1,1,"")</f>
        <v>1</v>
      </c>
      <c r="BB41" s="49"/>
      <c r="BC41" s="49"/>
      <c r="BD41" s="49"/>
      <c r="BE41" s="49"/>
      <c r="BF41" s="49"/>
      <c r="BG41" s="49"/>
      <c r="BH41" s="49"/>
      <c r="BI41" s="49"/>
      <c r="BJ41" s="49"/>
      <c r="BK41" s="49"/>
      <c r="BL41" s="2"/>
      <c r="BM41" s="3"/>
      <c r="BN41" s="3"/>
      <c r="BO41" s="3"/>
      <c r="BP41" s="3"/>
    </row>
    <row r="42" spans="1:68" x14ac:dyDescent="0.25">
      <c r="A42" s="64" t="s">
        <v>329</v>
      </c>
      <c r="B42" s="65"/>
      <c r="C42" s="65"/>
      <c r="D42" s="66">
        <v>20</v>
      </c>
      <c r="E42" s="104"/>
      <c r="F42" s="96" t="str">
        <f>HYPERLINK("https://pbs.twimg.com/profile_images/882716795269992452/uSpxGlm4_normal.jpg")</f>
        <v>https://pbs.twimg.com/profile_images/882716795269992452/uSpxGlm4_normal.jpg</v>
      </c>
      <c r="G42" s="105"/>
      <c r="H42" s="69" t="s">
        <v>329</v>
      </c>
      <c r="I42" s="70"/>
      <c r="J42" s="106"/>
      <c r="K42" s="69" t="s">
        <v>1480</v>
      </c>
      <c r="L42" s="107">
        <v>1</v>
      </c>
      <c r="M42" s="74">
        <v>2734.76806640625</v>
      </c>
      <c r="N42" s="74">
        <v>1290.3592529296875</v>
      </c>
      <c r="O42" s="75"/>
      <c r="P42" s="76"/>
      <c r="Q42" s="76"/>
      <c r="R42" s="88"/>
      <c r="S42" s="49">
        <v>2</v>
      </c>
      <c r="T42" s="49">
        <v>0</v>
      </c>
      <c r="U42" s="50">
        <v>0</v>
      </c>
      <c r="V42" s="50">
        <v>5.7140000000000003E-3</v>
      </c>
      <c r="W42" s="50">
        <v>6.4140000000000004E-3</v>
      </c>
      <c r="X42" s="50">
        <v>0.49408299999999999</v>
      </c>
      <c r="Y42" s="50">
        <v>0.5</v>
      </c>
      <c r="Z42" s="50">
        <v>0</v>
      </c>
      <c r="AA42" s="71">
        <v>42</v>
      </c>
      <c r="AB42"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42" s="72"/>
      <c r="AD42" s="79" t="s">
        <v>1057</v>
      </c>
      <c r="AE42" s="85" t="s">
        <v>1174</v>
      </c>
      <c r="AF42" s="79">
        <v>2445</v>
      </c>
      <c r="AG42" s="79">
        <v>29272</v>
      </c>
      <c r="AH42" s="79">
        <v>10900</v>
      </c>
      <c r="AI42" s="79">
        <v>10329</v>
      </c>
      <c r="AJ42" s="79"/>
      <c r="AK42" s="79" t="s">
        <v>1290</v>
      </c>
      <c r="AL42" s="79" t="s">
        <v>1366</v>
      </c>
      <c r="AM42" s="83" t="str">
        <f>HYPERLINK("http://t.co/YUJi0mWAAj")</f>
        <v>http://t.co/YUJi0mWAAj</v>
      </c>
      <c r="AN42" s="79"/>
      <c r="AO42" s="81">
        <v>39954.558217592596</v>
      </c>
      <c r="AP42" s="83" t="str">
        <f>HYPERLINK("https://pbs.twimg.com/profile_banners/41584672/1615258677")</f>
        <v>https://pbs.twimg.com/profile_banners/41584672/1615258677</v>
      </c>
      <c r="AQ42" s="79" t="b">
        <v>0</v>
      </c>
      <c r="AR42" s="79" t="b">
        <v>0</v>
      </c>
      <c r="AS42" s="79" t="b">
        <v>1</v>
      </c>
      <c r="AT42" s="79"/>
      <c r="AU42" s="79">
        <v>735</v>
      </c>
      <c r="AV42" s="83" t="str">
        <f t="shared" si="0"/>
        <v>https://abs.twimg.com/images/themes/theme1/bg.png</v>
      </c>
      <c r="AW42" s="79" t="b">
        <v>0</v>
      </c>
      <c r="AX42" s="79" t="s">
        <v>1376</v>
      </c>
      <c r="AY42" s="83" t="str">
        <f>HYPERLINK("https://twitter.com/intlspymuseum")</f>
        <v>https://twitter.com/intlspymuseum</v>
      </c>
      <c r="AZ42" s="79" t="s">
        <v>65</v>
      </c>
      <c r="BA42" s="78" t="str">
        <f>REPLACE(INDEX(GroupVertices[Group], MATCH(Vertices[[#This Row],[Vertex]],GroupVertices[Vertex],0)),1,1,"")</f>
        <v>3</v>
      </c>
      <c r="BB42" s="49"/>
      <c r="BC42" s="49"/>
      <c r="BD42" s="49"/>
      <c r="BE42" s="49"/>
      <c r="BF42" s="49"/>
      <c r="BG42" s="49"/>
      <c r="BH42" s="49"/>
      <c r="BI42" s="49"/>
      <c r="BJ42" s="49"/>
      <c r="BK42" s="49"/>
      <c r="BL42" s="2"/>
      <c r="BM42" s="3"/>
      <c r="BN42" s="3"/>
      <c r="BO42" s="3"/>
      <c r="BP42" s="3"/>
    </row>
    <row r="43" spans="1:68" x14ac:dyDescent="0.25">
      <c r="A43" s="64" t="s">
        <v>331</v>
      </c>
      <c r="B43" s="65"/>
      <c r="C43" s="65"/>
      <c r="D43" s="66">
        <v>20</v>
      </c>
      <c r="E43" s="104"/>
      <c r="F43" s="96" t="str">
        <f>HYPERLINK("https://pbs.twimg.com/profile_images/1153316447730487299/Ghq8IV-a_normal.jpg")</f>
        <v>https://pbs.twimg.com/profile_images/1153316447730487299/Ghq8IV-a_normal.jpg</v>
      </c>
      <c r="G43" s="105"/>
      <c r="H43" s="69" t="s">
        <v>331</v>
      </c>
      <c r="I43" s="70"/>
      <c r="J43" s="106"/>
      <c r="K43" s="69" t="s">
        <v>1488</v>
      </c>
      <c r="L43" s="107">
        <v>1</v>
      </c>
      <c r="M43" s="74">
        <v>787.67181396484375</v>
      </c>
      <c r="N43" s="74">
        <v>9565.1171875</v>
      </c>
      <c r="O43" s="75"/>
      <c r="P43" s="76"/>
      <c r="Q43" s="76"/>
      <c r="R43" s="88"/>
      <c r="S43" s="49">
        <v>2</v>
      </c>
      <c r="T43" s="49">
        <v>0</v>
      </c>
      <c r="U43" s="50">
        <v>0</v>
      </c>
      <c r="V43" s="50">
        <v>7.2459999999999998E-3</v>
      </c>
      <c r="W43" s="50">
        <v>1.5969000000000001E-2</v>
      </c>
      <c r="X43" s="50">
        <v>0.59964300000000004</v>
      </c>
      <c r="Y43" s="50">
        <v>0.5</v>
      </c>
      <c r="Z43" s="50">
        <v>0</v>
      </c>
      <c r="AA43" s="71">
        <v>43</v>
      </c>
      <c r="AB43"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43" s="72"/>
      <c r="AD43" s="79" t="s">
        <v>1065</v>
      </c>
      <c r="AE43" s="85" t="s">
        <v>1181</v>
      </c>
      <c r="AF43" s="79">
        <v>777</v>
      </c>
      <c r="AG43" s="79">
        <v>24539</v>
      </c>
      <c r="AH43" s="79">
        <v>14903</v>
      </c>
      <c r="AI43" s="79">
        <v>2760</v>
      </c>
      <c r="AJ43" s="79"/>
      <c r="AK43" s="79" t="s">
        <v>1298</v>
      </c>
      <c r="AL43" s="79" t="s">
        <v>1319</v>
      </c>
      <c r="AM43" s="83" t="str">
        <f>HYPERLINK("https://t.co/3hdB8n2oxF")</f>
        <v>https://t.co/3hdB8n2oxF</v>
      </c>
      <c r="AN43" s="79"/>
      <c r="AO43" s="81">
        <v>39254.888043981482</v>
      </c>
      <c r="AP43" s="83" t="str">
        <f>HYPERLINK("https://pbs.twimg.com/profile_banners/7004382/1560130390")</f>
        <v>https://pbs.twimg.com/profile_banners/7004382/1560130390</v>
      </c>
      <c r="AQ43" s="79" t="b">
        <v>0</v>
      </c>
      <c r="AR43" s="79" t="b">
        <v>0</v>
      </c>
      <c r="AS43" s="79" t="b">
        <v>0</v>
      </c>
      <c r="AT43" s="79"/>
      <c r="AU43" s="79">
        <v>1090</v>
      </c>
      <c r="AV43" s="83" t="str">
        <f t="shared" si="0"/>
        <v>https://abs.twimg.com/images/themes/theme1/bg.png</v>
      </c>
      <c r="AW43" s="79" t="b">
        <v>1</v>
      </c>
      <c r="AX43" s="79" t="s">
        <v>1376</v>
      </c>
      <c r="AY43" s="83" t="str">
        <f>HYPERLINK("https://twitter.com/edlaborcmte")</f>
        <v>https://twitter.com/edlaborcmte</v>
      </c>
      <c r="AZ43" s="79" t="s">
        <v>65</v>
      </c>
      <c r="BA43" s="78" t="str">
        <f>REPLACE(INDEX(GroupVertices[Group], MATCH(Vertices[[#This Row],[Vertex]],GroupVertices[Vertex],0)),1,1,"")</f>
        <v>1</v>
      </c>
      <c r="BB43" s="49"/>
      <c r="BC43" s="49"/>
      <c r="BD43" s="49"/>
      <c r="BE43" s="49"/>
      <c r="BF43" s="49"/>
      <c r="BG43" s="49"/>
      <c r="BH43" s="49"/>
      <c r="BI43" s="49"/>
      <c r="BJ43" s="49"/>
      <c r="BK43" s="49"/>
      <c r="BL43" s="2"/>
      <c r="BM43" s="3"/>
      <c r="BN43" s="3"/>
      <c r="BO43" s="3"/>
      <c r="BP43" s="3"/>
    </row>
    <row r="44" spans="1:68" x14ac:dyDescent="0.25">
      <c r="A44" s="64" t="s">
        <v>240</v>
      </c>
      <c r="B44" s="65"/>
      <c r="C44" s="65"/>
      <c r="D44" s="66">
        <v>20</v>
      </c>
      <c r="E44" s="104"/>
      <c r="F44" s="96" t="str">
        <f>HYPERLINK("https://pbs.twimg.com/profile_images/1214055692493082624/4MTyK1uU_normal.jpg")</f>
        <v>https://pbs.twimg.com/profile_images/1214055692493082624/4MTyK1uU_normal.jpg</v>
      </c>
      <c r="G44" s="105"/>
      <c r="H44" s="69" t="s">
        <v>240</v>
      </c>
      <c r="I44" s="70"/>
      <c r="J44" s="106"/>
      <c r="K44" s="69" t="s">
        <v>1415</v>
      </c>
      <c r="L44" s="107">
        <v>1</v>
      </c>
      <c r="M44" s="74">
        <v>5125.31689453125</v>
      </c>
      <c r="N44" s="74">
        <v>7975.19189453125</v>
      </c>
      <c r="O44" s="75"/>
      <c r="P44" s="76"/>
      <c r="Q44" s="76"/>
      <c r="R44" s="88"/>
      <c r="S44" s="49">
        <v>0</v>
      </c>
      <c r="T44" s="49">
        <v>2</v>
      </c>
      <c r="U44" s="50">
        <v>0</v>
      </c>
      <c r="V44" s="50">
        <v>2.2727000000000001E-2</v>
      </c>
      <c r="W44" s="50">
        <v>3.9999999999999998E-6</v>
      </c>
      <c r="X44" s="50">
        <v>0.547435</v>
      </c>
      <c r="Y44" s="50">
        <v>1</v>
      </c>
      <c r="Z44" s="50">
        <v>0</v>
      </c>
      <c r="AA44" s="71">
        <v>44</v>
      </c>
      <c r="AB44"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44" s="72"/>
      <c r="AD44" s="79" t="s">
        <v>992</v>
      </c>
      <c r="AE44" s="85" t="s">
        <v>1111</v>
      </c>
      <c r="AF44" s="79">
        <v>1911</v>
      </c>
      <c r="AG44" s="79">
        <v>6475</v>
      </c>
      <c r="AH44" s="79">
        <v>3377</v>
      </c>
      <c r="AI44" s="79">
        <v>4913</v>
      </c>
      <c r="AJ44" s="79"/>
      <c r="AK44" s="79" t="s">
        <v>1229</v>
      </c>
      <c r="AL44" s="79" t="s">
        <v>1330</v>
      </c>
      <c r="AM44" s="83" t="str">
        <f>HYPERLINK("https://t.co/0YjGmedbXP")</f>
        <v>https://t.co/0YjGmedbXP</v>
      </c>
      <c r="AN44" s="79"/>
      <c r="AO44" s="81">
        <v>43056.188530092593</v>
      </c>
      <c r="AP44" s="83" t="str">
        <f>HYPERLINK("https://pbs.twimg.com/profile_banners/931379239412215808/1578288408")</f>
        <v>https://pbs.twimg.com/profile_banners/931379239412215808/1578288408</v>
      </c>
      <c r="AQ44" s="79" t="b">
        <v>0</v>
      </c>
      <c r="AR44" s="79" t="b">
        <v>0</v>
      </c>
      <c r="AS44" s="79" t="b">
        <v>0</v>
      </c>
      <c r="AT44" s="79"/>
      <c r="AU44" s="79">
        <v>48</v>
      </c>
      <c r="AV44" s="83" t="str">
        <f t="shared" si="0"/>
        <v>https://abs.twimg.com/images/themes/theme1/bg.png</v>
      </c>
      <c r="AW44" s="79" t="b">
        <v>0</v>
      </c>
      <c r="AX44" s="79" t="s">
        <v>1376</v>
      </c>
      <c r="AY44" s="83" t="str">
        <f>HYPERLINK("https://twitter.com/blkingradschool")</f>
        <v>https://twitter.com/blkingradschool</v>
      </c>
      <c r="AZ44" s="79" t="s">
        <v>66</v>
      </c>
      <c r="BA44" s="78" t="str">
        <f>REPLACE(INDEX(GroupVertices[Group], MATCH(Vertices[[#This Row],[Vertex]],GroupVertices[Vertex],0)),1,1,"")</f>
        <v>2</v>
      </c>
      <c r="BB44" s="49"/>
      <c r="BC44" s="49"/>
      <c r="BD44" s="49"/>
      <c r="BE44" s="49"/>
      <c r="BF44" s="49" t="s">
        <v>461</v>
      </c>
      <c r="BG44" s="49" t="s">
        <v>461</v>
      </c>
      <c r="BH44" s="137" t="s">
        <v>2008</v>
      </c>
      <c r="BI44" s="137" t="s">
        <v>2008</v>
      </c>
      <c r="BJ44" s="137" t="s">
        <v>2062</v>
      </c>
      <c r="BK44" s="137" t="s">
        <v>2062</v>
      </c>
      <c r="BL44" s="2"/>
      <c r="BM44" s="3"/>
      <c r="BN44" s="3"/>
      <c r="BO44" s="3"/>
      <c r="BP44" s="3"/>
    </row>
    <row r="45" spans="1:68" x14ac:dyDescent="0.25">
      <c r="A45" s="64" t="s">
        <v>239</v>
      </c>
      <c r="B45" s="65"/>
      <c r="C45" s="65"/>
      <c r="D45" s="66">
        <v>20</v>
      </c>
      <c r="E45" s="104"/>
      <c r="F45" s="96" t="str">
        <f>HYPERLINK("https://pbs.twimg.com/profile_images/1255155103146762243/3vXMzpVe_normal.jpg")</f>
        <v>https://pbs.twimg.com/profile_images/1255155103146762243/3vXMzpVe_normal.jpg</v>
      </c>
      <c r="G45" s="105"/>
      <c r="H45" s="69" t="s">
        <v>239</v>
      </c>
      <c r="I45" s="70"/>
      <c r="J45" s="106"/>
      <c r="K45" s="69" t="s">
        <v>1414</v>
      </c>
      <c r="L45" s="107">
        <v>1</v>
      </c>
      <c r="M45" s="74">
        <v>3403.526611328125</v>
      </c>
      <c r="N45" s="74">
        <v>3527.42529296875</v>
      </c>
      <c r="O45" s="75"/>
      <c r="P45" s="76"/>
      <c r="Q45" s="76"/>
      <c r="R45" s="88"/>
      <c r="S45" s="49">
        <v>0</v>
      </c>
      <c r="T45" s="49">
        <v>2</v>
      </c>
      <c r="U45" s="50">
        <v>0</v>
      </c>
      <c r="V45" s="50">
        <v>2.2727000000000001E-2</v>
      </c>
      <c r="W45" s="50">
        <v>3.9999999999999998E-6</v>
      </c>
      <c r="X45" s="50">
        <v>0.547435</v>
      </c>
      <c r="Y45" s="50">
        <v>1</v>
      </c>
      <c r="Z45" s="50">
        <v>0</v>
      </c>
      <c r="AA45" s="71">
        <v>45</v>
      </c>
      <c r="AB45"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45" s="72"/>
      <c r="AD45" s="79" t="s">
        <v>991</v>
      </c>
      <c r="AE45" s="85" t="s">
        <v>1110</v>
      </c>
      <c r="AF45" s="79">
        <v>1340</v>
      </c>
      <c r="AG45" s="79">
        <v>5632</v>
      </c>
      <c r="AH45" s="79">
        <v>70018</v>
      </c>
      <c r="AI45" s="79">
        <v>67863</v>
      </c>
      <c r="AJ45" s="79"/>
      <c r="AK45" s="79" t="s">
        <v>1228</v>
      </c>
      <c r="AL45" s="79" t="s">
        <v>1329</v>
      </c>
      <c r="AM45" s="83" t="str">
        <f>HYPERLINK("https://t.co/I8W8TN0fVU")</f>
        <v>https://t.co/I8W8TN0fVU</v>
      </c>
      <c r="AN45" s="79"/>
      <c r="AO45" s="81">
        <v>42856.476504629631</v>
      </c>
      <c r="AP45" s="83" t="str">
        <f>HYPERLINK("https://pbs.twimg.com/profile_banners/859006024707190787/1494539159")</f>
        <v>https://pbs.twimg.com/profile_banners/859006024707190787/1494539159</v>
      </c>
      <c r="AQ45" s="79" t="b">
        <v>1</v>
      </c>
      <c r="AR45" s="79" t="b">
        <v>0</v>
      </c>
      <c r="AS45" s="79" t="b">
        <v>0</v>
      </c>
      <c r="AT45" s="79"/>
      <c r="AU45" s="79">
        <v>32</v>
      </c>
      <c r="AV45" s="79"/>
      <c r="AW45" s="79" t="b">
        <v>0</v>
      </c>
      <c r="AX45" s="79" t="s">
        <v>1376</v>
      </c>
      <c r="AY45" s="83" t="str">
        <f>HYPERLINK("https://twitter.com/peiferlabunc")</f>
        <v>https://twitter.com/peiferlabunc</v>
      </c>
      <c r="AZ45" s="79" t="s">
        <v>66</v>
      </c>
      <c r="BA45" s="78" t="str">
        <f>REPLACE(INDEX(GroupVertices[Group], MATCH(Vertices[[#This Row],[Vertex]],GroupVertices[Vertex],0)),1,1,"")</f>
        <v>2</v>
      </c>
      <c r="BB45" s="49"/>
      <c r="BC45" s="49"/>
      <c r="BD45" s="49"/>
      <c r="BE45" s="49"/>
      <c r="BF45" s="49" t="s">
        <v>461</v>
      </c>
      <c r="BG45" s="49" t="s">
        <v>461</v>
      </c>
      <c r="BH45" s="137" t="s">
        <v>2008</v>
      </c>
      <c r="BI45" s="137" t="s">
        <v>2008</v>
      </c>
      <c r="BJ45" s="137" t="s">
        <v>2062</v>
      </c>
      <c r="BK45" s="137" t="s">
        <v>2062</v>
      </c>
      <c r="BL45" s="2"/>
      <c r="BM45" s="3"/>
      <c r="BN45" s="3"/>
      <c r="BO45" s="3"/>
      <c r="BP45" s="3"/>
    </row>
    <row r="46" spans="1:68" x14ac:dyDescent="0.25">
      <c r="A46" s="64" t="s">
        <v>311</v>
      </c>
      <c r="B46" s="65"/>
      <c r="C46" s="65"/>
      <c r="D46" s="66">
        <v>20</v>
      </c>
      <c r="E46" s="104"/>
      <c r="F46" s="96" t="str">
        <f>HYPERLINK("https://pbs.twimg.com/profile_images/1062396369749663750/yWN0ot5Z_normal.jpg")</f>
        <v>https://pbs.twimg.com/profile_images/1062396369749663750/yWN0ot5Z_normal.jpg</v>
      </c>
      <c r="G46" s="105"/>
      <c r="H46" s="69" t="s">
        <v>311</v>
      </c>
      <c r="I46" s="70"/>
      <c r="J46" s="106"/>
      <c r="K46" s="69" t="s">
        <v>1424</v>
      </c>
      <c r="L46" s="107">
        <v>1</v>
      </c>
      <c r="M46" s="74">
        <v>9269.7109375</v>
      </c>
      <c r="N46" s="74">
        <v>7901.185546875</v>
      </c>
      <c r="O46" s="75"/>
      <c r="P46" s="76"/>
      <c r="Q46" s="76"/>
      <c r="R46" s="88"/>
      <c r="S46" s="49">
        <v>1</v>
      </c>
      <c r="T46" s="49">
        <v>0</v>
      </c>
      <c r="U46" s="50">
        <v>0</v>
      </c>
      <c r="V46" s="50">
        <v>5.587E-3</v>
      </c>
      <c r="W46" s="50">
        <v>2.3249999999999998E-3</v>
      </c>
      <c r="X46" s="50">
        <v>0.49674000000000001</v>
      </c>
      <c r="Y46" s="50">
        <v>0</v>
      </c>
      <c r="Z46" s="50">
        <v>0</v>
      </c>
      <c r="AA46" s="71">
        <v>46</v>
      </c>
      <c r="AB46"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46" s="72"/>
      <c r="AD46" s="79" t="s">
        <v>1001</v>
      </c>
      <c r="AE46" s="85" t="s">
        <v>1120</v>
      </c>
      <c r="AF46" s="79">
        <v>2534</v>
      </c>
      <c r="AG46" s="79">
        <v>5475</v>
      </c>
      <c r="AH46" s="79">
        <v>12762</v>
      </c>
      <c r="AI46" s="79">
        <v>8565</v>
      </c>
      <c r="AJ46" s="79"/>
      <c r="AK46" s="79" t="s">
        <v>1238</v>
      </c>
      <c r="AL46" s="79" t="s">
        <v>925</v>
      </c>
      <c r="AM46" s="83" t="str">
        <f>HYPERLINK("https://t.co/IjjFRRvquP")</f>
        <v>https://t.co/IjjFRRvquP</v>
      </c>
      <c r="AN46" s="79"/>
      <c r="AO46" s="81">
        <v>39872.874027777776</v>
      </c>
      <c r="AP46" s="83" t="str">
        <f>HYPERLINK("https://pbs.twimg.com/profile_banners/22294699/1477582080")</f>
        <v>https://pbs.twimg.com/profile_banners/22294699/1477582080</v>
      </c>
      <c r="AQ46" s="79" t="b">
        <v>0</v>
      </c>
      <c r="AR46" s="79" t="b">
        <v>0</v>
      </c>
      <c r="AS46" s="79" t="b">
        <v>1</v>
      </c>
      <c r="AT46" s="79"/>
      <c r="AU46" s="79">
        <v>141</v>
      </c>
      <c r="AV46" s="83" t="str">
        <f>HYPERLINK("https://abs.twimg.com/images/themes/theme1/bg.png")</f>
        <v>https://abs.twimg.com/images/themes/theme1/bg.png</v>
      </c>
      <c r="AW46" s="79" t="b">
        <v>1</v>
      </c>
      <c r="AX46" s="79" t="s">
        <v>1376</v>
      </c>
      <c r="AY46" s="83" t="str">
        <f>HYPERLINK("https://twitter.com/neiu")</f>
        <v>https://twitter.com/neiu</v>
      </c>
      <c r="AZ46" s="79" t="s">
        <v>65</v>
      </c>
      <c r="BA46" s="78" t="str">
        <f>REPLACE(INDEX(GroupVertices[Group], MATCH(Vertices[[#This Row],[Vertex]],GroupVertices[Vertex],0)),1,1,"")</f>
        <v>4</v>
      </c>
      <c r="BB46" s="49"/>
      <c r="BC46" s="49"/>
      <c r="BD46" s="49"/>
      <c r="BE46" s="49"/>
      <c r="BF46" s="49"/>
      <c r="BG46" s="49"/>
      <c r="BH46" s="49"/>
      <c r="BI46" s="49"/>
      <c r="BJ46" s="49"/>
      <c r="BK46" s="49"/>
      <c r="BL46" s="2"/>
      <c r="BM46" s="3"/>
      <c r="BN46" s="3"/>
      <c r="BO46" s="3"/>
      <c r="BP46" s="3"/>
    </row>
    <row r="47" spans="1:68" x14ac:dyDescent="0.25">
      <c r="A47" s="64" t="s">
        <v>336</v>
      </c>
      <c r="B47" s="65"/>
      <c r="C47" s="65"/>
      <c r="D47" s="66">
        <v>20</v>
      </c>
      <c r="E47" s="104"/>
      <c r="F47" s="96" t="str">
        <f>HYPERLINK("https://pbs.twimg.com/profile_images/1336322433050095616/5iw93kt9_normal.jpg")</f>
        <v>https://pbs.twimg.com/profile_images/1336322433050095616/5iw93kt9_normal.jpg</v>
      </c>
      <c r="G47" s="105"/>
      <c r="H47" s="69" t="s">
        <v>336</v>
      </c>
      <c r="I47" s="70"/>
      <c r="J47" s="106"/>
      <c r="K47" s="69" t="s">
        <v>1497</v>
      </c>
      <c r="L47" s="107">
        <v>1</v>
      </c>
      <c r="M47" s="74">
        <v>2592.3330078125</v>
      </c>
      <c r="N47" s="74">
        <v>5487.0625</v>
      </c>
      <c r="O47" s="75"/>
      <c r="P47" s="76"/>
      <c r="Q47" s="76"/>
      <c r="R47" s="88"/>
      <c r="S47" s="49">
        <v>1</v>
      </c>
      <c r="T47" s="49">
        <v>0</v>
      </c>
      <c r="U47" s="50">
        <v>0</v>
      </c>
      <c r="V47" s="50">
        <v>5.2360000000000002E-3</v>
      </c>
      <c r="W47" s="50">
        <v>3.2989999999999998E-3</v>
      </c>
      <c r="X47" s="50">
        <v>0.38308399999999998</v>
      </c>
      <c r="Y47" s="50">
        <v>0</v>
      </c>
      <c r="Z47" s="50">
        <v>0</v>
      </c>
      <c r="AA47" s="71">
        <v>47</v>
      </c>
      <c r="AB47"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47" s="72"/>
      <c r="AD47" s="79" t="s">
        <v>1074</v>
      </c>
      <c r="AE47" s="85" t="s">
        <v>1190</v>
      </c>
      <c r="AF47" s="79">
        <v>778</v>
      </c>
      <c r="AG47" s="79">
        <v>4742</v>
      </c>
      <c r="AH47" s="79">
        <v>3679</v>
      </c>
      <c r="AI47" s="79">
        <v>4632</v>
      </c>
      <c r="AJ47" s="79"/>
      <c r="AK47" s="79" t="s">
        <v>1306</v>
      </c>
      <c r="AL47" s="79" t="s">
        <v>902</v>
      </c>
      <c r="AM47" s="83" t="str">
        <f>HYPERLINK("https://t.co/m6mv6C0u6B")</f>
        <v>https://t.co/m6mv6C0u6B</v>
      </c>
      <c r="AN47" s="79"/>
      <c r="AO47" s="81">
        <v>42899.743101851855</v>
      </c>
      <c r="AP47" s="83" t="str">
        <f>HYPERLINK("https://pbs.twimg.com/profile_banners/874685311657414661/1607439209")</f>
        <v>https://pbs.twimg.com/profile_banners/874685311657414661/1607439209</v>
      </c>
      <c r="AQ47" s="79" t="b">
        <v>0</v>
      </c>
      <c r="AR47" s="79" t="b">
        <v>0</v>
      </c>
      <c r="AS47" s="79" t="b">
        <v>0</v>
      </c>
      <c r="AT47" s="79"/>
      <c r="AU47" s="79">
        <v>48</v>
      </c>
      <c r="AV47" s="83" t="str">
        <f>HYPERLINK("https://abs.twimg.com/images/themes/theme1/bg.png")</f>
        <v>https://abs.twimg.com/images/themes/theme1/bg.png</v>
      </c>
      <c r="AW47" s="79" t="b">
        <v>0</v>
      </c>
      <c r="AX47" s="79" t="s">
        <v>1376</v>
      </c>
      <c r="AY47" s="83" t="str">
        <f>HYPERLINK("https://twitter.com/firstgencenter")</f>
        <v>https://twitter.com/firstgencenter</v>
      </c>
      <c r="AZ47" s="79" t="s">
        <v>65</v>
      </c>
      <c r="BA47" s="78" t="str">
        <f>REPLACE(INDEX(GroupVertices[Group], MATCH(Vertices[[#This Row],[Vertex]],GroupVertices[Vertex],0)),1,1,"")</f>
        <v>1</v>
      </c>
      <c r="BB47" s="49"/>
      <c r="BC47" s="49"/>
      <c r="BD47" s="49"/>
      <c r="BE47" s="49"/>
      <c r="BF47" s="49"/>
      <c r="BG47" s="49"/>
      <c r="BH47" s="49"/>
      <c r="BI47" s="49"/>
      <c r="BJ47" s="49"/>
      <c r="BK47" s="49"/>
      <c r="BL47" s="2"/>
      <c r="BM47" s="3"/>
      <c r="BN47" s="3"/>
      <c r="BO47" s="3"/>
      <c r="BP47" s="3"/>
    </row>
    <row r="48" spans="1:68" x14ac:dyDescent="0.25">
      <c r="A48" s="64" t="s">
        <v>314</v>
      </c>
      <c r="B48" s="65"/>
      <c r="C48" s="65"/>
      <c r="D48" s="66">
        <v>20</v>
      </c>
      <c r="E48" s="104"/>
      <c r="F48" s="96" t="str">
        <f>HYPERLINK("https://pbs.twimg.com/profile_images/1011260149573357568/dsxGuqsu_normal.jpg")</f>
        <v>https://pbs.twimg.com/profile_images/1011260149573357568/dsxGuqsu_normal.jpg</v>
      </c>
      <c r="G48" s="105"/>
      <c r="H48" s="69" t="s">
        <v>314</v>
      </c>
      <c r="I48" s="70"/>
      <c r="J48" s="106"/>
      <c r="K48" s="69" t="s">
        <v>1427</v>
      </c>
      <c r="L48" s="107">
        <v>1</v>
      </c>
      <c r="M48" s="74">
        <v>8751.9326171875</v>
      </c>
      <c r="N48" s="74">
        <v>6864.2744140625</v>
      </c>
      <c r="O48" s="75"/>
      <c r="P48" s="76"/>
      <c r="Q48" s="76"/>
      <c r="R48" s="88"/>
      <c r="S48" s="49">
        <v>1</v>
      </c>
      <c r="T48" s="49">
        <v>0</v>
      </c>
      <c r="U48" s="50">
        <v>0</v>
      </c>
      <c r="V48" s="50">
        <v>5.587E-3</v>
      </c>
      <c r="W48" s="50">
        <v>2.3249999999999998E-3</v>
      </c>
      <c r="X48" s="50">
        <v>0.49674000000000001</v>
      </c>
      <c r="Y48" s="50">
        <v>0</v>
      </c>
      <c r="Z48" s="50">
        <v>0</v>
      </c>
      <c r="AA48" s="71">
        <v>48</v>
      </c>
      <c r="AB48"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48" s="72"/>
      <c r="AD48" s="79" t="s">
        <v>1004</v>
      </c>
      <c r="AE48" s="85" t="s">
        <v>1123</v>
      </c>
      <c r="AF48" s="79">
        <v>400</v>
      </c>
      <c r="AG48" s="79">
        <v>4362</v>
      </c>
      <c r="AH48" s="79">
        <v>12082</v>
      </c>
      <c r="AI48" s="79">
        <v>7430</v>
      </c>
      <c r="AJ48" s="79"/>
      <c r="AK48" s="79" t="s">
        <v>1240</v>
      </c>
      <c r="AL48" s="79"/>
      <c r="AM48" s="83" t="str">
        <f>HYPERLINK("https://t.co/nz0RoU6cL1")</f>
        <v>https://t.co/nz0RoU6cL1</v>
      </c>
      <c r="AN48" s="79"/>
      <c r="AO48" s="81">
        <v>40400.863611111112</v>
      </c>
      <c r="AP48" s="83" t="str">
        <f>HYPERLINK("https://pbs.twimg.com/profile_banners/176933639/1562952105")</f>
        <v>https://pbs.twimg.com/profile_banners/176933639/1562952105</v>
      </c>
      <c r="AQ48" s="79" t="b">
        <v>0</v>
      </c>
      <c r="AR48" s="79" t="b">
        <v>0</v>
      </c>
      <c r="AS48" s="79" t="b">
        <v>1</v>
      </c>
      <c r="AT48" s="79"/>
      <c r="AU48" s="79">
        <v>47</v>
      </c>
      <c r="AV48" s="83" t="str">
        <f>HYPERLINK("https://abs.twimg.com/images/themes/theme1/bg.png")</f>
        <v>https://abs.twimg.com/images/themes/theme1/bg.png</v>
      </c>
      <c r="AW48" s="79" t="b">
        <v>0</v>
      </c>
      <c r="AX48" s="79" t="s">
        <v>1376</v>
      </c>
      <c r="AY48" s="83" t="str">
        <f>HYPERLINK("https://twitter.com/morton201")</f>
        <v>https://twitter.com/morton201</v>
      </c>
      <c r="AZ48" s="79" t="s">
        <v>65</v>
      </c>
      <c r="BA48" s="78" t="str">
        <f>REPLACE(INDEX(GroupVertices[Group], MATCH(Vertices[[#This Row],[Vertex]],GroupVertices[Vertex],0)),1,1,"")</f>
        <v>4</v>
      </c>
      <c r="BB48" s="49"/>
      <c r="BC48" s="49"/>
      <c r="BD48" s="49"/>
      <c r="BE48" s="49"/>
      <c r="BF48" s="49"/>
      <c r="BG48" s="49"/>
      <c r="BH48" s="49"/>
      <c r="BI48" s="49"/>
      <c r="BJ48" s="49"/>
      <c r="BK48" s="49"/>
      <c r="BL48" s="2"/>
      <c r="BM48" s="3"/>
      <c r="BN48" s="3"/>
      <c r="BO48" s="3"/>
      <c r="BP48" s="3"/>
    </row>
    <row r="49" spans="1:68" x14ac:dyDescent="0.25">
      <c r="A49" s="64" t="s">
        <v>247</v>
      </c>
      <c r="B49" s="65"/>
      <c r="C49" s="65"/>
      <c r="D49" s="66">
        <v>20</v>
      </c>
      <c r="E49" s="104"/>
      <c r="F49" s="96" t="str">
        <f>HYPERLINK("https://pbs.twimg.com/profile_images/1410774620014252043/O5n1QQ8E_normal.jpg")</f>
        <v>https://pbs.twimg.com/profile_images/1410774620014252043/O5n1QQ8E_normal.jpg</v>
      </c>
      <c r="G49" s="105"/>
      <c r="H49" s="69" t="s">
        <v>247</v>
      </c>
      <c r="I49" s="70"/>
      <c r="J49" s="106"/>
      <c r="K49" s="69" t="s">
        <v>1431</v>
      </c>
      <c r="L49" s="107">
        <v>1</v>
      </c>
      <c r="M49" s="74">
        <v>3233.708984375</v>
      </c>
      <c r="N49" s="74">
        <v>5122.38525390625</v>
      </c>
      <c r="O49" s="75"/>
      <c r="P49" s="76"/>
      <c r="Q49" s="76"/>
      <c r="R49" s="88"/>
      <c r="S49" s="49">
        <v>0</v>
      </c>
      <c r="T49" s="49">
        <v>2</v>
      </c>
      <c r="U49" s="50">
        <v>0</v>
      </c>
      <c r="V49" s="50">
        <v>2.2727000000000001E-2</v>
      </c>
      <c r="W49" s="50">
        <v>3.9999999999999998E-6</v>
      </c>
      <c r="X49" s="50">
        <v>0.547435</v>
      </c>
      <c r="Y49" s="50">
        <v>1</v>
      </c>
      <c r="Z49" s="50">
        <v>0</v>
      </c>
      <c r="AA49" s="71">
        <v>49</v>
      </c>
      <c r="AB49"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49" s="72"/>
      <c r="AD49" s="79" t="s">
        <v>1008</v>
      </c>
      <c r="AE49" s="85" t="s">
        <v>1127</v>
      </c>
      <c r="AF49" s="79">
        <v>1278</v>
      </c>
      <c r="AG49" s="79">
        <v>3754</v>
      </c>
      <c r="AH49" s="79">
        <v>2023</v>
      </c>
      <c r="AI49" s="79">
        <v>4335</v>
      </c>
      <c r="AJ49" s="79"/>
      <c r="AK49" s="79" t="s">
        <v>1244</v>
      </c>
      <c r="AL49" s="79"/>
      <c r="AM49" s="83" t="str">
        <f>HYPERLINK("https://t.co/vgLSZRGthO")</f>
        <v>https://t.co/vgLSZRGthO</v>
      </c>
      <c r="AN49" s="79"/>
      <c r="AO49" s="81">
        <v>44059.158900462964</v>
      </c>
      <c r="AP49" s="83" t="str">
        <f>HYPERLINK("https://pbs.twimg.com/profile_banners/1294843492062175233/1625190098")</f>
        <v>https://pbs.twimg.com/profile_banners/1294843492062175233/1625190098</v>
      </c>
      <c r="AQ49" s="79" t="b">
        <v>1</v>
      </c>
      <c r="AR49" s="79" t="b">
        <v>0</v>
      </c>
      <c r="AS49" s="79" t="b">
        <v>0</v>
      </c>
      <c r="AT49" s="79"/>
      <c r="AU49" s="79">
        <v>15</v>
      </c>
      <c r="AV49" s="79"/>
      <c r="AW49" s="79" t="b">
        <v>0</v>
      </c>
      <c r="AX49" s="79" t="s">
        <v>1376</v>
      </c>
      <c r="AY49" s="83" t="str">
        <f>HYPERLINK("https://twitter.com/lamarrichards_")</f>
        <v>https://twitter.com/lamarrichards_</v>
      </c>
      <c r="AZ49" s="79" t="s">
        <v>66</v>
      </c>
      <c r="BA49" s="78" t="str">
        <f>REPLACE(INDEX(GroupVertices[Group], MATCH(Vertices[[#This Row],[Vertex]],GroupVertices[Vertex],0)),1,1,"")</f>
        <v>2</v>
      </c>
      <c r="BB49" s="49"/>
      <c r="BC49" s="49"/>
      <c r="BD49" s="49"/>
      <c r="BE49" s="49"/>
      <c r="BF49" s="49" t="s">
        <v>461</v>
      </c>
      <c r="BG49" s="49" t="s">
        <v>461</v>
      </c>
      <c r="BH49" s="137" t="s">
        <v>2008</v>
      </c>
      <c r="BI49" s="137" t="s">
        <v>2008</v>
      </c>
      <c r="BJ49" s="137" t="s">
        <v>2062</v>
      </c>
      <c r="BK49" s="137" t="s">
        <v>2062</v>
      </c>
      <c r="BL49" s="2"/>
      <c r="BM49" s="3"/>
      <c r="BN49" s="3"/>
      <c r="BO49" s="3"/>
      <c r="BP49" s="3"/>
    </row>
    <row r="50" spans="1:68" x14ac:dyDescent="0.25">
      <c r="A50" s="64" t="s">
        <v>334</v>
      </c>
      <c r="B50" s="65"/>
      <c r="C50" s="65"/>
      <c r="D50" s="66">
        <v>20</v>
      </c>
      <c r="E50" s="104"/>
      <c r="F50" s="96" t="str">
        <f>HYPERLINK("https://pbs.twimg.com/profile_images/378800000812638832/dab16153fee9514f5a86b60def34392b_normal.jpeg")</f>
        <v>https://pbs.twimg.com/profile_images/378800000812638832/dab16153fee9514f5a86b60def34392b_normal.jpeg</v>
      </c>
      <c r="G50" s="105"/>
      <c r="H50" s="69" t="s">
        <v>334</v>
      </c>
      <c r="I50" s="70"/>
      <c r="J50" s="106"/>
      <c r="K50" s="69" t="s">
        <v>1494</v>
      </c>
      <c r="L50" s="107">
        <v>1</v>
      </c>
      <c r="M50" s="74">
        <v>7776.984375</v>
      </c>
      <c r="N50" s="74">
        <v>2388.660888671875</v>
      </c>
      <c r="O50" s="75"/>
      <c r="P50" s="76"/>
      <c r="Q50" s="76"/>
      <c r="R50" s="88"/>
      <c r="S50" s="49">
        <v>1</v>
      </c>
      <c r="T50" s="49">
        <v>0</v>
      </c>
      <c r="U50" s="50">
        <v>0</v>
      </c>
      <c r="V50" s="50">
        <v>1</v>
      </c>
      <c r="W50" s="50">
        <v>0</v>
      </c>
      <c r="X50" s="50">
        <v>0.70175200000000004</v>
      </c>
      <c r="Y50" s="50">
        <v>0</v>
      </c>
      <c r="Z50" s="50">
        <v>0</v>
      </c>
      <c r="AA50" s="71">
        <v>50</v>
      </c>
      <c r="AB50"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50" s="72"/>
      <c r="AD50" s="79" t="s">
        <v>1071</v>
      </c>
      <c r="AE50" s="85" t="s">
        <v>1187</v>
      </c>
      <c r="AF50" s="79">
        <v>26</v>
      </c>
      <c r="AG50" s="79">
        <v>3125</v>
      </c>
      <c r="AH50" s="79">
        <v>6220</v>
      </c>
      <c r="AI50" s="79">
        <v>1</v>
      </c>
      <c r="AJ50" s="79"/>
      <c r="AK50" s="79" t="s">
        <v>1304</v>
      </c>
      <c r="AL50" s="79" t="s">
        <v>1375</v>
      </c>
      <c r="AM50" s="79"/>
      <c r="AN50" s="79"/>
      <c r="AO50" s="81">
        <v>40424.809525462966</v>
      </c>
      <c r="AP50" s="79"/>
      <c r="AQ50" s="79" t="b">
        <v>1</v>
      </c>
      <c r="AR50" s="79" t="b">
        <v>0</v>
      </c>
      <c r="AS50" s="79" t="b">
        <v>0</v>
      </c>
      <c r="AT50" s="79"/>
      <c r="AU50" s="79">
        <v>162</v>
      </c>
      <c r="AV50" s="83" t="str">
        <f>HYPERLINK("https://abs.twimg.com/images/themes/theme1/bg.png")</f>
        <v>https://abs.twimg.com/images/themes/theme1/bg.png</v>
      </c>
      <c r="AW50" s="79" t="b">
        <v>0</v>
      </c>
      <c r="AX50" s="79" t="s">
        <v>1376</v>
      </c>
      <c r="AY50" s="83" t="str">
        <f>HYPERLINK("https://twitter.com/na")</f>
        <v>https://twitter.com/na</v>
      </c>
      <c r="AZ50" s="79" t="s">
        <v>65</v>
      </c>
      <c r="BA50" s="78" t="str">
        <f>REPLACE(INDEX(GroupVertices[Group], MATCH(Vertices[[#This Row],[Vertex]],GroupVertices[Vertex],0)),1,1,"")</f>
        <v>16</v>
      </c>
      <c r="BB50" s="49"/>
      <c r="BC50" s="49"/>
      <c r="BD50" s="49"/>
      <c r="BE50" s="49"/>
      <c r="BF50" s="49"/>
      <c r="BG50" s="49"/>
      <c r="BH50" s="49"/>
      <c r="BI50" s="49"/>
      <c r="BJ50" s="49"/>
      <c r="BK50" s="49"/>
      <c r="BL50" s="2"/>
      <c r="BM50" s="3"/>
      <c r="BN50" s="3"/>
      <c r="BO50" s="3"/>
      <c r="BP50" s="3"/>
    </row>
    <row r="51" spans="1:68" x14ac:dyDescent="0.25">
      <c r="A51" s="64" t="s">
        <v>221</v>
      </c>
      <c r="B51" s="65"/>
      <c r="C51" s="65"/>
      <c r="D51" s="66">
        <v>20</v>
      </c>
      <c r="E51" s="104"/>
      <c r="F51" s="96" t="str">
        <f>HYPERLINK("https://pbs.twimg.com/profile_images/946106617279500288/523lqWR9_normal.jpg")</f>
        <v>https://pbs.twimg.com/profile_images/946106617279500288/523lqWR9_normal.jpg</v>
      </c>
      <c r="G51" s="105"/>
      <c r="H51" s="69" t="s">
        <v>221</v>
      </c>
      <c r="I51" s="70"/>
      <c r="J51" s="106"/>
      <c r="K51" s="69" t="s">
        <v>1384</v>
      </c>
      <c r="L51" s="107">
        <v>1</v>
      </c>
      <c r="M51" s="74">
        <v>5640.4599609375</v>
      </c>
      <c r="N51" s="74">
        <v>8585.650390625</v>
      </c>
      <c r="O51" s="75"/>
      <c r="P51" s="76"/>
      <c r="Q51" s="76"/>
      <c r="R51" s="88"/>
      <c r="S51" s="49">
        <v>1</v>
      </c>
      <c r="T51" s="49">
        <v>1</v>
      </c>
      <c r="U51" s="50">
        <v>0</v>
      </c>
      <c r="V51" s="50">
        <v>0</v>
      </c>
      <c r="W51" s="50">
        <v>0</v>
      </c>
      <c r="X51" s="50">
        <v>0.999996</v>
      </c>
      <c r="Y51" s="50">
        <v>0</v>
      </c>
      <c r="Z51" s="50">
        <v>0</v>
      </c>
      <c r="AA51" s="71">
        <v>51</v>
      </c>
      <c r="AB51"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51" s="72"/>
      <c r="AD51" s="79" t="s">
        <v>961</v>
      </c>
      <c r="AE51" s="85" t="s">
        <v>1083</v>
      </c>
      <c r="AF51" s="79">
        <v>2347</v>
      </c>
      <c r="AG51" s="79">
        <v>2472</v>
      </c>
      <c r="AH51" s="79">
        <v>41173</v>
      </c>
      <c r="AI51" s="79">
        <v>1327</v>
      </c>
      <c r="AJ51" s="79"/>
      <c r="AK51" s="79" t="s">
        <v>1198</v>
      </c>
      <c r="AL51" s="83" t="str">
        <f>HYPERLINK("https://themoneyattractor.lpages.co/building-bank-sign-up/")</f>
        <v>https://themoneyattractor.lpages.co/building-bank-sign-up/</v>
      </c>
      <c r="AM51" s="83" t="str">
        <f>HYPERLINK("https://t.co/nWEYJDqE8Z")</f>
        <v>https://t.co/nWEYJDqE8Z</v>
      </c>
      <c r="AN51" s="79"/>
      <c r="AO51" s="81">
        <v>41017.068738425929</v>
      </c>
      <c r="AP51" s="83" t="str">
        <f>HYPERLINK("https://pbs.twimg.com/profile_banners/556534758/1469109903")</f>
        <v>https://pbs.twimg.com/profile_banners/556534758/1469109903</v>
      </c>
      <c r="AQ51" s="79" t="b">
        <v>1</v>
      </c>
      <c r="AR51" s="79" t="b">
        <v>0</v>
      </c>
      <c r="AS51" s="79" t="b">
        <v>0</v>
      </c>
      <c r="AT51" s="79"/>
      <c r="AU51" s="79">
        <v>221</v>
      </c>
      <c r="AV51" s="83" t="str">
        <f>HYPERLINK("https://abs.twimg.com/images/themes/theme1/bg.png")</f>
        <v>https://abs.twimg.com/images/themes/theme1/bg.png</v>
      </c>
      <c r="AW51" s="79" t="b">
        <v>0</v>
      </c>
      <c r="AX51" s="79" t="s">
        <v>1376</v>
      </c>
      <c r="AY51" s="83" t="str">
        <f>HYPERLINK("https://twitter.com/janetadamsspeak")</f>
        <v>https://twitter.com/janetadamsspeak</v>
      </c>
      <c r="AZ51" s="79" t="s">
        <v>66</v>
      </c>
      <c r="BA51" s="78" t="str">
        <f>REPLACE(INDEX(GroupVertices[Group], MATCH(Vertices[[#This Row],[Vertex]],GroupVertices[Vertex],0)),1,1,"")</f>
        <v>5</v>
      </c>
      <c r="BB51" s="49"/>
      <c r="BC51" s="49"/>
      <c r="BD51" s="49"/>
      <c r="BE51" s="49"/>
      <c r="BF51" s="49" t="s">
        <v>462</v>
      </c>
      <c r="BG51" s="49" t="s">
        <v>462</v>
      </c>
      <c r="BH51" s="137" t="s">
        <v>2009</v>
      </c>
      <c r="BI51" s="137" t="s">
        <v>2009</v>
      </c>
      <c r="BJ51" s="137" t="s">
        <v>2063</v>
      </c>
      <c r="BK51" s="137" t="s">
        <v>2063</v>
      </c>
      <c r="BL51" s="2"/>
      <c r="BM51" s="3"/>
      <c r="BN51" s="3"/>
      <c r="BO51" s="3"/>
      <c r="BP51" s="3"/>
    </row>
    <row r="52" spans="1:68" x14ac:dyDescent="0.25">
      <c r="A52" s="64" t="s">
        <v>255</v>
      </c>
      <c r="B52" s="65"/>
      <c r="C52" s="65"/>
      <c r="D52" s="66">
        <v>20</v>
      </c>
      <c r="E52" s="104"/>
      <c r="F52" s="96" t="str">
        <f>HYPERLINK("https://pbs.twimg.com/profile_images/1384969644289765386/cnt5R57I_normal.jpg")</f>
        <v>https://pbs.twimg.com/profile_images/1384969644289765386/cnt5R57I_normal.jpg</v>
      </c>
      <c r="G52" s="105"/>
      <c r="H52" s="69" t="s">
        <v>255</v>
      </c>
      <c r="I52" s="70"/>
      <c r="J52" s="106"/>
      <c r="K52" s="69" t="s">
        <v>1439</v>
      </c>
      <c r="L52" s="107">
        <v>1</v>
      </c>
      <c r="M52" s="74">
        <v>3305.23583984375</v>
      </c>
      <c r="N52" s="74">
        <v>6815.314453125</v>
      </c>
      <c r="O52" s="75"/>
      <c r="P52" s="76"/>
      <c r="Q52" s="76"/>
      <c r="R52" s="88"/>
      <c r="S52" s="49">
        <v>0</v>
      </c>
      <c r="T52" s="49">
        <v>2</v>
      </c>
      <c r="U52" s="50">
        <v>0</v>
      </c>
      <c r="V52" s="50">
        <v>2.2727000000000001E-2</v>
      </c>
      <c r="W52" s="50">
        <v>3.9999999999999998E-6</v>
      </c>
      <c r="X52" s="50">
        <v>0.547435</v>
      </c>
      <c r="Y52" s="50">
        <v>1</v>
      </c>
      <c r="Z52" s="50">
        <v>0</v>
      </c>
      <c r="AA52" s="71">
        <v>52</v>
      </c>
      <c r="AB52"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52" s="72"/>
      <c r="AD52" s="79" t="s">
        <v>1016</v>
      </c>
      <c r="AE52" s="85" t="s">
        <v>1135</v>
      </c>
      <c r="AF52" s="79">
        <v>1833</v>
      </c>
      <c r="AG52" s="79">
        <v>2377</v>
      </c>
      <c r="AH52" s="79">
        <v>8270</v>
      </c>
      <c r="AI52" s="79">
        <v>29080</v>
      </c>
      <c r="AJ52" s="79"/>
      <c r="AK52" s="79" t="s">
        <v>1252</v>
      </c>
      <c r="AL52" s="79" t="s">
        <v>1319</v>
      </c>
      <c r="AM52" s="83" t="str">
        <f>HYPERLINK("https://t.co/0Eqng95066")</f>
        <v>https://t.co/0Eqng95066</v>
      </c>
      <c r="AN52" s="79"/>
      <c r="AO52" s="81">
        <v>39896.955358796295</v>
      </c>
      <c r="AP52" s="83" t="str">
        <f>HYPERLINK("https://pbs.twimg.com/profile_banners/26347981/1619037520")</f>
        <v>https://pbs.twimg.com/profile_banners/26347981/1619037520</v>
      </c>
      <c r="AQ52" s="79" t="b">
        <v>0</v>
      </c>
      <c r="AR52" s="79" t="b">
        <v>0</v>
      </c>
      <c r="AS52" s="79" t="b">
        <v>1</v>
      </c>
      <c r="AT52" s="79"/>
      <c r="AU52" s="79">
        <v>47</v>
      </c>
      <c r="AV52" s="83" t="str">
        <f>HYPERLINK("https://abs.twimg.com/images/themes/theme18/bg.gif")</f>
        <v>https://abs.twimg.com/images/themes/theme18/bg.gif</v>
      </c>
      <c r="AW52" s="79" t="b">
        <v>0</v>
      </c>
      <c r="AX52" s="79" t="s">
        <v>1376</v>
      </c>
      <c r="AY52" s="83" t="str">
        <f>HYPERLINK("https://twitter.com/adamkirkedge")</f>
        <v>https://twitter.com/adamkirkedge</v>
      </c>
      <c r="AZ52" s="79" t="s">
        <v>66</v>
      </c>
      <c r="BA52" s="78" t="str">
        <f>REPLACE(INDEX(GroupVertices[Group], MATCH(Vertices[[#This Row],[Vertex]],GroupVertices[Vertex],0)),1,1,"")</f>
        <v>2</v>
      </c>
      <c r="BB52" s="49"/>
      <c r="BC52" s="49"/>
      <c r="BD52" s="49"/>
      <c r="BE52" s="49"/>
      <c r="BF52" s="49" t="s">
        <v>461</v>
      </c>
      <c r="BG52" s="49" t="s">
        <v>461</v>
      </c>
      <c r="BH52" s="137" t="s">
        <v>2008</v>
      </c>
      <c r="BI52" s="137" t="s">
        <v>2008</v>
      </c>
      <c r="BJ52" s="137" t="s">
        <v>2062</v>
      </c>
      <c r="BK52" s="137" t="s">
        <v>2062</v>
      </c>
      <c r="BL52" s="2"/>
      <c r="BM52" s="3"/>
      <c r="BN52" s="3"/>
      <c r="BO52" s="3"/>
      <c r="BP52" s="3"/>
    </row>
    <row r="53" spans="1:68" x14ac:dyDescent="0.25">
      <c r="A53" s="64" t="s">
        <v>252</v>
      </c>
      <c r="B53" s="65"/>
      <c r="C53" s="65"/>
      <c r="D53" s="66">
        <v>20</v>
      </c>
      <c r="E53" s="104"/>
      <c r="F53" s="96" t="str">
        <f>HYPERLINK("https://pbs.twimg.com/profile_images/1082061337268809728/eIQCpg6D_normal.jpg")</f>
        <v>https://pbs.twimg.com/profile_images/1082061337268809728/eIQCpg6D_normal.jpg</v>
      </c>
      <c r="G53" s="105"/>
      <c r="H53" s="69" t="s">
        <v>252</v>
      </c>
      <c r="I53" s="70"/>
      <c r="J53" s="106"/>
      <c r="K53" s="69" t="s">
        <v>1436</v>
      </c>
      <c r="L53" s="107">
        <v>1</v>
      </c>
      <c r="M53" s="74">
        <v>5331.00390625</v>
      </c>
      <c r="N53" s="74">
        <v>4561.44677734375</v>
      </c>
      <c r="O53" s="75"/>
      <c r="P53" s="76"/>
      <c r="Q53" s="76"/>
      <c r="R53" s="88"/>
      <c r="S53" s="49">
        <v>0</v>
      </c>
      <c r="T53" s="49">
        <v>2</v>
      </c>
      <c r="U53" s="50">
        <v>0</v>
      </c>
      <c r="V53" s="50">
        <v>2.2727000000000001E-2</v>
      </c>
      <c r="W53" s="50">
        <v>3.9999999999999998E-6</v>
      </c>
      <c r="X53" s="50">
        <v>0.547435</v>
      </c>
      <c r="Y53" s="50">
        <v>1</v>
      </c>
      <c r="Z53" s="50">
        <v>0</v>
      </c>
      <c r="AA53" s="71">
        <v>53</v>
      </c>
      <c r="AB53"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53" s="72"/>
      <c r="AD53" s="79" t="s">
        <v>1013</v>
      </c>
      <c r="AE53" s="85" t="s">
        <v>1132</v>
      </c>
      <c r="AF53" s="79">
        <v>2208</v>
      </c>
      <c r="AG53" s="79">
        <v>2245</v>
      </c>
      <c r="AH53" s="79">
        <v>95861</v>
      </c>
      <c r="AI53" s="79">
        <v>106783</v>
      </c>
      <c r="AJ53" s="79"/>
      <c r="AK53" s="79" t="s">
        <v>1249</v>
      </c>
      <c r="AL53" s="79" t="s">
        <v>1341</v>
      </c>
      <c r="AM53" s="83" t="str">
        <f>HYPERLINK("https://t.co/hzFw8JMBQz")</f>
        <v>https://t.co/hzFw8JMBQz</v>
      </c>
      <c r="AN53" s="79"/>
      <c r="AO53" s="81">
        <v>40733.314421296294</v>
      </c>
      <c r="AP53" s="83" t="str">
        <f>HYPERLINK("https://pbs.twimg.com/profile_banners/332118706/1546831210")</f>
        <v>https://pbs.twimg.com/profile_banners/332118706/1546831210</v>
      </c>
      <c r="AQ53" s="79" t="b">
        <v>0</v>
      </c>
      <c r="AR53" s="79" t="b">
        <v>0</v>
      </c>
      <c r="AS53" s="79" t="b">
        <v>1</v>
      </c>
      <c r="AT53" s="79"/>
      <c r="AU53" s="79">
        <v>113</v>
      </c>
      <c r="AV53" s="83" t="str">
        <f>HYPERLINK("https://abs.twimg.com/images/themes/theme18/bg.gif")</f>
        <v>https://abs.twimg.com/images/themes/theme18/bg.gif</v>
      </c>
      <c r="AW53" s="79" t="b">
        <v>0</v>
      </c>
      <c r="AX53" s="79" t="s">
        <v>1376</v>
      </c>
      <c r="AY53" s="83" t="str">
        <f>HYPERLINK("https://twitter.com/lotsofsassblog")</f>
        <v>https://twitter.com/lotsofsassblog</v>
      </c>
      <c r="AZ53" s="79" t="s">
        <v>66</v>
      </c>
      <c r="BA53" s="78" t="str">
        <f>REPLACE(INDEX(GroupVertices[Group], MATCH(Vertices[[#This Row],[Vertex]],GroupVertices[Vertex],0)),1,1,"")</f>
        <v>2</v>
      </c>
      <c r="BB53" s="49"/>
      <c r="BC53" s="49"/>
      <c r="BD53" s="49"/>
      <c r="BE53" s="49"/>
      <c r="BF53" s="49" t="s">
        <v>461</v>
      </c>
      <c r="BG53" s="49" t="s">
        <v>461</v>
      </c>
      <c r="BH53" s="137" t="s">
        <v>2008</v>
      </c>
      <c r="BI53" s="137" t="s">
        <v>2008</v>
      </c>
      <c r="BJ53" s="137" t="s">
        <v>2062</v>
      </c>
      <c r="BK53" s="137" t="s">
        <v>2062</v>
      </c>
      <c r="BL53" s="2"/>
      <c r="BM53" s="3"/>
      <c r="BN53" s="3"/>
      <c r="BO53" s="3"/>
      <c r="BP53" s="3"/>
    </row>
    <row r="54" spans="1:68" x14ac:dyDescent="0.25">
      <c r="A54" s="64" t="s">
        <v>286</v>
      </c>
      <c r="B54" s="65"/>
      <c r="C54" s="65"/>
      <c r="D54" s="66">
        <v>20</v>
      </c>
      <c r="E54" s="104"/>
      <c r="F54" s="96" t="str">
        <f>HYPERLINK("https://pbs.twimg.com/profile_images/1277648169476685824/byxD6bs4_normal.jpg")</f>
        <v>https://pbs.twimg.com/profile_images/1277648169476685824/byxD6bs4_normal.jpg</v>
      </c>
      <c r="G54" s="105"/>
      <c r="H54" s="69" t="s">
        <v>286</v>
      </c>
      <c r="I54" s="70"/>
      <c r="J54" s="106"/>
      <c r="K54" s="69" t="s">
        <v>1481</v>
      </c>
      <c r="L54" s="107">
        <v>1</v>
      </c>
      <c r="M54" s="74">
        <v>300.08615112304688</v>
      </c>
      <c r="N54" s="74">
        <v>5765.73876953125</v>
      </c>
      <c r="O54" s="75"/>
      <c r="P54" s="76"/>
      <c r="Q54" s="76"/>
      <c r="R54" s="88"/>
      <c r="S54" s="49">
        <v>1</v>
      </c>
      <c r="T54" s="49">
        <v>1</v>
      </c>
      <c r="U54" s="50">
        <v>0</v>
      </c>
      <c r="V54" s="50">
        <v>7.1939999999999999E-3</v>
      </c>
      <c r="W54" s="50">
        <v>1.3724999999999999E-2</v>
      </c>
      <c r="X54" s="50">
        <v>0.35472399999999998</v>
      </c>
      <c r="Y54" s="50">
        <v>0</v>
      </c>
      <c r="Z54" s="50">
        <v>1</v>
      </c>
      <c r="AA54" s="71">
        <v>54</v>
      </c>
      <c r="AB54"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54" s="72"/>
      <c r="AD54" s="79" t="s">
        <v>1058</v>
      </c>
      <c r="AE54" s="85" t="s">
        <v>1175</v>
      </c>
      <c r="AF54" s="79">
        <v>1414</v>
      </c>
      <c r="AG54" s="79">
        <v>2143</v>
      </c>
      <c r="AH54" s="79">
        <v>2987</v>
      </c>
      <c r="AI54" s="79">
        <v>3917</v>
      </c>
      <c r="AJ54" s="79"/>
      <c r="AK54" s="79" t="s">
        <v>1291</v>
      </c>
      <c r="AL54" s="79" t="s">
        <v>1367</v>
      </c>
      <c r="AM54" s="83" t="str">
        <f>HYPERLINK("https://t.co/aVwRvBTr53")</f>
        <v>https://t.co/aVwRvBTr53</v>
      </c>
      <c r="AN54" s="79"/>
      <c r="AO54" s="81">
        <v>42173.028587962966</v>
      </c>
      <c r="AP54" s="83" t="str">
        <f>HYPERLINK("https://pbs.twimg.com/profile_banners/3331936563/1627477075")</f>
        <v>https://pbs.twimg.com/profile_banners/3331936563/1627477075</v>
      </c>
      <c r="AQ54" s="79" t="b">
        <v>1</v>
      </c>
      <c r="AR54" s="79" t="b">
        <v>0</v>
      </c>
      <c r="AS54" s="79" t="b">
        <v>1</v>
      </c>
      <c r="AT54" s="79"/>
      <c r="AU54" s="79">
        <v>49</v>
      </c>
      <c r="AV54" s="83" t="str">
        <f>HYPERLINK("https://abs.twimg.com/images/themes/theme1/bg.png")</f>
        <v>https://abs.twimg.com/images/themes/theme1/bg.png</v>
      </c>
      <c r="AW54" s="79" t="b">
        <v>0</v>
      </c>
      <c r="AX54" s="79" t="s">
        <v>1376</v>
      </c>
      <c r="AY54" s="83" t="str">
        <f>HYPERLINK("https://twitter.com/pisancheznyc")</f>
        <v>https://twitter.com/pisancheznyc</v>
      </c>
      <c r="AZ54" s="79" t="s">
        <v>66</v>
      </c>
      <c r="BA54" s="78" t="str">
        <f>REPLACE(INDEX(GroupVertices[Group], MATCH(Vertices[[#This Row],[Vertex]],GroupVertices[Vertex],0)),1,1,"")</f>
        <v>1</v>
      </c>
      <c r="BB54" s="49"/>
      <c r="BC54" s="49"/>
      <c r="BD54" s="49"/>
      <c r="BE54" s="49"/>
      <c r="BF54" s="49" t="s">
        <v>461</v>
      </c>
      <c r="BG54" s="49" t="s">
        <v>461</v>
      </c>
      <c r="BH54" s="137" t="s">
        <v>2010</v>
      </c>
      <c r="BI54" s="137" t="s">
        <v>2010</v>
      </c>
      <c r="BJ54" s="137" t="s">
        <v>2064</v>
      </c>
      <c r="BK54" s="137" t="s">
        <v>2064</v>
      </c>
      <c r="BL54" s="2"/>
      <c r="BM54" s="3"/>
      <c r="BN54" s="3"/>
      <c r="BO54" s="3"/>
      <c r="BP54" s="3"/>
    </row>
    <row r="55" spans="1:68" x14ac:dyDescent="0.25">
      <c r="A55" s="64" t="s">
        <v>280</v>
      </c>
      <c r="B55" s="65"/>
      <c r="C55" s="65"/>
      <c r="D55" s="66">
        <v>20</v>
      </c>
      <c r="E55" s="104"/>
      <c r="F55" s="96" t="str">
        <f>HYPERLINK("https://pbs.twimg.com/profile_images/1418752615542923266/r6gXUbXK_normal.jpg")</f>
        <v>https://pbs.twimg.com/profile_images/1418752615542923266/r6gXUbXK_normal.jpg</v>
      </c>
      <c r="G55" s="105"/>
      <c r="H55" s="69" t="s">
        <v>280</v>
      </c>
      <c r="I55" s="70"/>
      <c r="J55" s="106"/>
      <c r="K55" s="69" t="s">
        <v>1473</v>
      </c>
      <c r="L55" s="107">
        <v>1</v>
      </c>
      <c r="M55" s="74">
        <v>1940.75732421875</v>
      </c>
      <c r="N55" s="74">
        <v>2139.84228515625</v>
      </c>
      <c r="O55" s="75"/>
      <c r="P55" s="76"/>
      <c r="Q55" s="76"/>
      <c r="R55" s="88"/>
      <c r="S55" s="49">
        <v>0</v>
      </c>
      <c r="T55" s="49">
        <v>2</v>
      </c>
      <c r="U55" s="50">
        <v>0</v>
      </c>
      <c r="V55" s="50">
        <v>7.2459999999999998E-3</v>
      </c>
      <c r="W55" s="50">
        <v>2.0239E-2</v>
      </c>
      <c r="X55" s="50">
        <v>0.56255900000000003</v>
      </c>
      <c r="Y55" s="50">
        <v>1</v>
      </c>
      <c r="Z55" s="50">
        <v>0</v>
      </c>
      <c r="AA55" s="71">
        <v>55</v>
      </c>
      <c r="AB55"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55" s="72"/>
      <c r="AD55" s="79" t="s">
        <v>1050</v>
      </c>
      <c r="AE55" s="85" t="s">
        <v>1168</v>
      </c>
      <c r="AF55" s="79">
        <v>3718</v>
      </c>
      <c r="AG55" s="79">
        <v>2044</v>
      </c>
      <c r="AH55" s="79">
        <v>6822</v>
      </c>
      <c r="AI55" s="79">
        <v>25718</v>
      </c>
      <c r="AJ55" s="79"/>
      <c r="AK55" s="79" t="s">
        <v>1283</v>
      </c>
      <c r="AL55" s="79" t="s">
        <v>1324</v>
      </c>
      <c r="AM55" s="79"/>
      <c r="AN55" s="79"/>
      <c r="AO55" s="81">
        <v>42075.597916666666</v>
      </c>
      <c r="AP55" s="83" t="str">
        <f>HYPERLINK("https://pbs.twimg.com/profile_banners/3088994284/1580138998")</f>
        <v>https://pbs.twimg.com/profile_banners/3088994284/1580138998</v>
      </c>
      <c r="AQ55" s="79" t="b">
        <v>1</v>
      </c>
      <c r="AR55" s="79" t="b">
        <v>0</v>
      </c>
      <c r="AS55" s="79" t="b">
        <v>0</v>
      </c>
      <c r="AT55" s="79"/>
      <c r="AU55" s="79">
        <v>38</v>
      </c>
      <c r="AV55" s="83" t="str">
        <f>HYPERLINK("https://abs.twimg.com/images/themes/theme1/bg.png")</f>
        <v>https://abs.twimg.com/images/themes/theme1/bg.png</v>
      </c>
      <c r="AW55" s="79" t="b">
        <v>0</v>
      </c>
      <c r="AX55" s="79" t="s">
        <v>1376</v>
      </c>
      <c r="AY55" s="83" t="str">
        <f>HYPERLINK("https://twitter.com/tlharnisch")</f>
        <v>https://twitter.com/tlharnisch</v>
      </c>
      <c r="AZ55" s="79" t="s">
        <v>66</v>
      </c>
      <c r="BA55" s="78" t="str">
        <f>REPLACE(INDEX(GroupVertices[Group], MATCH(Vertices[[#This Row],[Vertex]],GroupVertices[Vertex],0)),1,1,"")</f>
        <v>1</v>
      </c>
      <c r="BB55" s="49"/>
      <c r="BC55" s="49"/>
      <c r="BD55" s="49"/>
      <c r="BE55" s="49"/>
      <c r="BF55" s="49" t="s">
        <v>461</v>
      </c>
      <c r="BG55" s="49" t="s">
        <v>461</v>
      </c>
      <c r="BH55" s="137" t="s">
        <v>2000</v>
      </c>
      <c r="BI55" s="137" t="s">
        <v>2000</v>
      </c>
      <c r="BJ55" s="137" t="s">
        <v>2055</v>
      </c>
      <c r="BK55" s="137" t="s">
        <v>2055</v>
      </c>
      <c r="BL55" s="2"/>
      <c r="BM55" s="3"/>
      <c r="BN55" s="3"/>
      <c r="BO55" s="3"/>
      <c r="BP55" s="3"/>
    </row>
    <row r="56" spans="1:68" x14ac:dyDescent="0.25">
      <c r="A56" s="64" t="s">
        <v>325</v>
      </c>
      <c r="B56" s="65"/>
      <c r="C56" s="65"/>
      <c r="D56" s="66">
        <v>20</v>
      </c>
      <c r="E56" s="104"/>
      <c r="F56" s="96" t="str">
        <f>HYPERLINK("https://pbs.twimg.com/profile_images/1153408114739126272/mEx2ytvM_normal.jpg")</f>
        <v>https://pbs.twimg.com/profile_images/1153408114739126272/mEx2ytvM_normal.jpg</v>
      </c>
      <c r="G56" s="105"/>
      <c r="H56" s="69" t="s">
        <v>325</v>
      </c>
      <c r="I56" s="70"/>
      <c r="J56" s="106"/>
      <c r="K56" s="69" t="s">
        <v>1460</v>
      </c>
      <c r="L56" s="107">
        <v>1</v>
      </c>
      <c r="M56" s="74">
        <v>9776.49609375</v>
      </c>
      <c r="N56" s="74">
        <v>433.88262939453125</v>
      </c>
      <c r="O56" s="75"/>
      <c r="P56" s="76"/>
      <c r="Q56" s="76"/>
      <c r="R56" s="88"/>
      <c r="S56" s="49">
        <v>1</v>
      </c>
      <c r="T56" s="49">
        <v>0</v>
      </c>
      <c r="U56" s="50">
        <v>0</v>
      </c>
      <c r="V56" s="50">
        <v>1</v>
      </c>
      <c r="W56" s="50">
        <v>0</v>
      </c>
      <c r="X56" s="50">
        <v>0.999996</v>
      </c>
      <c r="Y56" s="50">
        <v>0</v>
      </c>
      <c r="Z56" s="50">
        <v>0</v>
      </c>
      <c r="AA56" s="71">
        <v>56</v>
      </c>
      <c r="AB56"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56" s="72"/>
      <c r="AD56" s="79" t="s">
        <v>1037</v>
      </c>
      <c r="AE56" s="85" t="s">
        <v>1155</v>
      </c>
      <c r="AF56" s="79">
        <v>948</v>
      </c>
      <c r="AG56" s="79">
        <v>2030</v>
      </c>
      <c r="AH56" s="79">
        <v>8599</v>
      </c>
      <c r="AI56" s="79">
        <v>6747</v>
      </c>
      <c r="AJ56" s="79"/>
      <c r="AK56" s="79" t="s">
        <v>1273</v>
      </c>
      <c r="AL56" s="79" t="s">
        <v>1358</v>
      </c>
      <c r="AM56" s="83" t="str">
        <f>HYPERLINK("https://t.co/yBes23oHb5")</f>
        <v>https://t.co/yBes23oHb5</v>
      </c>
      <c r="AN56" s="79"/>
      <c r="AO56" s="81">
        <v>40236.137187499997</v>
      </c>
      <c r="AP56" s="83" t="str">
        <f>HYPERLINK("https://pbs.twimg.com/profile_banners/117940343/1525393065")</f>
        <v>https://pbs.twimg.com/profile_banners/117940343/1525393065</v>
      </c>
      <c r="AQ56" s="79" t="b">
        <v>0</v>
      </c>
      <c r="AR56" s="79" t="b">
        <v>0</v>
      </c>
      <c r="AS56" s="79" t="b">
        <v>0</v>
      </c>
      <c r="AT56" s="79"/>
      <c r="AU56" s="79">
        <v>69</v>
      </c>
      <c r="AV56" s="83" t="str">
        <f>HYPERLINK("https://abs.twimg.com/images/themes/theme1/bg.png")</f>
        <v>https://abs.twimg.com/images/themes/theme1/bg.png</v>
      </c>
      <c r="AW56" s="79" t="b">
        <v>0</v>
      </c>
      <c r="AX56" s="79" t="s">
        <v>1376</v>
      </c>
      <c r="AY56" s="83" t="str">
        <f>HYPERLINK("https://twitter.com/go2missionsc")</f>
        <v>https://twitter.com/go2missionsc</v>
      </c>
      <c r="AZ56" s="79" t="s">
        <v>65</v>
      </c>
      <c r="BA56" s="78" t="str">
        <f>REPLACE(INDEX(GroupVertices[Group], MATCH(Vertices[[#This Row],[Vertex]],GroupVertices[Vertex],0)),1,1,"")</f>
        <v>13</v>
      </c>
      <c r="BB56" s="49"/>
      <c r="BC56" s="49"/>
      <c r="BD56" s="49"/>
      <c r="BE56" s="49"/>
      <c r="BF56" s="49"/>
      <c r="BG56" s="49"/>
      <c r="BH56" s="49"/>
      <c r="BI56" s="49"/>
      <c r="BJ56" s="49"/>
      <c r="BK56" s="49"/>
      <c r="BL56" s="2"/>
      <c r="BM56" s="3"/>
      <c r="BN56" s="3"/>
      <c r="BO56" s="3"/>
      <c r="BP56" s="3"/>
    </row>
    <row r="57" spans="1:68" x14ac:dyDescent="0.25">
      <c r="A57" s="64" t="s">
        <v>258</v>
      </c>
      <c r="B57" s="65"/>
      <c r="C57" s="65"/>
      <c r="D57" s="66">
        <v>20</v>
      </c>
      <c r="E57" s="104"/>
      <c r="F57" s="96" t="str">
        <f>HYPERLINK("https://pbs.twimg.com/profile_images/616240390400704513/E83Hn7QQ_normal.png")</f>
        <v>https://pbs.twimg.com/profile_images/616240390400704513/E83Hn7QQ_normal.png</v>
      </c>
      <c r="G57" s="105"/>
      <c r="H57" s="69" t="s">
        <v>258</v>
      </c>
      <c r="I57" s="70"/>
      <c r="J57" s="106"/>
      <c r="K57" s="69" t="s">
        <v>1440</v>
      </c>
      <c r="L57" s="107">
        <v>1</v>
      </c>
      <c r="M57" s="74">
        <v>4542.29150390625</v>
      </c>
      <c r="N57" s="74">
        <v>6357.56298828125</v>
      </c>
      <c r="O57" s="75"/>
      <c r="P57" s="76"/>
      <c r="Q57" s="76"/>
      <c r="R57" s="88"/>
      <c r="S57" s="49">
        <v>0</v>
      </c>
      <c r="T57" s="49">
        <v>3</v>
      </c>
      <c r="U57" s="50">
        <v>0</v>
      </c>
      <c r="V57" s="50">
        <v>2.3255999999999999E-2</v>
      </c>
      <c r="W57" s="50">
        <v>5.0000000000000004E-6</v>
      </c>
      <c r="X57" s="50">
        <v>0.74452600000000002</v>
      </c>
      <c r="Y57" s="50">
        <v>0.66666666666666663</v>
      </c>
      <c r="Z57" s="50">
        <v>0</v>
      </c>
      <c r="AA57" s="71">
        <v>57</v>
      </c>
      <c r="AB57"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57" s="72"/>
      <c r="AD57" s="79" t="s">
        <v>1017</v>
      </c>
      <c r="AE57" s="85" t="s">
        <v>1136</v>
      </c>
      <c r="AF57" s="79">
        <v>814</v>
      </c>
      <c r="AG57" s="79">
        <v>1949</v>
      </c>
      <c r="AH57" s="79">
        <v>3985</v>
      </c>
      <c r="AI57" s="79">
        <v>9559</v>
      </c>
      <c r="AJ57" s="79"/>
      <c r="AK57" s="79" t="s">
        <v>1253</v>
      </c>
      <c r="AL57" s="79" t="s">
        <v>1333</v>
      </c>
      <c r="AM57" s="83" t="str">
        <f>HYPERLINK("http://t.co/9f6dqWqJlo")</f>
        <v>http://t.co/9f6dqWqJlo</v>
      </c>
      <c r="AN57" s="79"/>
      <c r="AO57" s="81">
        <v>41726.579930555556</v>
      </c>
      <c r="AP57" s="83" t="str">
        <f>HYPERLINK("https://pbs.twimg.com/profile_banners/2415944390/1440595174")</f>
        <v>https://pbs.twimg.com/profile_banners/2415944390/1440595174</v>
      </c>
      <c r="AQ57" s="79" t="b">
        <v>0</v>
      </c>
      <c r="AR57" s="79" t="b">
        <v>0</v>
      </c>
      <c r="AS57" s="79" t="b">
        <v>1</v>
      </c>
      <c r="AT57" s="79"/>
      <c r="AU57" s="79">
        <v>31</v>
      </c>
      <c r="AV57" s="83" t="str">
        <f>HYPERLINK("https://abs.twimg.com/images/themes/theme14/bg.gif")</f>
        <v>https://abs.twimg.com/images/themes/theme14/bg.gif</v>
      </c>
      <c r="AW57" s="79" t="b">
        <v>0</v>
      </c>
      <c r="AX57" s="79" t="s">
        <v>1376</v>
      </c>
      <c r="AY57" s="83" t="str">
        <f>HYPERLINK("https://twitter.com/uncpsych")</f>
        <v>https://twitter.com/uncpsych</v>
      </c>
      <c r="AZ57" s="79" t="s">
        <v>66</v>
      </c>
      <c r="BA57" s="78" t="str">
        <f>REPLACE(INDEX(GroupVertices[Group], MATCH(Vertices[[#This Row],[Vertex]],GroupVertices[Vertex],0)),1,1,"")</f>
        <v>2</v>
      </c>
      <c r="BB57" s="49" t="s">
        <v>1582</v>
      </c>
      <c r="BC57" s="49" t="s">
        <v>1582</v>
      </c>
      <c r="BD57" s="49" t="s">
        <v>449</v>
      </c>
      <c r="BE57" s="49" t="s">
        <v>449</v>
      </c>
      <c r="BF57" s="49" t="s">
        <v>461</v>
      </c>
      <c r="BG57" s="49" t="s">
        <v>461</v>
      </c>
      <c r="BH57" s="137" t="s">
        <v>1996</v>
      </c>
      <c r="BI57" s="137" t="s">
        <v>2033</v>
      </c>
      <c r="BJ57" s="137" t="s">
        <v>2051</v>
      </c>
      <c r="BK57" s="137" t="s">
        <v>2051</v>
      </c>
      <c r="BL57" s="2"/>
      <c r="BM57" s="3"/>
      <c r="BN57" s="3"/>
      <c r="BO57" s="3"/>
      <c r="BP57" s="3"/>
    </row>
    <row r="58" spans="1:68" x14ac:dyDescent="0.25">
      <c r="A58" s="64" t="s">
        <v>244</v>
      </c>
      <c r="B58" s="65"/>
      <c r="C58" s="65"/>
      <c r="D58" s="66">
        <v>20</v>
      </c>
      <c r="E58" s="104"/>
      <c r="F58" s="96" t="str">
        <f>HYPERLINK("https://pbs.twimg.com/profile_images/1390001008168865797/UkeDMrAF_normal.jpg")</f>
        <v>https://pbs.twimg.com/profile_images/1390001008168865797/UkeDMrAF_normal.jpg</v>
      </c>
      <c r="G58" s="105"/>
      <c r="H58" s="69" t="s">
        <v>244</v>
      </c>
      <c r="I58" s="70"/>
      <c r="J58" s="106"/>
      <c r="K58" s="69" t="s">
        <v>1420</v>
      </c>
      <c r="L58" s="107">
        <v>1</v>
      </c>
      <c r="M58" s="74">
        <v>3590.233154296875</v>
      </c>
      <c r="N58" s="74">
        <v>8382.771484375</v>
      </c>
      <c r="O58" s="75"/>
      <c r="P58" s="76"/>
      <c r="Q58" s="76"/>
      <c r="R58" s="88"/>
      <c r="S58" s="49">
        <v>0</v>
      </c>
      <c r="T58" s="49">
        <v>2</v>
      </c>
      <c r="U58" s="50">
        <v>0</v>
      </c>
      <c r="V58" s="50">
        <v>2.2727000000000001E-2</v>
      </c>
      <c r="W58" s="50">
        <v>3.9999999999999998E-6</v>
      </c>
      <c r="X58" s="50">
        <v>0.547435</v>
      </c>
      <c r="Y58" s="50">
        <v>1</v>
      </c>
      <c r="Z58" s="50">
        <v>0</v>
      </c>
      <c r="AA58" s="71">
        <v>58</v>
      </c>
      <c r="AB58"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58" s="72"/>
      <c r="AD58" s="79" t="s">
        <v>997</v>
      </c>
      <c r="AE58" s="85" t="s">
        <v>1116</v>
      </c>
      <c r="AF58" s="79">
        <v>1369</v>
      </c>
      <c r="AG58" s="79">
        <v>1763</v>
      </c>
      <c r="AH58" s="79">
        <v>24332</v>
      </c>
      <c r="AI58" s="79">
        <v>6603</v>
      </c>
      <c r="AJ58" s="79"/>
      <c r="AK58" s="79" t="s">
        <v>1234</v>
      </c>
      <c r="AL58" s="79" t="s">
        <v>1327</v>
      </c>
      <c r="AM58" s="79"/>
      <c r="AN58" s="79"/>
      <c r="AO58" s="81">
        <v>40766.16505787037</v>
      </c>
      <c r="AP58" s="83" t="str">
        <f>HYPERLINK("https://pbs.twimg.com/profile_banners/352828324/1620237110")</f>
        <v>https://pbs.twimg.com/profile_banners/352828324/1620237110</v>
      </c>
      <c r="AQ58" s="79" t="b">
        <v>0</v>
      </c>
      <c r="AR58" s="79" t="b">
        <v>0</v>
      </c>
      <c r="AS58" s="79" t="b">
        <v>1</v>
      </c>
      <c r="AT58" s="79"/>
      <c r="AU58" s="79">
        <v>14</v>
      </c>
      <c r="AV58" s="83" t="str">
        <f>HYPERLINK("https://abs.twimg.com/images/themes/theme1/bg.png")</f>
        <v>https://abs.twimg.com/images/themes/theme1/bg.png</v>
      </c>
      <c r="AW58" s="79" t="b">
        <v>0</v>
      </c>
      <c r="AX58" s="79" t="s">
        <v>1376</v>
      </c>
      <c r="AY58" s="83" t="str">
        <f>HYPERLINK("https://twitter.com/monieelovee_")</f>
        <v>https://twitter.com/monieelovee_</v>
      </c>
      <c r="AZ58" s="79" t="s">
        <v>66</v>
      </c>
      <c r="BA58" s="78" t="str">
        <f>REPLACE(INDEX(GroupVertices[Group], MATCH(Vertices[[#This Row],[Vertex]],GroupVertices[Vertex],0)),1,1,"")</f>
        <v>2</v>
      </c>
      <c r="BB58" s="49"/>
      <c r="BC58" s="49"/>
      <c r="BD58" s="49"/>
      <c r="BE58" s="49"/>
      <c r="BF58" s="49" t="s">
        <v>461</v>
      </c>
      <c r="BG58" s="49" t="s">
        <v>461</v>
      </c>
      <c r="BH58" s="137" t="s">
        <v>2008</v>
      </c>
      <c r="BI58" s="137" t="s">
        <v>2008</v>
      </c>
      <c r="BJ58" s="137" t="s">
        <v>2062</v>
      </c>
      <c r="BK58" s="137" t="s">
        <v>2062</v>
      </c>
      <c r="BL58" s="2"/>
      <c r="BM58" s="3"/>
      <c r="BN58" s="3"/>
      <c r="BO58" s="3"/>
      <c r="BP58" s="3"/>
    </row>
    <row r="59" spans="1:68" x14ac:dyDescent="0.25">
      <c r="A59" s="64" t="s">
        <v>246</v>
      </c>
      <c r="B59" s="65"/>
      <c r="C59" s="65"/>
      <c r="D59" s="66">
        <v>20</v>
      </c>
      <c r="E59" s="104"/>
      <c r="F59" s="96" t="str">
        <f>HYPERLINK("https://pbs.twimg.com/profile_images/1149100954437869568/ADya6w5m_normal.jpg")</f>
        <v>https://pbs.twimg.com/profile_images/1149100954437869568/ADya6w5m_normal.jpg</v>
      </c>
      <c r="G59" s="105"/>
      <c r="H59" s="69" t="s">
        <v>246</v>
      </c>
      <c r="I59" s="70"/>
      <c r="J59" s="106"/>
      <c r="K59" s="69" t="s">
        <v>1430</v>
      </c>
      <c r="L59" s="107">
        <v>1</v>
      </c>
      <c r="M59" s="74">
        <v>4662.49658203125</v>
      </c>
      <c r="N59" s="74">
        <v>4275.0771484375</v>
      </c>
      <c r="O59" s="75"/>
      <c r="P59" s="76"/>
      <c r="Q59" s="76"/>
      <c r="R59" s="88"/>
      <c r="S59" s="49">
        <v>0</v>
      </c>
      <c r="T59" s="49">
        <v>3</v>
      </c>
      <c r="U59" s="50">
        <v>0</v>
      </c>
      <c r="V59" s="50">
        <v>2.3255999999999999E-2</v>
      </c>
      <c r="W59" s="50">
        <v>5.0000000000000004E-6</v>
      </c>
      <c r="X59" s="50">
        <v>0.74452600000000002</v>
      </c>
      <c r="Y59" s="50">
        <v>0.66666666666666663</v>
      </c>
      <c r="Z59" s="50">
        <v>0</v>
      </c>
      <c r="AA59" s="71">
        <v>59</v>
      </c>
      <c r="AB59"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59" s="72"/>
      <c r="AD59" s="79" t="s">
        <v>1007</v>
      </c>
      <c r="AE59" s="85" t="s">
        <v>1126</v>
      </c>
      <c r="AF59" s="79">
        <v>1238</v>
      </c>
      <c r="AG59" s="79">
        <v>1722</v>
      </c>
      <c r="AH59" s="79">
        <v>19869</v>
      </c>
      <c r="AI59" s="79">
        <v>12951</v>
      </c>
      <c r="AJ59" s="79"/>
      <c r="AK59" s="79" t="s">
        <v>1243</v>
      </c>
      <c r="AL59" s="79" t="s">
        <v>1337</v>
      </c>
      <c r="AM59" s="83" t="str">
        <f>HYPERLINK("https://t.co/rUTsyixYDi")</f>
        <v>https://t.co/rUTsyixYDi</v>
      </c>
      <c r="AN59" s="79"/>
      <c r="AO59" s="81">
        <v>40468.267071759263</v>
      </c>
      <c r="AP59" s="83" t="str">
        <f>HYPERLINK("https://pbs.twimg.com/profile_banners/203816712/1480839699")</f>
        <v>https://pbs.twimg.com/profile_banners/203816712/1480839699</v>
      </c>
      <c r="AQ59" s="79" t="b">
        <v>0</v>
      </c>
      <c r="AR59" s="79" t="b">
        <v>0</v>
      </c>
      <c r="AS59" s="79" t="b">
        <v>1</v>
      </c>
      <c r="AT59" s="79"/>
      <c r="AU59" s="79">
        <v>12</v>
      </c>
      <c r="AV59" s="83" t="str">
        <f>HYPERLINK("https://abs.twimg.com/images/themes/theme1/bg.png")</f>
        <v>https://abs.twimg.com/images/themes/theme1/bg.png</v>
      </c>
      <c r="AW59" s="79" t="b">
        <v>0</v>
      </c>
      <c r="AX59" s="79" t="s">
        <v>1376</v>
      </c>
      <c r="AY59" s="83" t="str">
        <f>HYPERLINK("https://twitter.com/logangin")</f>
        <v>https://twitter.com/logangin</v>
      </c>
      <c r="AZ59" s="79" t="s">
        <v>66</v>
      </c>
      <c r="BA59" s="78" t="str">
        <f>REPLACE(INDEX(GroupVertices[Group], MATCH(Vertices[[#This Row],[Vertex]],GroupVertices[Vertex],0)),1,1,"")</f>
        <v>2</v>
      </c>
      <c r="BB59" s="49" t="s">
        <v>1582</v>
      </c>
      <c r="BC59" s="49" t="s">
        <v>1582</v>
      </c>
      <c r="BD59" s="49" t="s">
        <v>449</v>
      </c>
      <c r="BE59" s="49" t="s">
        <v>449</v>
      </c>
      <c r="BF59" s="49" t="s">
        <v>461</v>
      </c>
      <c r="BG59" s="49" t="s">
        <v>461</v>
      </c>
      <c r="BH59" s="137" t="s">
        <v>1997</v>
      </c>
      <c r="BI59" s="137" t="s">
        <v>1997</v>
      </c>
      <c r="BJ59" s="137" t="s">
        <v>2052</v>
      </c>
      <c r="BK59" s="137" t="s">
        <v>2052</v>
      </c>
      <c r="BL59" s="2"/>
      <c r="BM59" s="3"/>
      <c r="BN59" s="3"/>
      <c r="BO59" s="3"/>
      <c r="BP59" s="3"/>
    </row>
    <row r="60" spans="1:68" x14ac:dyDescent="0.25">
      <c r="A60" s="64" t="s">
        <v>242</v>
      </c>
      <c r="B60" s="65"/>
      <c r="C60" s="65"/>
      <c r="D60" s="66">
        <v>20</v>
      </c>
      <c r="E60" s="104"/>
      <c r="F60" s="96" t="str">
        <f>HYPERLINK("https://pbs.twimg.com/profile_images/1339268074617380866/cht5wEox_normal.jpg")</f>
        <v>https://pbs.twimg.com/profile_images/1339268074617380866/cht5wEox_normal.jpg</v>
      </c>
      <c r="G60" s="105"/>
      <c r="H60" s="69" t="s">
        <v>242</v>
      </c>
      <c r="I60" s="70"/>
      <c r="J60" s="106"/>
      <c r="K60" s="69" t="s">
        <v>1417</v>
      </c>
      <c r="L60" s="107">
        <v>1</v>
      </c>
      <c r="M60" s="74">
        <v>5374.17236328125</v>
      </c>
      <c r="N60" s="74">
        <v>6996.6123046875</v>
      </c>
      <c r="O60" s="75"/>
      <c r="P60" s="76"/>
      <c r="Q60" s="76"/>
      <c r="R60" s="88"/>
      <c r="S60" s="49">
        <v>0</v>
      </c>
      <c r="T60" s="49">
        <v>2</v>
      </c>
      <c r="U60" s="50">
        <v>0</v>
      </c>
      <c r="V60" s="50">
        <v>2.2727000000000001E-2</v>
      </c>
      <c r="W60" s="50">
        <v>3.9999999999999998E-6</v>
      </c>
      <c r="X60" s="50">
        <v>0.547435</v>
      </c>
      <c r="Y60" s="50">
        <v>1</v>
      </c>
      <c r="Z60" s="50">
        <v>0</v>
      </c>
      <c r="AA60" s="71">
        <v>60</v>
      </c>
      <c r="AB60"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60" s="72"/>
      <c r="AD60" s="79" t="s">
        <v>994</v>
      </c>
      <c r="AE60" s="85" t="s">
        <v>1113</v>
      </c>
      <c r="AF60" s="79">
        <v>1526</v>
      </c>
      <c r="AG60" s="79">
        <v>1703</v>
      </c>
      <c r="AH60" s="79">
        <v>75941</v>
      </c>
      <c r="AI60" s="79">
        <v>156764</v>
      </c>
      <c r="AJ60" s="79"/>
      <c r="AK60" s="79" t="s">
        <v>1231</v>
      </c>
      <c r="AL60" s="79"/>
      <c r="AM60" s="83" t="str">
        <f>HYPERLINK("https://t.co/POwpIEMIhC")</f>
        <v>https://t.co/POwpIEMIhC</v>
      </c>
      <c r="AN60" s="79"/>
      <c r="AO60" s="81">
        <v>41004.819745370369</v>
      </c>
      <c r="AP60" s="83" t="str">
        <f>HYPERLINK("https://pbs.twimg.com/profile_banners/546315612/1551054385")</f>
        <v>https://pbs.twimg.com/profile_banners/546315612/1551054385</v>
      </c>
      <c r="AQ60" s="79" t="b">
        <v>0</v>
      </c>
      <c r="AR60" s="79" t="b">
        <v>0</v>
      </c>
      <c r="AS60" s="79" t="b">
        <v>0</v>
      </c>
      <c r="AT60" s="79"/>
      <c r="AU60" s="79">
        <v>9</v>
      </c>
      <c r="AV60" s="83" t="str">
        <f>HYPERLINK("https://abs.twimg.com/images/themes/theme4/bg.gif")</f>
        <v>https://abs.twimg.com/images/themes/theme4/bg.gif</v>
      </c>
      <c r="AW60" s="79" t="b">
        <v>0</v>
      </c>
      <c r="AX60" s="79" t="s">
        <v>1376</v>
      </c>
      <c r="AY60" s="83" t="str">
        <f>HYPERLINK("https://twitter.com/kaydontplay_12")</f>
        <v>https://twitter.com/kaydontplay_12</v>
      </c>
      <c r="AZ60" s="79" t="s">
        <v>66</v>
      </c>
      <c r="BA60" s="78" t="str">
        <f>REPLACE(INDEX(GroupVertices[Group], MATCH(Vertices[[#This Row],[Vertex]],GroupVertices[Vertex],0)),1,1,"")</f>
        <v>2</v>
      </c>
      <c r="BB60" s="49"/>
      <c r="BC60" s="49"/>
      <c r="BD60" s="49"/>
      <c r="BE60" s="49"/>
      <c r="BF60" s="49" t="s">
        <v>461</v>
      </c>
      <c r="BG60" s="49" t="s">
        <v>461</v>
      </c>
      <c r="BH60" s="137" t="s">
        <v>2008</v>
      </c>
      <c r="BI60" s="137" t="s">
        <v>2008</v>
      </c>
      <c r="BJ60" s="137" t="s">
        <v>2062</v>
      </c>
      <c r="BK60" s="137" t="s">
        <v>2062</v>
      </c>
      <c r="BL60" s="2"/>
      <c r="BM60" s="3"/>
      <c r="BN60" s="3"/>
      <c r="BO60" s="3"/>
      <c r="BP60" s="3"/>
    </row>
    <row r="61" spans="1:68" x14ac:dyDescent="0.25">
      <c r="A61" s="64" t="s">
        <v>238</v>
      </c>
      <c r="B61" s="65"/>
      <c r="C61" s="65"/>
      <c r="D61" s="66">
        <v>20</v>
      </c>
      <c r="E61" s="104"/>
      <c r="F61" s="96" t="str">
        <f>HYPERLINK("https://pbs.twimg.com/profile_images/1387501446061600771/AfyOhHig_normal.jpg")</f>
        <v>https://pbs.twimg.com/profile_images/1387501446061600771/AfyOhHig_normal.jpg</v>
      </c>
      <c r="G61" s="105"/>
      <c r="H61" s="69" t="s">
        <v>238</v>
      </c>
      <c r="I61" s="70"/>
      <c r="J61" s="106"/>
      <c r="K61" s="69" t="s">
        <v>1413</v>
      </c>
      <c r="L61" s="107">
        <v>1</v>
      </c>
      <c r="M61" s="74">
        <v>2734.7685546875</v>
      </c>
      <c r="N61" s="74">
        <v>6348.41162109375</v>
      </c>
      <c r="O61" s="75"/>
      <c r="P61" s="76"/>
      <c r="Q61" s="76"/>
      <c r="R61" s="88"/>
      <c r="S61" s="49">
        <v>0</v>
      </c>
      <c r="T61" s="49">
        <v>2</v>
      </c>
      <c r="U61" s="50">
        <v>0</v>
      </c>
      <c r="V61" s="50">
        <v>2.2727000000000001E-2</v>
      </c>
      <c r="W61" s="50">
        <v>3.9999999999999998E-6</v>
      </c>
      <c r="X61" s="50">
        <v>0.547435</v>
      </c>
      <c r="Y61" s="50">
        <v>1</v>
      </c>
      <c r="Z61" s="50">
        <v>0</v>
      </c>
      <c r="AA61" s="71">
        <v>61</v>
      </c>
      <c r="AB61"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61" s="72"/>
      <c r="AD61" s="79" t="s">
        <v>990</v>
      </c>
      <c r="AE61" s="85" t="s">
        <v>1109</v>
      </c>
      <c r="AF61" s="79">
        <v>1193</v>
      </c>
      <c r="AG61" s="79">
        <v>1619</v>
      </c>
      <c r="AH61" s="79">
        <v>53188</v>
      </c>
      <c r="AI61" s="79">
        <v>23821</v>
      </c>
      <c r="AJ61" s="79"/>
      <c r="AK61" s="79" t="s">
        <v>1227</v>
      </c>
      <c r="AL61" s="79" t="s">
        <v>1328</v>
      </c>
      <c r="AM61" s="79"/>
      <c r="AN61" s="79"/>
      <c r="AO61" s="81">
        <v>40076.019050925926</v>
      </c>
      <c r="AP61" s="83" t="str">
        <f>HYPERLINK("https://pbs.twimg.com/profile_banners/75678695/1503797214")</f>
        <v>https://pbs.twimg.com/profile_banners/75678695/1503797214</v>
      </c>
      <c r="AQ61" s="79" t="b">
        <v>0</v>
      </c>
      <c r="AR61" s="79" t="b">
        <v>0</v>
      </c>
      <c r="AS61" s="79" t="b">
        <v>1</v>
      </c>
      <c r="AT61" s="79"/>
      <c r="AU61" s="79">
        <v>9</v>
      </c>
      <c r="AV61" s="83" t="str">
        <f>HYPERLINK("https://abs.twimg.com/images/themes/theme1/bg.png")</f>
        <v>https://abs.twimg.com/images/themes/theme1/bg.png</v>
      </c>
      <c r="AW61" s="79" t="b">
        <v>0</v>
      </c>
      <c r="AX61" s="79" t="s">
        <v>1376</v>
      </c>
      <c r="AY61" s="83" t="str">
        <f>HYPERLINK("https://twitter.com/_kamoafo")</f>
        <v>https://twitter.com/_kamoafo</v>
      </c>
      <c r="AZ61" s="79" t="s">
        <v>66</v>
      </c>
      <c r="BA61" s="78" t="str">
        <f>REPLACE(INDEX(GroupVertices[Group], MATCH(Vertices[[#This Row],[Vertex]],GroupVertices[Vertex],0)),1,1,"")</f>
        <v>2</v>
      </c>
      <c r="BB61" s="49"/>
      <c r="BC61" s="49"/>
      <c r="BD61" s="49"/>
      <c r="BE61" s="49"/>
      <c r="BF61" s="49" t="s">
        <v>461</v>
      </c>
      <c r="BG61" s="49" t="s">
        <v>461</v>
      </c>
      <c r="BH61" s="137" t="s">
        <v>2008</v>
      </c>
      <c r="BI61" s="137" t="s">
        <v>2008</v>
      </c>
      <c r="BJ61" s="137" t="s">
        <v>2062</v>
      </c>
      <c r="BK61" s="137" t="s">
        <v>2062</v>
      </c>
      <c r="BL61" s="2"/>
      <c r="BM61" s="3"/>
      <c r="BN61" s="3"/>
      <c r="BO61" s="3"/>
      <c r="BP61" s="3"/>
    </row>
    <row r="62" spans="1:68" x14ac:dyDescent="0.25">
      <c r="A62" s="64" t="s">
        <v>236</v>
      </c>
      <c r="B62" s="65"/>
      <c r="C62" s="65"/>
      <c r="D62" s="66">
        <v>20</v>
      </c>
      <c r="E62" s="104"/>
      <c r="F62" s="96" t="str">
        <f>HYPERLINK("https://pbs.twimg.com/profile_images/1353734155784355840/go-crlyy_normal.jpg")</f>
        <v>https://pbs.twimg.com/profile_images/1353734155784355840/go-crlyy_normal.jpg</v>
      </c>
      <c r="G62" s="105"/>
      <c r="H62" s="69" t="s">
        <v>236</v>
      </c>
      <c r="I62" s="70"/>
      <c r="J62" s="106"/>
      <c r="K62" s="69" t="s">
        <v>1409</v>
      </c>
      <c r="L62" s="107">
        <v>1</v>
      </c>
      <c r="M62" s="74">
        <v>4629.87841796875</v>
      </c>
      <c r="N62" s="74">
        <v>8571.0673828125</v>
      </c>
      <c r="O62" s="75"/>
      <c r="P62" s="76"/>
      <c r="Q62" s="76"/>
      <c r="R62" s="88"/>
      <c r="S62" s="49">
        <v>0</v>
      </c>
      <c r="T62" s="49">
        <v>2</v>
      </c>
      <c r="U62" s="50">
        <v>0</v>
      </c>
      <c r="V62" s="50">
        <v>2.2727000000000001E-2</v>
      </c>
      <c r="W62" s="50">
        <v>3.9999999999999998E-6</v>
      </c>
      <c r="X62" s="50">
        <v>0.547435</v>
      </c>
      <c r="Y62" s="50">
        <v>1</v>
      </c>
      <c r="Z62" s="50">
        <v>0</v>
      </c>
      <c r="AA62" s="71">
        <v>62</v>
      </c>
      <c r="AB62"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62" s="72"/>
      <c r="AD62" s="79" t="s">
        <v>986</v>
      </c>
      <c r="AE62" s="85" t="s">
        <v>1106</v>
      </c>
      <c r="AF62" s="79">
        <v>2381</v>
      </c>
      <c r="AG62" s="79">
        <v>1576</v>
      </c>
      <c r="AH62" s="79">
        <v>4857</v>
      </c>
      <c r="AI62" s="79">
        <v>19093</v>
      </c>
      <c r="AJ62" s="79"/>
      <c r="AK62" s="79" t="s">
        <v>1223</v>
      </c>
      <c r="AL62" s="79" t="s">
        <v>1325</v>
      </c>
      <c r="AM62" s="83" t="str">
        <f>HYPERLINK("https://t.co/cnhNPc55im")</f>
        <v>https://t.co/cnhNPc55im</v>
      </c>
      <c r="AN62" s="79"/>
      <c r="AO62" s="81">
        <v>40811.165937500002</v>
      </c>
      <c r="AP62" s="83" t="str">
        <f>HYPERLINK("https://pbs.twimg.com/profile_banners/379534044/1562358947")</f>
        <v>https://pbs.twimg.com/profile_banners/379534044/1562358947</v>
      </c>
      <c r="AQ62" s="79" t="b">
        <v>0</v>
      </c>
      <c r="AR62" s="79" t="b">
        <v>0</v>
      </c>
      <c r="AS62" s="79" t="b">
        <v>1</v>
      </c>
      <c r="AT62" s="79"/>
      <c r="AU62" s="79">
        <v>10</v>
      </c>
      <c r="AV62" s="83" t="str">
        <f>HYPERLINK("https://abs.twimg.com/images/themes/theme19/bg.gif")</f>
        <v>https://abs.twimg.com/images/themes/theme19/bg.gif</v>
      </c>
      <c r="AW62" s="79" t="b">
        <v>0</v>
      </c>
      <c r="AX62" s="79" t="s">
        <v>1376</v>
      </c>
      <c r="AY62" s="83" t="str">
        <f>HYPERLINK("https://twitter.com/renaissancemars")</f>
        <v>https://twitter.com/renaissancemars</v>
      </c>
      <c r="AZ62" s="79" t="s">
        <v>66</v>
      </c>
      <c r="BA62" s="78" t="str">
        <f>REPLACE(INDEX(GroupVertices[Group], MATCH(Vertices[[#This Row],[Vertex]],GroupVertices[Vertex],0)),1,1,"")</f>
        <v>2</v>
      </c>
      <c r="BB62" s="49"/>
      <c r="BC62" s="49"/>
      <c r="BD62" s="49"/>
      <c r="BE62" s="49"/>
      <c r="BF62" s="49" t="s">
        <v>461</v>
      </c>
      <c r="BG62" s="49" t="s">
        <v>461</v>
      </c>
      <c r="BH62" s="137" t="s">
        <v>2008</v>
      </c>
      <c r="BI62" s="137" t="s">
        <v>2008</v>
      </c>
      <c r="BJ62" s="137" t="s">
        <v>2062</v>
      </c>
      <c r="BK62" s="137" t="s">
        <v>2062</v>
      </c>
      <c r="BL62" s="2"/>
      <c r="BM62" s="3"/>
      <c r="BN62" s="3"/>
      <c r="BO62" s="3"/>
      <c r="BP62" s="3"/>
    </row>
    <row r="63" spans="1:68" x14ac:dyDescent="0.25">
      <c r="A63" s="64" t="s">
        <v>248</v>
      </c>
      <c r="B63" s="65"/>
      <c r="C63" s="65"/>
      <c r="D63" s="66">
        <v>20</v>
      </c>
      <c r="E63" s="104"/>
      <c r="F63" s="96" t="str">
        <f>HYPERLINK("https://pbs.twimg.com/profile_images/1341260816935493633/mVYAxWTI_normal.jpg")</f>
        <v>https://pbs.twimg.com/profile_images/1341260816935493633/mVYAxWTI_normal.jpg</v>
      </c>
      <c r="G63" s="105"/>
      <c r="H63" s="69" t="s">
        <v>248</v>
      </c>
      <c r="I63" s="70"/>
      <c r="J63" s="106"/>
      <c r="K63" s="69" t="s">
        <v>1432</v>
      </c>
      <c r="L63" s="107">
        <v>1</v>
      </c>
      <c r="M63" s="74">
        <v>5498.02490234375</v>
      </c>
      <c r="N63" s="74">
        <v>5835.5791015625</v>
      </c>
      <c r="O63" s="75"/>
      <c r="P63" s="76"/>
      <c r="Q63" s="76"/>
      <c r="R63" s="88"/>
      <c r="S63" s="49">
        <v>0</v>
      </c>
      <c r="T63" s="49">
        <v>2</v>
      </c>
      <c r="U63" s="50">
        <v>0</v>
      </c>
      <c r="V63" s="50">
        <v>2.2727000000000001E-2</v>
      </c>
      <c r="W63" s="50">
        <v>3.9999999999999998E-6</v>
      </c>
      <c r="X63" s="50">
        <v>0.547435</v>
      </c>
      <c r="Y63" s="50">
        <v>1</v>
      </c>
      <c r="Z63" s="50">
        <v>0</v>
      </c>
      <c r="AA63" s="71">
        <v>63</v>
      </c>
      <c r="AB63"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63" s="72"/>
      <c r="AD63" s="79" t="s">
        <v>1009</v>
      </c>
      <c r="AE63" s="85" t="s">
        <v>1128</v>
      </c>
      <c r="AF63" s="79">
        <v>1166</v>
      </c>
      <c r="AG63" s="79">
        <v>1430</v>
      </c>
      <c r="AH63" s="79">
        <v>58130</v>
      </c>
      <c r="AI63" s="79">
        <v>37108</v>
      </c>
      <c r="AJ63" s="79"/>
      <c r="AK63" s="79" t="s">
        <v>1245</v>
      </c>
      <c r="AL63" s="79"/>
      <c r="AM63" s="79"/>
      <c r="AN63" s="79"/>
      <c r="AO63" s="81">
        <v>41387.180972222224</v>
      </c>
      <c r="AP63" s="83" t="str">
        <f>HYPERLINK("https://pbs.twimg.com/profile_banners/1373784296/1625120950")</f>
        <v>https://pbs.twimg.com/profile_banners/1373784296/1625120950</v>
      </c>
      <c r="AQ63" s="79" t="b">
        <v>1</v>
      </c>
      <c r="AR63" s="79" t="b">
        <v>0</v>
      </c>
      <c r="AS63" s="79" t="b">
        <v>1</v>
      </c>
      <c r="AT63" s="79"/>
      <c r="AU63" s="79">
        <v>2</v>
      </c>
      <c r="AV63" s="83" t="str">
        <f>HYPERLINK("https://abs.twimg.com/images/themes/theme1/bg.png")</f>
        <v>https://abs.twimg.com/images/themes/theme1/bg.png</v>
      </c>
      <c r="AW63" s="79" t="b">
        <v>0</v>
      </c>
      <c r="AX63" s="79" t="s">
        <v>1376</v>
      </c>
      <c r="AY63" s="83" t="str">
        <f>HYPERLINK("https://twitter.com/blasiangoddessx")</f>
        <v>https://twitter.com/blasiangoddessx</v>
      </c>
      <c r="AZ63" s="79" t="s">
        <v>66</v>
      </c>
      <c r="BA63" s="78" t="str">
        <f>REPLACE(INDEX(GroupVertices[Group], MATCH(Vertices[[#This Row],[Vertex]],GroupVertices[Vertex],0)),1,1,"")</f>
        <v>2</v>
      </c>
      <c r="BB63" s="49"/>
      <c r="BC63" s="49"/>
      <c r="BD63" s="49"/>
      <c r="BE63" s="49"/>
      <c r="BF63" s="49" t="s">
        <v>461</v>
      </c>
      <c r="BG63" s="49" t="s">
        <v>461</v>
      </c>
      <c r="BH63" s="137" t="s">
        <v>2008</v>
      </c>
      <c r="BI63" s="137" t="s">
        <v>2008</v>
      </c>
      <c r="BJ63" s="137" t="s">
        <v>2062</v>
      </c>
      <c r="BK63" s="137" t="s">
        <v>2062</v>
      </c>
      <c r="BL63" s="2"/>
      <c r="BM63" s="3"/>
      <c r="BN63" s="3"/>
      <c r="BO63" s="3"/>
      <c r="BP63" s="3"/>
    </row>
    <row r="64" spans="1:68" x14ac:dyDescent="0.25">
      <c r="A64" s="64" t="s">
        <v>225</v>
      </c>
      <c r="B64" s="65"/>
      <c r="C64" s="65"/>
      <c r="D64" s="66">
        <v>20</v>
      </c>
      <c r="E64" s="104"/>
      <c r="F64" s="96" t="str">
        <f>HYPERLINK("https://pbs.twimg.com/profile_images/1357765285000937472/REGgrp6G_normal.jpg")</f>
        <v>https://pbs.twimg.com/profile_images/1357765285000937472/REGgrp6G_normal.jpg</v>
      </c>
      <c r="G64" s="105"/>
      <c r="H64" s="69" t="s">
        <v>225</v>
      </c>
      <c r="I64" s="70"/>
      <c r="J64" s="106"/>
      <c r="K64" s="69" t="s">
        <v>1389</v>
      </c>
      <c r="L64" s="107">
        <v>1</v>
      </c>
      <c r="M64" s="74">
        <v>9130.1923828125</v>
      </c>
      <c r="N64" s="74">
        <v>4527.32666015625</v>
      </c>
      <c r="O64" s="75"/>
      <c r="P64" s="76"/>
      <c r="Q64" s="76"/>
      <c r="R64" s="88"/>
      <c r="S64" s="49">
        <v>0</v>
      </c>
      <c r="T64" s="49">
        <v>2</v>
      </c>
      <c r="U64" s="50">
        <v>0</v>
      </c>
      <c r="V64" s="50">
        <v>0.25</v>
      </c>
      <c r="W64" s="50">
        <v>0</v>
      </c>
      <c r="X64" s="50">
        <v>0.81914600000000004</v>
      </c>
      <c r="Y64" s="50">
        <v>0.5</v>
      </c>
      <c r="Z64" s="50">
        <v>0</v>
      </c>
      <c r="AA64" s="71">
        <v>64</v>
      </c>
      <c r="AB64"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64" s="72"/>
      <c r="AD64" s="79" t="s">
        <v>966</v>
      </c>
      <c r="AE64" s="85" t="s">
        <v>1087</v>
      </c>
      <c r="AF64" s="79">
        <v>520</v>
      </c>
      <c r="AG64" s="79">
        <v>1408</v>
      </c>
      <c r="AH64" s="79">
        <v>3266</v>
      </c>
      <c r="AI64" s="79">
        <v>8079</v>
      </c>
      <c r="AJ64" s="79"/>
      <c r="AK64" s="79" t="s">
        <v>1203</v>
      </c>
      <c r="AL64" s="79" t="s">
        <v>1314</v>
      </c>
      <c r="AM64" s="83" t="str">
        <f>HYPERLINK("https://t.co/SdZ7C2kVCt")</f>
        <v>https://t.co/SdZ7C2kVCt</v>
      </c>
      <c r="AN64" s="79"/>
      <c r="AO64" s="81">
        <v>43784.954953703702</v>
      </c>
      <c r="AP64" s="83" t="str">
        <f>HYPERLINK("https://pbs.twimg.com/profile_banners/1195475257110327296/1625114396")</f>
        <v>https://pbs.twimg.com/profile_banners/1195475257110327296/1625114396</v>
      </c>
      <c r="AQ64" s="79" t="b">
        <v>1</v>
      </c>
      <c r="AR64" s="79" t="b">
        <v>0</v>
      </c>
      <c r="AS64" s="79" t="b">
        <v>1</v>
      </c>
      <c r="AT64" s="79"/>
      <c r="AU64" s="79">
        <v>4</v>
      </c>
      <c r="AV64" s="79"/>
      <c r="AW64" s="79" t="b">
        <v>0</v>
      </c>
      <c r="AX64" s="79" t="s">
        <v>1376</v>
      </c>
      <c r="AY64" s="83" t="str">
        <f>HYPERLINK("https://twitter.com/grodriguezlemus")</f>
        <v>https://twitter.com/grodriguezlemus</v>
      </c>
      <c r="AZ64" s="79" t="s">
        <v>66</v>
      </c>
      <c r="BA64" s="78" t="str">
        <f>REPLACE(INDEX(GroupVertices[Group], MATCH(Vertices[[#This Row],[Vertex]],GroupVertices[Vertex],0)),1,1,"")</f>
        <v>9</v>
      </c>
      <c r="BB64" s="49"/>
      <c r="BC64" s="49"/>
      <c r="BD64" s="49"/>
      <c r="BE64" s="49"/>
      <c r="BF64" s="49" t="s">
        <v>465</v>
      </c>
      <c r="BG64" s="49" t="s">
        <v>465</v>
      </c>
      <c r="BH64" s="137" t="s">
        <v>1793</v>
      </c>
      <c r="BI64" s="137" t="s">
        <v>1793</v>
      </c>
      <c r="BJ64" s="137" t="s">
        <v>1889</v>
      </c>
      <c r="BK64" s="137" t="s">
        <v>1889</v>
      </c>
      <c r="BL64" s="2"/>
      <c r="BM64" s="3"/>
      <c r="BN64" s="3"/>
      <c r="BO64" s="3"/>
      <c r="BP64" s="3"/>
    </row>
    <row r="65" spans="1:68" x14ac:dyDescent="0.25">
      <c r="A65" s="64" t="s">
        <v>290</v>
      </c>
      <c r="B65" s="65"/>
      <c r="C65" s="65"/>
      <c r="D65" s="66">
        <v>20</v>
      </c>
      <c r="E65" s="104"/>
      <c r="F65" s="96" t="str">
        <f>HYPERLINK("https://pbs.twimg.com/profile_images/378800000277028133/ea9e6294823e3f2c07beca20a46704ec_normal.jpeg")</f>
        <v>https://pbs.twimg.com/profile_images/378800000277028133/ea9e6294823e3f2c07beca20a46704ec_normal.jpeg</v>
      </c>
      <c r="G65" s="105"/>
      <c r="H65" s="69" t="s">
        <v>290</v>
      </c>
      <c r="I65" s="70"/>
      <c r="J65" s="106"/>
      <c r="K65" s="69" t="s">
        <v>1483</v>
      </c>
      <c r="L65" s="107">
        <v>1</v>
      </c>
      <c r="M65" s="74">
        <v>1621.50390625</v>
      </c>
      <c r="N65" s="74">
        <v>9274.8681640625</v>
      </c>
      <c r="O65" s="75"/>
      <c r="P65" s="76"/>
      <c r="Q65" s="76"/>
      <c r="R65" s="88"/>
      <c r="S65" s="49">
        <v>0</v>
      </c>
      <c r="T65" s="49">
        <v>2</v>
      </c>
      <c r="U65" s="50">
        <v>0</v>
      </c>
      <c r="V65" s="50">
        <v>7.2459999999999998E-3</v>
      </c>
      <c r="W65" s="50">
        <v>2.0239E-2</v>
      </c>
      <c r="X65" s="50">
        <v>0.56255900000000003</v>
      </c>
      <c r="Y65" s="50">
        <v>1</v>
      </c>
      <c r="Z65" s="50">
        <v>0</v>
      </c>
      <c r="AA65" s="71">
        <v>65</v>
      </c>
      <c r="AB65"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65" s="72"/>
      <c r="AD65" s="79" t="s">
        <v>1060</v>
      </c>
      <c r="AE65" s="85" t="s">
        <v>1177</v>
      </c>
      <c r="AF65" s="79">
        <v>2020</v>
      </c>
      <c r="AG65" s="79">
        <v>1388</v>
      </c>
      <c r="AH65" s="79">
        <v>165043</v>
      </c>
      <c r="AI65" s="79">
        <v>104963</v>
      </c>
      <c r="AJ65" s="79"/>
      <c r="AK65" s="79" t="s">
        <v>1293</v>
      </c>
      <c r="AL65" s="79" t="s">
        <v>1368</v>
      </c>
      <c r="AM65" s="83" t="str">
        <f>HYPERLINK("https://t.co/7IDoW8iFLm")</f>
        <v>https://t.co/7IDoW8iFLm</v>
      </c>
      <c r="AN65" s="79"/>
      <c r="AO65" s="81">
        <v>40058.369537037041</v>
      </c>
      <c r="AP65" s="83" t="str">
        <f>HYPERLINK("https://pbs.twimg.com/profile_banners/70918926/1374724275")</f>
        <v>https://pbs.twimg.com/profile_banners/70918926/1374724275</v>
      </c>
      <c r="AQ65" s="79" t="b">
        <v>0</v>
      </c>
      <c r="AR65" s="79" t="b">
        <v>0</v>
      </c>
      <c r="AS65" s="79" t="b">
        <v>1</v>
      </c>
      <c r="AT65" s="79"/>
      <c r="AU65" s="79">
        <v>37</v>
      </c>
      <c r="AV65" s="83" t="str">
        <f>HYPERLINK("https://abs.twimg.com/images/themes/theme10/bg.gif")</f>
        <v>https://abs.twimg.com/images/themes/theme10/bg.gif</v>
      </c>
      <c r="AW65" s="79" t="b">
        <v>0</v>
      </c>
      <c r="AX65" s="79" t="s">
        <v>1376</v>
      </c>
      <c r="AY65" s="83" t="str">
        <f>HYPERLINK("https://twitter.com/444sai")</f>
        <v>https://twitter.com/444sai</v>
      </c>
      <c r="AZ65" s="79" t="s">
        <v>66</v>
      </c>
      <c r="BA65" s="78" t="str">
        <f>REPLACE(INDEX(GroupVertices[Group], MATCH(Vertices[[#This Row],[Vertex]],GroupVertices[Vertex],0)),1,1,"")</f>
        <v>1</v>
      </c>
      <c r="BB65" s="49"/>
      <c r="BC65" s="49"/>
      <c r="BD65" s="49"/>
      <c r="BE65" s="49"/>
      <c r="BF65" s="49" t="s">
        <v>461</v>
      </c>
      <c r="BG65" s="49" t="s">
        <v>461</v>
      </c>
      <c r="BH65" s="137" t="s">
        <v>2000</v>
      </c>
      <c r="BI65" s="137" t="s">
        <v>2000</v>
      </c>
      <c r="BJ65" s="137" t="s">
        <v>2055</v>
      </c>
      <c r="BK65" s="137" t="s">
        <v>2055</v>
      </c>
      <c r="BL65" s="2"/>
      <c r="BM65" s="3"/>
      <c r="BN65" s="3"/>
      <c r="BO65" s="3"/>
      <c r="BP65" s="3"/>
    </row>
    <row r="66" spans="1:68" x14ac:dyDescent="0.25">
      <c r="A66" s="64" t="s">
        <v>243</v>
      </c>
      <c r="B66" s="65"/>
      <c r="C66" s="65"/>
      <c r="D66" s="66">
        <v>20</v>
      </c>
      <c r="E66" s="104"/>
      <c r="F66" s="96" t="str">
        <f>HYPERLINK("https://pbs.twimg.com/profile_images/1397201966644830209/6IwLm778_normal.jpg")</f>
        <v>https://pbs.twimg.com/profile_images/1397201966644830209/6IwLm778_normal.jpg</v>
      </c>
      <c r="G66" s="105"/>
      <c r="H66" s="69" t="s">
        <v>243</v>
      </c>
      <c r="I66" s="70"/>
      <c r="J66" s="106"/>
      <c r="K66" s="69" t="s">
        <v>1418</v>
      </c>
      <c r="L66" s="107">
        <v>1</v>
      </c>
      <c r="M66" s="74">
        <v>4936.521484375</v>
      </c>
      <c r="N66" s="74">
        <v>3761.21142578125</v>
      </c>
      <c r="O66" s="75"/>
      <c r="P66" s="76"/>
      <c r="Q66" s="76"/>
      <c r="R66" s="88"/>
      <c r="S66" s="49">
        <v>0</v>
      </c>
      <c r="T66" s="49">
        <v>3</v>
      </c>
      <c r="U66" s="50">
        <v>0</v>
      </c>
      <c r="V66" s="50">
        <v>2.3255999999999999E-2</v>
      </c>
      <c r="W66" s="50">
        <v>5.0000000000000004E-6</v>
      </c>
      <c r="X66" s="50">
        <v>0.74452600000000002</v>
      </c>
      <c r="Y66" s="50">
        <v>0.66666666666666663</v>
      </c>
      <c r="Z66" s="50">
        <v>0</v>
      </c>
      <c r="AA66" s="71">
        <v>66</v>
      </c>
      <c r="AB66"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66" s="72"/>
      <c r="AD66" s="79" t="s">
        <v>995</v>
      </c>
      <c r="AE66" s="85" t="s">
        <v>1114</v>
      </c>
      <c r="AF66" s="79">
        <v>527</v>
      </c>
      <c r="AG66" s="79">
        <v>1361</v>
      </c>
      <c r="AH66" s="79">
        <v>5044</v>
      </c>
      <c r="AI66" s="79">
        <v>5874</v>
      </c>
      <c r="AJ66" s="79"/>
      <c r="AK66" s="79" t="s">
        <v>1232</v>
      </c>
      <c r="AL66" s="79" t="s">
        <v>1332</v>
      </c>
      <c r="AM66" s="79"/>
      <c r="AN66" s="79"/>
      <c r="AO66" s="81">
        <v>42525.58085648148</v>
      </c>
      <c r="AP66" s="83" t="str">
        <f>HYPERLINK("https://pbs.twimg.com/profile_banners/739093454484086784/1525645902")</f>
        <v>https://pbs.twimg.com/profile_banners/739093454484086784/1525645902</v>
      </c>
      <c r="AQ66" s="79" t="b">
        <v>1</v>
      </c>
      <c r="AR66" s="79" t="b">
        <v>0</v>
      </c>
      <c r="AS66" s="79" t="b">
        <v>1</v>
      </c>
      <c r="AT66" s="79"/>
      <c r="AU66" s="79">
        <v>2</v>
      </c>
      <c r="AV66" s="79"/>
      <c r="AW66" s="79" t="b">
        <v>0</v>
      </c>
      <c r="AX66" s="79" t="s">
        <v>1376</v>
      </c>
      <c r="AY66" s="83" t="str">
        <f>HYPERLINK("https://twitter.com/miajanai_")</f>
        <v>https://twitter.com/miajanai_</v>
      </c>
      <c r="AZ66" s="79" t="s">
        <v>66</v>
      </c>
      <c r="BA66" s="78" t="str">
        <f>REPLACE(INDEX(GroupVertices[Group], MATCH(Vertices[[#This Row],[Vertex]],GroupVertices[Vertex],0)),1,1,"")</f>
        <v>2</v>
      </c>
      <c r="BB66" s="49" t="s">
        <v>1582</v>
      </c>
      <c r="BC66" s="49" t="s">
        <v>1582</v>
      </c>
      <c r="BD66" s="49" t="s">
        <v>449</v>
      </c>
      <c r="BE66" s="49" t="s">
        <v>449</v>
      </c>
      <c r="BF66" s="49" t="s">
        <v>461</v>
      </c>
      <c r="BG66" s="49" t="s">
        <v>461</v>
      </c>
      <c r="BH66" s="137" t="s">
        <v>1997</v>
      </c>
      <c r="BI66" s="137" t="s">
        <v>1997</v>
      </c>
      <c r="BJ66" s="137" t="s">
        <v>2052</v>
      </c>
      <c r="BK66" s="137" t="s">
        <v>2052</v>
      </c>
      <c r="BL66" s="2"/>
      <c r="BM66" s="3"/>
      <c r="BN66" s="3"/>
      <c r="BO66" s="3"/>
      <c r="BP66" s="3"/>
    </row>
    <row r="67" spans="1:68" x14ac:dyDescent="0.25">
      <c r="A67" s="64" t="s">
        <v>312</v>
      </c>
      <c r="B67" s="65"/>
      <c r="C67" s="65"/>
      <c r="D67" s="66">
        <v>20</v>
      </c>
      <c r="E67" s="104"/>
      <c r="F67" s="96" t="str">
        <f>HYPERLINK("https://pbs.twimg.com/profile_images/1193966658563510273/LZHn53mY_normal.jpg")</f>
        <v>https://pbs.twimg.com/profile_images/1193966658563510273/LZHn53mY_normal.jpg</v>
      </c>
      <c r="G67" s="105"/>
      <c r="H67" s="69" t="s">
        <v>312</v>
      </c>
      <c r="I67" s="70"/>
      <c r="J67" s="106"/>
      <c r="K67" s="69" t="s">
        <v>1425</v>
      </c>
      <c r="L67" s="107">
        <v>1</v>
      </c>
      <c r="M67" s="74">
        <v>8819.154296875</v>
      </c>
      <c r="N67" s="74">
        <v>9417.7158203125</v>
      </c>
      <c r="O67" s="75"/>
      <c r="P67" s="76"/>
      <c r="Q67" s="76"/>
      <c r="R67" s="88"/>
      <c r="S67" s="49">
        <v>1</v>
      </c>
      <c r="T67" s="49">
        <v>0</v>
      </c>
      <c r="U67" s="50">
        <v>0</v>
      </c>
      <c r="V67" s="50">
        <v>5.587E-3</v>
      </c>
      <c r="W67" s="50">
        <v>2.3249999999999998E-3</v>
      </c>
      <c r="X67" s="50">
        <v>0.49674000000000001</v>
      </c>
      <c r="Y67" s="50">
        <v>0</v>
      </c>
      <c r="Z67" s="50">
        <v>0</v>
      </c>
      <c r="AA67" s="71">
        <v>67</v>
      </c>
      <c r="AB67"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67" s="72"/>
      <c r="AD67" s="79" t="s">
        <v>1002</v>
      </c>
      <c r="AE67" s="85" t="s">
        <v>1121</v>
      </c>
      <c r="AF67" s="79">
        <v>2008</v>
      </c>
      <c r="AG67" s="79">
        <v>1045</v>
      </c>
      <c r="AH67" s="79">
        <v>4691</v>
      </c>
      <c r="AI67" s="79">
        <v>3369</v>
      </c>
      <c r="AJ67" s="79"/>
      <c r="AK67" s="79" t="s">
        <v>1239</v>
      </c>
      <c r="AL67" s="79" t="s">
        <v>1335</v>
      </c>
      <c r="AM67" s="83" t="str">
        <f>HYPERLINK("https://t.co/wwBWAn58OE")</f>
        <v>https://t.co/wwBWAn58OE</v>
      </c>
      <c r="AN67" s="79"/>
      <c r="AO67" s="81">
        <v>40051.816689814812</v>
      </c>
      <c r="AP67" s="83" t="str">
        <f>HYPERLINK("https://pbs.twimg.com/profile_banners/69072776/1415223106")</f>
        <v>https://pbs.twimg.com/profile_banners/69072776/1415223106</v>
      </c>
      <c r="AQ67" s="79" t="b">
        <v>0</v>
      </c>
      <c r="AR67" s="79" t="b">
        <v>0</v>
      </c>
      <c r="AS67" s="79" t="b">
        <v>1</v>
      </c>
      <c r="AT67" s="79"/>
      <c r="AU67" s="79">
        <v>55</v>
      </c>
      <c r="AV67" s="83" t="str">
        <f>HYPERLINK("https://abs.twimg.com/images/themes/theme1/bg.png")</f>
        <v>https://abs.twimg.com/images/themes/theme1/bg.png</v>
      </c>
      <c r="AW67" s="79" t="b">
        <v>0</v>
      </c>
      <c r="AX67" s="79" t="s">
        <v>1376</v>
      </c>
      <c r="AY67" s="83" t="str">
        <f>HYPERLINK("https://twitter.com/ccas_neiu")</f>
        <v>https://twitter.com/ccas_neiu</v>
      </c>
      <c r="AZ67" s="79" t="s">
        <v>65</v>
      </c>
      <c r="BA67" s="78" t="str">
        <f>REPLACE(INDEX(GroupVertices[Group], MATCH(Vertices[[#This Row],[Vertex]],GroupVertices[Vertex],0)),1,1,"")</f>
        <v>4</v>
      </c>
      <c r="BB67" s="49"/>
      <c r="BC67" s="49"/>
      <c r="BD67" s="49"/>
      <c r="BE67" s="49"/>
      <c r="BF67" s="49"/>
      <c r="BG67" s="49"/>
      <c r="BH67" s="49"/>
      <c r="BI67" s="49"/>
      <c r="BJ67" s="49"/>
      <c r="BK67" s="49"/>
      <c r="BL67" s="2"/>
      <c r="BM67" s="3"/>
      <c r="BN67" s="3"/>
      <c r="BO67" s="3"/>
      <c r="BP67" s="3"/>
    </row>
    <row r="68" spans="1:68" x14ac:dyDescent="0.25">
      <c r="A68" s="64" t="s">
        <v>249</v>
      </c>
      <c r="B68" s="65"/>
      <c r="C68" s="65"/>
      <c r="D68" s="66">
        <v>20</v>
      </c>
      <c r="E68" s="104"/>
      <c r="F68" s="96" t="str">
        <f>HYPERLINK("https://pbs.twimg.com/profile_images/1321971403323834369/AYDnYoLd_normal.jpg")</f>
        <v>https://pbs.twimg.com/profile_images/1321971403323834369/AYDnYoLd_normal.jpg</v>
      </c>
      <c r="G68" s="105"/>
      <c r="H68" s="69" t="s">
        <v>249</v>
      </c>
      <c r="I68" s="70"/>
      <c r="J68" s="106"/>
      <c r="K68" s="69" t="s">
        <v>1433</v>
      </c>
      <c r="L68" s="107">
        <v>1</v>
      </c>
      <c r="M68" s="74">
        <v>2812.37158203125</v>
      </c>
      <c r="N68" s="74">
        <v>7497.36181640625</v>
      </c>
      <c r="O68" s="75"/>
      <c r="P68" s="76"/>
      <c r="Q68" s="76"/>
      <c r="R68" s="88"/>
      <c r="S68" s="49">
        <v>0</v>
      </c>
      <c r="T68" s="49">
        <v>2</v>
      </c>
      <c r="U68" s="50">
        <v>0</v>
      </c>
      <c r="V68" s="50">
        <v>2.2727000000000001E-2</v>
      </c>
      <c r="W68" s="50">
        <v>3.9999999999999998E-6</v>
      </c>
      <c r="X68" s="50">
        <v>0.547435</v>
      </c>
      <c r="Y68" s="50">
        <v>1</v>
      </c>
      <c r="Z68" s="50">
        <v>0</v>
      </c>
      <c r="AA68" s="71">
        <v>68</v>
      </c>
      <c r="AB68"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68" s="72"/>
      <c r="AD68" s="79" t="s">
        <v>1010</v>
      </c>
      <c r="AE68" s="85" t="s">
        <v>1129</v>
      </c>
      <c r="AF68" s="79">
        <v>960</v>
      </c>
      <c r="AG68" s="79">
        <v>1032</v>
      </c>
      <c r="AH68" s="79">
        <v>24415</v>
      </c>
      <c r="AI68" s="79">
        <v>112575</v>
      </c>
      <c r="AJ68" s="79"/>
      <c r="AK68" s="79" t="s">
        <v>1246</v>
      </c>
      <c r="AL68" s="79" t="s">
        <v>1338</v>
      </c>
      <c r="AM68" s="79"/>
      <c r="AN68" s="79"/>
      <c r="AO68" s="81">
        <v>40361.052569444444</v>
      </c>
      <c r="AP68" s="83" t="str">
        <f>HYPERLINK("https://pbs.twimg.com/profile_banners/161878932/1480272422")</f>
        <v>https://pbs.twimg.com/profile_banners/161878932/1480272422</v>
      </c>
      <c r="AQ68" s="79" t="b">
        <v>0</v>
      </c>
      <c r="AR68" s="79" t="b">
        <v>0</v>
      </c>
      <c r="AS68" s="79" t="b">
        <v>1</v>
      </c>
      <c r="AT68" s="79"/>
      <c r="AU68" s="79">
        <v>13</v>
      </c>
      <c r="AV68" s="83" t="str">
        <f>HYPERLINK("https://abs.twimg.com/images/themes/theme1/bg.png")</f>
        <v>https://abs.twimg.com/images/themes/theme1/bg.png</v>
      </c>
      <c r="AW68" s="79" t="b">
        <v>0</v>
      </c>
      <c r="AX68" s="79" t="s">
        <v>1376</v>
      </c>
      <c r="AY68" s="83" t="str">
        <f>HYPERLINK("https://twitter.com/jbookthacrook")</f>
        <v>https://twitter.com/jbookthacrook</v>
      </c>
      <c r="AZ68" s="79" t="s">
        <v>66</v>
      </c>
      <c r="BA68" s="78" t="str">
        <f>REPLACE(INDEX(GroupVertices[Group], MATCH(Vertices[[#This Row],[Vertex]],GroupVertices[Vertex],0)),1,1,"")</f>
        <v>2</v>
      </c>
      <c r="BB68" s="49"/>
      <c r="BC68" s="49"/>
      <c r="BD68" s="49"/>
      <c r="BE68" s="49"/>
      <c r="BF68" s="49" t="s">
        <v>461</v>
      </c>
      <c r="BG68" s="49" t="s">
        <v>461</v>
      </c>
      <c r="BH68" s="137" t="s">
        <v>2008</v>
      </c>
      <c r="BI68" s="137" t="s">
        <v>2008</v>
      </c>
      <c r="BJ68" s="137" t="s">
        <v>2062</v>
      </c>
      <c r="BK68" s="137" t="s">
        <v>2062</v>
      </c>
      <c r="BL68" s="2"/>
      <c r="BM68" s="3"/>
      <c r="BN68" s="3"/>
      <c r="BO68" s="3"/>
      <c r="BP68" s="3"/>
    </row>
    <row r="69" spans="1:68" x14ac:dyDescent="0.25">
      <c r="A69" s="64" t="s">
        <v>335</v>
      </c>
      <c r="B69" s="65"/>
      <c r="C69" s="65"/>
      <c r="D69" s="66">
        <v>20</v>
      </c>
      <c r="E69" s="104"/>
      <c r="F69" s="96" t="str">
        <f>HYPERLINK("https://pbs.twimg.com/profile_images/438747070946496512/FKCuCvWr_normal.jpeg")</f>
        <v>https://pbs.twimg.com/profile_images/438747070946496512/FKCuCvWr_normal.jpeg</v>
      </c>
      <c r="G69" s="105"/>
      <c r="H69" s="69" t="s">
        <v>335</v>
      </c>
      <c r="I69" s="70"/>
      <c r="J69" s="106"/>
      <c r="K69" s="69" t="s">
        <v>1496</v>
      </c>
      <c r="L69" s="107">
        <v>1</v>
      </c>
      <c r="M69" s="74">
        <v>2531.209716796875</v>
      </c>
      <c r="N69" s="74">
        <v>3868.267822265625</v>
      </c>
      <c r="O69" s="75"/>
      <c r="P69" s="76"/>
      <c r="Q69" s="76"/>
      <c r="R69" s="88"/>
      <c r="S69" s="49">
        <v>2</v>
      </c>
      <c r="T69" s="49">
        <v>0</v>
      </c>
      <c r="U69" s="50">
        <v>0</v>
      </c>
      <c r="V69" s="50">
        <v>7.2989999999999999E-3</v>
      </c>
      <c r="W69" s="50">
        <v>1.7023E-2</v>
      </c>
      <c r="X69" s="50">
        <v>0.58780699999999997</v>
      </c>
      <c r="Y69" s="50">
        <v>1</v>
      </c>
      <c r="Z69" s="50">
        <v>0</v>
      </c>
      <c r="AA69" s="71">
        <v>69</v>
      </c>
      <c r="AB69"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69" s="72"/>
      <c r="AD69" s="79" t="s">
        <v>1073</v>
      </c>
      <c r="AE69" s="85" t="s">
        <v>1189</v>
      </c>
      <c r="AF69" s="79">
        <v>0</v>
      </c>
      <c r="AG69" s="79">
        <v>892</v>
      </c>
      <c r="AH69" s="79">
        <v>0</v>
      </c>
      <c r="AI69" s="79">
        <v>0</v>
      </c>
      <c r="AJ69" s="79"/>
      <c r="AK69" s="79"/>
      <c r="AL69" s="79"/>
      <c r="AM69" s="79"/>
      <c r="AN69" s="79"/>
      <c r="AO69" s="81">
        <v>41683.170891203707</v>
      </c>
      <c r="AP69" s="79"/>
      <c r="AQ69" s="79" t="b">
        <v>1</v>
      </c>
      <c r="AR69" s="79" t="b">
        <v>0</v>
      </c>
      <c r="AS69" s="79" t="b">
        <v>0</v>
      </c>
      <c r="AT69" s="79"/>
      <c r="AU69" s="79">
        <v>8</v>
      </c>
      <c r="AV69" s="83" t="str">
        <f>HYPERLINK("https://abs.twimg.com/images/themes/theme1/bg.png")</f>
        <v>https://abs.twimg.com/images/themes/theme1/bg.png</v>
      </c>
      <c r="AW69" s="79" t="b">
        <v>0</v>
      </c>
      <c r="AX69" s="79" t="s">
        <v>1376</v>
      </c>
      <c r="AY69" s="83" t="str">
        <f>HYPERLINK("https://twitter.com/uscongress")</f>
        <v>https://twitter.com/uscongress</v>
      </c>
      <c r="AZ69" s="79" t="s">
        <v>65</v>
      </c>
      <c r="BA69" s="78" t="str">
        <f>REPLACE(INDEX(GroupVertices[Group], MATCH(Vertices[[#This Row],[Vertex]],GroupVertices[Vertex],0)),1,1,"")</f>
        <v>1</v>
      </c>
      <c r="BB69" s="49"/>
      <c r="BC69" s="49"/>
      <c r="BD69" s="49"/>
      <c r="BE69" s="49"/>
      <c r="BF69" s="49"/>
      <c r="BG69" s="49"/>
      <c r="BH69" s="49"/>
      <c r="BI69" s="49"/>
      <c r="BJ69" s="49"/>
      <c r="BK69" s="49"/>
      <c r="BL69" s="2"/>
      <c r="BM69" s="3"/>
      <c r="BN69" s="3"/>
      <c r="BO69" s="3"/>
      <c r="BP69" s="3"/>
    </row>
    <row r="70" spans="1:68" x14ac:dyDescent="0.25">
      <c r="A70" s="64" t="s">
        <v>253</v>
      </c>
      <c r="B70" s="65"/>
      <c r="C70" s="65"/>
      <c r="D70" s="66">
        <v>20</v>
      </c>
      <c r="E70" s="104"/>
      <c r="F70" s="96" t="str">
        <f>HYPERLINK("https://pbs.twimg.com/profile_images/1382078946678689792/3VTqd0Sq_normal.jpg")</f>
        <v>https://pbs.twimg.com/profile_images/1382078946678689792/3VTqd0Sq_normal.jpg</v>
      </c>
      <c r="G70" s="105"/>
      <c r="H70" s="69" t="s">
        <v>253</v>
      </c>
      <c r="I70" s="70"/>
      <c r="J70" s="106"/>
      <c r="K70" s="69" t="s">
        <v>1437</v>
      </c>
      <c r="L70" s="107">
        <v>1</v>
      </c>
      <c r="M70" s="74">
        <v>3015.7890625</v>
      </c>
      <c r="N70" s="74">
        <v>4071.1103515625</v>
      </c>
      <c r="O70" s="75"/>
      <c r="P70" s="76"/>
      <c r="Q70" s="76"/>
      <c r="R70" s="88"/>
      <c r="S70" s="49">
        <v>0</v>
      </c>
      <c r="T70" s="49">
        <v>2</v>
      </c>
      <c r="U70" s="50">
        <v>0</v>
      </c>
      <c r="V70" s="50">
        <v>2.2727000000000001E-2</v>
      </c>
      <c r="W70" s="50">
        <v>3.9999999999999998E-6</v>
      </c>
      <c r="X70" s="50">
        <v>0.547435</v>
      </c>
      <c r="Y70" s="50">
        <v>1</v>
      </c>
      <c r="Z70" s="50">
        <v>0</v>
      </c>
      <c r="AA70" s="71">
        <v>70</v>
      </c>
      <c r="AB70"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70" s="72"/>
      <c r="AD70" s="79" t="s">
        <v>1014</v>
      </c>
      <c r="AE70" s="85" t="s">
        <v>1133</v>
      </c>
      <c r="AF70" s="79">
        <v>1113</v>
      </c>
      <c r="AG70" s="79">
        <v>850</v>
      </c>
      <c r="AH70" s="79">
        <v>1945</v>
      </c>
      <c r="AI70" s="79">
        <v>3467</v>
      </c>
      <c r="AJ70" s="79"/>
      <c r="AK70" s="79" t="s">
        <v>1250</v>
      </c>
      <c r="AL70" s="79" t="s">
        <v>1342</v>
      </c>
      <c r="AM70" s="83" t="str">
        <f>HYPERLINK("https://t.co/5He9piac8H")</f>
        <v>https://t.co/5He9piac8H</v>
      </c>
      <c r="AN70" s="79"/>
      <c r="AO70" s="81">
        <v>39964.908472222225</v>
      </c>
      <c r="AP70" s="83" t="str">
        <f>HYPERLINK("https://pbs.twimg.com/profile_banners/43762748/1623878901")</f>
        <v>https://pbs.twimg.com/profile_banners/43762748/1623878901</v>
      </c>
      <c r="AQ70" s="79" t="b">
        <v>0</v>
      </c>
      <c r="AR70" s="79" t="b">
        <v>0</v>
      </c>
      <c r="AS70" s="79" t="b">
        <v>0</v>
      </c>
      <c r="AT70" s="79"/>
      <c r="AU70" s="79">
        <v>4</v>
      </c>
      <c r="AV70" s="83" t="str">
        <f>HYPERLINK("https://abs.twimg.com/images/themes/theme6/bg.gif")</f>
        <v>https://abs.twimg.com/images/themes/theme6/bg.gif</v>
      </c>
      <c r="AW70" s="79" t="b">
        <v>0</v>
      </c>
      <c r="AX70" s="79" t="s">
        <v>1376</v>
      </c>
      <c r="AY70" s="83" t="str">
        <f>HYPERLINK("https://twitter.com/a_r_palmer")</f>
        <v>https://twitter.com/a_r_palmer</v>
      </c>
      <c r="AZ70" s="79" t="s">
        <v>66</v>
      </c>
      <c r="BA70" s="78" t="str">
        <f>REPLACE(INDEX(GroupVertices[Group], MATCH(Vertices[[#This Row],[Vertex]],GroupVertices[Vertex],0)),1,1,"")</f>
        <v>2</v>
      </c>
      <c r="BB70" s="49"/>
      <c r="BC70" s="49"/>
      <c r="BD70" s="49"/>
      <c r="BE70" s="49"/>
      <c r="BF70" s="49" t="s">
        <v>461</v>
      </c>
      <c r="BG70" s="49" t="s">
        <v>461</v>
      </c>
      <c r="BH70" s="137" t="s">
        <v>2008</v>
      </c>
      <c r="BI70" s="137" t="s">
        <v>2008</v>
      </c>
      <c r="BJ70" s="137" t="s">
        <v>2062</v>
      </c>
      <c r="BK70" s="137" t="s">
        <v>2062</v>
      </c>
      <c r="BL70" s="2"/>
      <c r="BM70" s="3"/>
      <c r="BN70" s="3"/>
      <c r="BO70" s="3"/>
      <c r="BP70" s="3"/>
    </row>
    <row r="71" spans="1:68" x14ac:dyDescent="0.25">
      <c r="A71" s="64" t="s">
        <v>307</v>
      </c>
      <c r="B71" s="65"/>
      <c r="C71" s="65"/>
      <c r="D71" s="66">
        <v>20</v>
      </c>
      <c r="E71" s="104"/>
      <c r="F71" s="96" t="str">
        <f>HYPERLINK("https://pbs.twimg.com/profile_images/650679768317169664/LdFDKte4_normal.jpg")</f>
        <v>https://pbs.twimg.com/profile_images/650679768317169664/LdFDKte4_normal.jpg</v>
      </c>
      <c r="G71" s="105"/>
      <c r="H71" s="69" t="s">
        <v>307</v>
      </c>
      <c r="I71" s="70"/>
      <c r="J71" s="106"/>
      <c r="K71" s="69" t="s">
        <v>1404</v>
      </c>
      <c r="L71" s="107">
        <v>1</v>
      </c>
      <c r="M71" s="74">
        <v>1361.7196044921875</v>
      </c>
      <c r="N71" s="74">
        <v>433.88262939453125</v>
      </c>
      <c r="O71" s="75"/>
      <c r="P71" s="76"/>
      <c r="Q71" s="76"/>
      <c r="R71" s="88"/>
      <c r="S71" s="49">
        <v>1</v>
      </c>
      <c r="T71" s="49">
        <v>0</v>
      </c>
      <c r="U71" s="50">
        <v>0</v>
      </c>
      <c r="V71" s="50">
        <v>5.2360000000000002E-3</v>
      </c>
      <c r="W71" s="50">
        <v>3.0309999999999998E-3</v>
      </c>
      <c r="X71" s="50">
        <v>0.38475999999999999</v>
      </c>
      <c r="Y71" s="50">
        <v>0</v>
      </c>
      <c r="Z71" s="50">
        <v>0</v>
      </c>
      <c r="AA71" s="71">
        <v>71</v>
      </c>
      <c r="AB71"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71" s="72"/>
      <c r="AD71" s="79" t="s">
        <v>981</v>
      </c>
      <c r="AE71" s="85" t="s">
        <v>1102</v>
      </c>
      <c r="AF71" s="79">
        <v>675</v>
      </c>
      <c r="AG71" s="79">
        <v>833</v>
      </c>
      <c r="AH71" s="79">
        <v>801</v>
      </c>
      <c r="AI71" s="79">
        <v>612</v>
      </c>
      <c r="AJ71" s="79"/>
      <c r="AK71" s="79" t="s">
        <v>1218</v>
      </c>
      <c r="AL71" s="79"/>
      <c r="AM71" s="83" t="str">
        <f>HYPERLINK("https://t.co/QxOHxYLpNS")</f>
        <v>https://t.co/QxOHxYLpNS</v>
      </c>
      <c r="AN71" s="79"/>
      <c r="AO71" s="81">
        <v>40820.101840277777</v>
      </c>
      <c r="AP71" s="83" t="str">
        <f>HYPERLINK("https://pbs.twimg.com/profile_banners/384652209/1546973287")</f>
        <v>https://pbs.twimg.com/profile_banners/384652209/1546973287</v>
      </c>
      <c r="AQ71" s="79" t="b">
        <v>0</v>
      </c>
      <c r="AR71" s="79" t="b">
        <v>0</v>
      </c>
      <c r="AS71" s="79" t="b">
        <v>1</v>
      </c>
      <c r="AT71" s="79"/>
      <c r="AU71" s="79">
        <v>9</v>
      </c>
      <c r="AV71" s="83" t="str">
        <f>HYPERLINK("https://abs.twimg.com/images/themes/theme15/bg.png")</f>
        <v>https://abs.twimg.com/images/themes/theme15/bg.png</v>
      </c>
      <c r="AW71" s="79" t="b">
        <v>0</v>
      </c>
      <c r="AX71" s="79" t="s">
        <v>1376</v>
      </c>
      <c r="AY71" s="83" t="str">
        <f>HYPERLINK("https://twitter.com/edopassoc")</f>
        <v>https://twitter.com/edopassoc</v>
      </c>
      <c r="AZ71" s="79" t="s">
        <v>65</v>
      </c>
      <c r="BA71" s="78" t="str">
        <f>REPLACE(INDEX(GroupVertices[Group], MATCH(Vertices[[#This Row],[Vertex]],GroupVertices[Vertex],0)),1,1,"")</f>
        <v>1</v>
      </c>
      <c r="BB71" s="49"/>
      <c r="BC71" s="49"/>
      <c r="BD71" s="49"/>
      <c r="BE71" s="49"/>
      <c r="BF71" s="49"/>
      <c r="BG71" s="49"/>
      <c r="BH71" s="49"/>
      <c r="BI71" s="49"/>
      <c r="BJ71" s="49"/>
      <c r="BK71" s="49"/>
      <c r="BL71" s="2"/>
      <c r="BM71" s="3"/>
      <c r="BN71" s="3"/>
      <c r="BO71" s="3"/>
      <c r="BP71" s="3"/>
    </row>
    <row r="72" spans="1:68" x14ac:dyDescent="0.25">
      <c r="A72" s="64" t="s">
        <v>275</v>
      </c>
      <c r="B72" s="65"/>
      <c r="C72" s="65"/>
      <c r="D72" s="66">
        <v>20</v>
      </c>
      <c r="E72" s="104"/>
      <c r="F72" s="96" t="str">
        <f>HYPERLINK("https://pbs.twimg.com/profile_images/1420110204620967940/6UxGkba8_normal.jpg")</f>
        <v>https://pbs.twimg.com/profile_images/1420110204620967940/6UxGkba8_normal.jpg</v>
      </c>
      <c r="G72" s="105"/>
      <c r="H72" s="69" t="s">
        <v>275</v>
      </c>
      <c r="I72" s="70"/>
      <c r="J72" s="106"/>
      <c r="K72" s="69" t="s">
        <v>1466</v>
      </c>
      <c r="L72" s="107">
        <v>1</v>
      </c>
      <c r="M72" s="74">
        <v>2351.045166015625</v>
      </c>
      <c r="N72" s="74">
        <v>7112.96923828125</v>
      </c>
      <c r="O72" s="75"/>
      <c r="P72" s="76"/>
      <c r="Q72" s="76"/>
      <c r="R72" s="88"/>
      <c r="S72" s="49">
        <v>0</v>
      </c>
      <c r="T72" s="49">
        <v>2</v>
      </c>
      <c r="U72" s="50">
        <v>0</v>
      </c>
      <c r="V72" s="50">
        <v>7.2459999999999998E-3</v>
      </c>
      <c r="W72" s="50">
        <v>2.0239E-2</v>
      </c>
      <c r="X72" s="50">
        <v>0.56255900000000003</v>
      </c>
      <c r="Y72" s="50">
        <v>1</v>
      </c>
      <c r="Z72" s="50">
        <v>0</v>
      </c>
      <c r="AA72" s="71">
        <v>72</v>
      </c>
      <c r="AB72"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72" s="72"/>
      <c r="AD72" s="79" t="s">
        <v>1043</v>
      </c>
      <c r="AE72" s="85" t="s">
        <v>1161</v>
      </c>
      <c r="AF72" s="79">
        <v>2590</v>
      </c>
      <c r="AG72" s="79">
        <v>830</v>
      </c>
      <c r="AH72" s="79">
        <v>4776</v>
      </c>
      <c r="AI72" s="79">
        <v>14039</v>
      </c>
      <c r="AJ72" s="79"/>
      <c r="AK72" s="79" t="s">
        <v>1277</v>
      </c>
      <c r="AL72" s="79" t="s">
        <v>1319</v>
      </c>
      <c r="AM72" s="79"/>
      <c r="AN72" s="79"/>
      <c r="AO72" s="81">
        <v>39934.750856481478</v>
      </c>
      <c r="AP72" s="83" t="str">
        <f>HYPERLINK("https://pbs.twimg.com/profile_banners/37000748/1549392310")</f>
        <v>https://pbs.twimg.com/profile_banners/37000748/1549392310</v>
      </c>
      <c r="AQ72" s="79" t="b">
        <v>0</v>
      </c>
      <c r="AR72" s="79" t="b">
        <v>0</v>
      </c>
      <c r="AS72" s="79" t="b">
        <v>1</v>
      </c>
      <c r="AT72" s="79"/>
      <c r="AU72" s="79">
        <v>17</v>
      </c>
      <c r="AV72" s="83" t="str">
        <f>HYPERLINK("https://abs.twimg.com/images/themes/theme1/bg.png")</f>
        <v>https://abs.twimg.com/images/themes/theme1/bg.png</v>
      </c>
      <c r="AW72" s="79" t="b">
        <v>0</v>
      </c>
      <c r="AX72" s="79" t="s">
        <v>1376</v>
      </c>
      <c r="AY72" s="83" t="str">
        <f>HYPERLINK("https://twitter.com/danadlaurens")</f>
        <v>https://twitter.com/danadlaurens</v>
      </c>
      <c r="AZ72" s="79" t="s">
        <v>66</v>
      </c>
      <c r="BA72" s="78" t="str">
        <f>REPLACE(INDEX(GroupVertices[Group], MATCH(Vertices[[#This Row],[Vertex]],GroupVertices[Vertex],0)),1,1,"")</f>
        <v>1</v>
      </c>
      <c r="BB72" s="49"/>
      <c r="BC72" s="49"/>
      <c r="BD72" s="49"/>
      <c r="BE72" s="49"/>
      <c r="BF72" s="49" t="s">
        <v>461</v>
      </c>
      <c r="BG72" s="49" t="s">
        <v>461</v>
      </c>
      <c r="BH72" s="137" t="s">
        <v>2000</v>
      </c>
      <c r="BI72" s="137" t="s">
        <v>2000</v>
      </c>
      <c r="BJ72" s="137" t="s">
        <v>2055</v>
      </c>
      <c r="BK72" s="137" t="s">
        <v>2055</v>
      </c>
      <c r="BL72" s="2"/>
      <c r="BM72" s="3"/>
      <c r="BN72" s="3"/>
      <c r="BO72" s="3"/>
      <c r="BP72" s="3"/>
    </row>
    <row r="73" spans="1:68" x14ac:dyDescent="0.25">
      <c r="A73" s="64" t="s">
        <v>262</v>
      </c>
      <c r="B73" s="65"/>
      <c r="C73" s="65"/>
      <c r="D73" s="66">
        <v>20</v>
      </c>
      <c r="E73" s="104"/>
      <c r="F73" s="96" t="str">
        <f>HYPERLINK("https://pbs.twimg.com/profile_images/1067827447427588096/zjdpLJzo_normal.jpg")</f>
        <v>https://pbs.twimg.com/profile_images/1067827447427588096/zjdpLJzo_normal.jpg</v>
      </c>
      <c r="G73" s="105"/>
      <c r="H73" s="69" t="s">
        <v>262</v>
      </c>
      <c r="I73" s="70"/>
      <c r="J73" s="106"/>
      <c r="K73" s="69" t="s">
        <v>1447</v>
      </c>
      <c r="L73" s="107">
        <v>1</v>
      </c>
      <c r="M73" s="74">
        <v>383.36550903320313</v>
      </c>
      <c r="N73" s="74">
        <v>2676.49365234375</v>
      </c>
      <c r="O73" s="75"/>
      <c r="P73" s="76"/>
      <c r="Q73" s="76"/>
      <c r="R73" s="88"/>
      <c r="S73" s="49">
        <v>0</v>
      </c>
      <c r="T73" s="49">
        <v>2</v>
      </c>
      <c r="U73" s="50">
        <v>0</v>
      </c>
      <c r="V73" s="50">
        <v>7.2989999999999999E-3</v>
      </c>
      <c r="W73" s="50">
        <v>1.7802999999999999E-2</v>
      </c>
      <c r="X73" s="50">
        <v>0.58245199999999997</v>
      </c>
      <c r="Y73" s="50">
        <v>0.5</v>
      </c>
      <c r="Z73" s="50">
        <v>0</v>
      </c>
      <c r="AA73" s="71">
        <v>73</v>
      </c>
      <c r="AB73"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73" s="72"/>
      <c r="AD73" s="79" t="s">
        <v>1024</v>
      </c>
      <c r="AE73" s="85" t="s">
        <v>1143</v>
      </c>
      <c r="AF73" s="79">
        <v>2671</v>
      </c>
      <c r="AG73" s="79">
        <v>747</v>
      </c>
      <c r="AH73" s="79">
        <v>19407</v>
      </c>
      <c r="AI73" s="79">
        <v>5345</v>
      </c>
      <c r="AJ73" s="79"/>
      <c r="AK73" s="79" t="s">
        <v>1260</v>
      </c>
      <c r="AL73" s="79" t="s">
        <v>1349</v>
      </c>
      <c r="AM73" s="79"/>
      <c r="AN73" s="79"/>
      <c r="AO73" s="81">
        <v>39889.698541666665</v>
      </c>
      <c r="AP73" s="83" t="str">
        <f>HYPERLINK("https://pbs.twimg.com/profile_banners/24910323/1490131034")</f>
        <v>https://pbs.twimg.com/profile_banners/24910323/1490131034</v>
      </c>
      <c r="AQ73" s="79" t="b">
        <v>0</v>
      </c>
      <c r="AR73" s="79" t="b">
        <v>0</v>
      </c>
      <c r="AS73" s="79" t="b">
        <v>0</v>
      </c>
      <c r="AT73" s="79"/>
      <c r="AU73" s="79">
        <v>37</v>
      </c>
      <c r="AV73" s="83" t="str">
        <f>HYPERLINK("https://abs.twimg.com/images/themes/theme15/bg.png")</f>
        <v>https://abs.twimg.com/images/themes/theme15/bg.png</v>
      </c>
      <c r="AW73" s="79" t="b">
        <v>0</v>
      </c>
      <c r="AX73" s="79" t="s">
        <v>1376</v>
      </c>
      <c r="AY73" s="83" t="str">
        <f>HYPERLINK("https://twitter.com/jkkahlden")</f>
        <v>https://twitter.com/jkkahlden</v>
      </c>
      <c r="AZ73" s="79" t="s">
        <v>66</v>
      </c>
      <c r="BA73" s="78" t="str">
        <f>REPLACE(INDEX(GroupVertices[Group], MATCH(Vertices[[#This Row],[Vertex]],GroupVertices[Vertex],0)),1,1,"")</f>
        <v>1</v>
      </c>
      <c r="BB73" s="49"/>
      <c r="BC73" s="49"/>
      <c r="BD73" s="49"/>
      <c r="BE73" s="49"/>
      <c r="BF73" s="49" t="s">
        <v>461</v>
      </c>
      <c r="BG73" s="49" t="s">
        <v>461</v>
      </c>
      <c r="BH73" s="137" t="s">
        <v>1994</v>
      </c>
      <c r="BI73" s="137" t="s">
        <v>1994</v>
      </c>
      <c r="BJ73" s="137" t="s">
        <v>2049</v>
      </c>
      <c r="BK73" s="137" t="s">
        <v>2049</v>
      </c>
      <c r="BL73" s="2"/>
      <c r="BM73" s="3"/>
      <c r="BN73" s="3"/>
      <c r="BO73" s="3"/>
      <c r="BP73" s="3"/>
    </row>
    <row r="74" spans="1:68" x14ac:dyDescent="0.25">
      <c r="A74" s="64" t="s">
        <v>277</v>
      </c>
      <c r="B74" s="65"/>
      <c r="C74" s="65"/>
      <c r="D74" s="66">
        <v>20</v>
      </c>
      <c r="E74" s="104"/>
      <c r="F74" s="96" t="str">
        <f>HYPERLINK("https://pbs.twimg.com/profile_images/1421239509744750592/G5yeyQbB_normal.jpg")</f>
        <v>https://pbs.twimg.com/profile_images/1421239509744750592/G5yeyQbB_normal.jpg</v>
      </c>
      <c r="G74" s="105"/>
      <c r="H74" s="69" t="s">
        <v>277</v>
      </c>
      <c r="I74" s="70"/>
      <c r="J74" s="106"/>
      <c r="K74" s="69" t="s">
        <v>1468</v>
      </c>
      <c r="L74" s="107">
        <v>1</v>
      </c>
      <c r="M74" s="74">
        <v>2154.0712890625</v>
      </c>
      <c r="N74" s="74">
        <v>2561.17333984375</v>
      </c>
      <c r="O74" s="75"/>
      <c r="P74" s="76"/>
      <c r="Q74" s="76"/>
      <c r="R74" s="88"/>
      <c r="S74" s="49">
        <v>0</v>
      </c>
      <c r="T74" s="49">
        <v>2</v>
      </c>
      <c r="U74" s="50">
        <v>0</v>
      </c>
      <c r="V74" s="50">
        <v>7.2459999999999998E-3</v>
      </c>
      <c r="W74" s="50">
        <v>2.0239E-2</v>
      </c>
      <c r="X74" s="50">
        <v>0.56255900000000003</v>
      </c>
      <c r="Y74" s="50">
        <v>1</v>
      </c>
      <c r="Z74" s="50">
        <v>0</v>
      </c>
      <c r="AA74" s="71">
        <v>74</v>
      </c>
      <c r="AB74"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74" s="72"/>
      <c r="AD74" s="79" t="s">
        <v>1045</v>
      </c>
      <c r="AE74" s="85" t="s">
        <v>1163</v>
      </c>
      <c r="AF74" s="79">
        <v>613</v>
      </c>
      <c r="AG74" s="79">
        <v>705</v>
      </c>
      <c r="AH74" s="79">
        <v>106095</v>
      </c>
      <c r="AI74" s="79">
        <v>196153</v>
      </c>
      <c r="AJ74" s="79"/>
      <c r="AK74" s="79" t="s">
        <v>1279</v>
      </c>
      <c r="AL74" s="79" t="s">
        <v>1360</v>
      </c>
      <c r="AM74" s="79"/>
      <c r="AN74" s="79"/>
      <c r="AO74" s="81">
        <v>40622.157071759262</v>
      </c>
      <c r="AP74" s="83" t="str">
        <f>HYPERLINK("https://pbs.twimg.com/profile_banners/269112842/1627618206")</f>
        <v>https://pbs.twimg.com/profile_banners/269112842/1627618206</v>
      </c>
      <c r="AQ74" s="79" t="b">
        <v>1</v>
      </c>
      <c r="AR74" s="79" t="b">
        <v>0</v>
      </c>
      <c r="AS74" s="79" t="b">
        <v>1</v>
      </c>
      <c r="AT74" s="79"/>
      <c r="AU74" s="79">
        <v>16</v>
      </c>
      <c r="AV74" s="83" t="str">
        <f>HYPERLINK("https://abs.twimg.com/images/themes/theme1/bg.png")</f>
        <v>https://abs.twimg.com/images/themes/theme1/bg.png</v>
      </c>
      <c r="AW74" s="79" t="b">
        <v>0</v>
      </c>
      <c r="AX74" s="79" t="s">
        <v>1376</v>
      </c>
      <c r="AY74" s="83" t="str">
        <f>HYPERLINK("https://twitter.com/perla_51")</f>
        <v>https://twitter.com/perla_51</v>
      </c>
      <c r="AZ74" s="79" t="s">
        <v>66</v>
      </c>
      <c r="BA74" s="78" t="str">
        <f>REPLACE(INDEX(GroupVertices[Group], MATCH(Vertices[[#This Row],[Vertex]],GroupVertices[Vertex],0)),1,1,"")</f>
        <v>1</v>
      </c>
      <c r="BB74" s="49"/>
      <c r="BC74" s="49"/>
      <c r="BD74" s="49"/>
      <c r="BE74" s="49"/>
      <c r="BF74" s="49" t="s">
        <v>461</v>
      </c>
      <c r="BG74" s="49" t="s">
        <v>461</v>
      </c>
      <c r="BH74" s="137" t="s">
        <v>2000</v>
      </c>
      <c r="BI74" s="137" t="s">
        <v>2000</v>
      </c>
      <c r="BJ74" s="137" t="s">
        <v>2055</v>
      </c>
      <c r="BK74" s="137" t="s">
        <v>2055</v>
      </c>
      <c r="BL74" s="2"/>
      <c r="BM74" s="3"/>
      <c r="BN74" s="3"/>
      <c r="BO74" s="3"/>
      <c r="BP74" s="3"/>
    </row>
    <row r="75" spans="1:68" x14ac:dyDescent="0.25">
      <c r="A75" s="64" t="s">
        <v>250</v>
      </c>
      <c r="B75" s="65"/>
      <c r="C75" s="65"/>
      <c r="D75" s="66">
        <v>20</v>
      </c>
      <c r="E75" s="104"/>
      <c r="F75" s="96" t="str">
        <f>HYPERLINK("https://pbs.twimg.com/profile_images/1221840763123834881/SeEQHMBj_normal.jpg")</f>
        <v>https://pbs.twimg.com/profile_images/1221840763123834881/SeEQHMBj_normal.jpg</v>
      </c>
      <c r="G75" s="105"/>
      <c r="H75" s="69" t="s">
        <v>250</v>
      </c>
      <c r="I75" s="70"/>
      <c r="J75" s="106"/>
      <c r="K75" s="69" t="s">
        <v>1434</v>
      </c>
      <c r="L75" s="107">
        <v>1</v>
      </c>
      <c r="M75" s="74">
        <v>4174.400390625</v>
      </c>
      <c r="N75" s="74">
        <v>3708.051025390625</v>
      </c>
      <c r="O75" s="75"/>
      <c r="P75" s="76"/>
      <c r="Q75" s="76"/>
      <c r="R75" s="88"/>
      <c r="S75" s="49">
        <v>0</v>
      </c>
      <c r="T75" s="49">
        <v>2</v>
      </c>
      <c r="U75" s="50">
        <v>0</v>
      </c>
      <c r="V75" s="50">
        <v>2.2727000000000001E-2</v>
      </c>
      <c r="W75" s="50">
        <v>3.9999999999999998E-6</v>
      </c>
      <c r="X75" s="50">
        <v>0.547435</v>
      </c>
      <c r="Y75" s="50">
        <v>1</v>
      </c>
      <c r="Z75" s="50">
        <v>0</v>
      </c>
      <c r="AA75" s="71">
        <v>75</v>
      </c>
      <c r="AB75"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75" s="72"/>
      <c r="AD75" s="79" t="s">
        <v>1011</v>
      </c>
      <c r="AE75" s="85" t="s">
        <v>1130</v>
      </c>
      <c r="AF75" s="79">
        <v>806</v>
      </c>
      <c r="AG75" s="79">
        <v>688</v>
      </c>
      <c r="AH75" s="79">
        <v>60168</v>
      </c>
      <c r="AI75" s="79">
        <v>45165</v>
      </c>
      <c r="AJ75" s="79"/>
      <c r="AK75" s="79" t="s">
        <v>1247</v>
      </c>
      <c r="AL75" s="79" t="s">
        <v>1339</v>
      </c>
      <c r="AM75" s="79"/>
      <c r="AN75" s="79"/>
      <c r="AO75" s="81">
        <v>40744.060196759259</v>
      </c>
      <c r="AP75" s="83" t="str">
        <f>HYPERLINK("https://pbs.twimg.com/profile_banners/338748489/1547418939")</f>
        <v>https://pbs.twimg.com/profile_banners/338748489/1547418939</v>
      </c>
      <c r="AQ75" s="79" t="b">
        <v>0</v>
      </c>
      <c r="AR75" s="79" t="b">
        <v>0</v>
      </c>
      <c r="AS75" s="79" t="b">
        <v>1</v>
      </c>
      <c r="AT75" s="79"/>
      <c r="AU75" s="79">
        <v>3</v>
      </c>
      <c r="AV75" s="83" t="str">
        <f>HYPERLINK("https://abs.twimg.com/images/themes/theme1/bg.png")</f>
        <v>https://abs.twimg.com/images/themes/theme1/bg.png</v>
      </c>
      <c r="AW75" s="79" t="b">
        <v>0</v>
      </c>
      <c r="AX75" s="79" t="s">
        <v>1376</v>
      </c>
      <c r="AY75" s="83" t="str">
        <f>HYPERLINK("https://twitter.com/nike_bass95")</f>
        <v>https://twitter.com/nike_bass95</v>
      </c>
      <c r="AZ75" s="79" t="s">
        <v>66</v>
      </c>
      <c r="BA75" s="78" t="str">
        <f>REPLACE(INDEX(GroupVertices[Group], MATCH(Vertices[[#This Row],[Vertex]],GroupVertices[Vertex],0)),1,1,"")</f>
        <v>2</v>
      </c>
      <c r="BB75" s="49"/>
      <c r="BC75" s="49"/>
      <c r="BD75" s="49"/>
      <c r="BE75" s="49"/>
      <c r="BF75" s="49" t="s">
        <v>461</v>
      </c>
      <c r="BG75" s="49" t="s">
        <v>461</v>
      </c>
      <c r="BH75" s="137" t="s">
        <v>2008</v>
      </c>
      <c r="BI75" s="137" t="s">
        <v>2008</v>
      </c>
      <c r="BJ75" s="137" t="s">
        <v>2062</v>
      </c>
      <c r="BK75" s="137" t="s">
        <v>2062</v>
      </c>
      <c r="BL75" s="2"/>
      <c r="BM75" s="3"/>
      <c r="BN75" s="3"/>
      <c r="BO75" s="3"/>
      <c r="BP75" s="3"/>
    </row>
    <row r="76" spans="1:68" x14ac:dyDescent="0.25">
      <c r="A76" s="64" t="s">
        <v>218</v>
      </c>
      <c r="B76" s="65"/>
      <c r="C76" s="65"/>
      <c r="D76" s="66">
        <v>20</v>
      </c>
      <c r="E76" s="104"/>
      <c r="F76" s="96" t="str">
        <f>HYPERLINK("https://pbs.twimg.com/profile_images/1126529413401796608/QIcn7Kxz_normal.png")</f>
        <v>https://pbs.twimg.com/profile_images/1126529413401796608/QIcn7Kxz_normal.png</v>
      </c>
      <c r="G76" s="105"/>
      <c r="H76" s="69" t="s">
        <v>218</v>
      </c>
      <c r="I76" s="70"/>
      <c r="J76" s="106"/>
      <c r="K76" s="69" t="s">
        <v>1381</v>
      </c>
      <c r="L76" s="107">
        <v>1</v>
      </c>
      <c r="M76" s="74">
        <v>8517.6416015625</v>
      </c>
      <c r="N76" s="74">
        <v>2388.677001953125</v>
      </c>
      <c r="O76" s="75"/>
      <c r="P76" s="76"/>
      <c r="Q76" s="76"/>
      <c r="R76" s="88"/>
      <c r="S76" s="49">
        <v>1</v>
      </c>
      <c r="T76" s="49">
        <v>1</v>
      </c>
      <c r="U76" s="50">
        <v>0</v>
      </c>
      <c r="V76" s="50">
        <v>1</v>
      </c>
      <c r="W76" s="50">
        <v>0</v>
      </c>
      <c r="X76" s="50">
        <v>0.999996</v>
      </c>
      <c r="Y76" s="50">
        <v>0</v>
      </c>
      <c r="Z76" s="50">
        <v>1</v>
      </c>
      <c r="AA76" s="71">
        <v>76</v>
      </c>
      <c r="AB76"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76" s="72"/>
      <c r="AD76" s="79" t="s">
        <v>958</v>
      </c>
      <c r="AE76" s="85" t="s">
        <v>1080</v>
      </c>
      <c r="AF76" s="79">
        <v>820</v>
      </c>
      <c r="AG76" s="79">
        <v>647</v>
      </c>
      <c r="AH76" s="79">
        <v>1899</v>
      </c>
      <c r="AI76" s="79">
        <v>1682</v>
      </c>
      <c r="AJ76" s="79"/>
      <c r="AK76" s="79" t="s">
        <v>1195</v>
      </c>
      <c r="AL76" s="79" t="s">
        <v>1309</v>
      </c>
      <c r="AM76" s="83" t="str">
        <f>HYPERLINK("https://t.co/iwaRxvYrCl")</f>
        <v>https://t.co/iwaRxvYrCl</v>
      </c>
      <c r="AN76" s="79"/>
      <c r="AO76" s="81">
        <v>41676.743136574078</v>
      </c>
      <c r="AP76" s="83" t="str">
        <f>HYPERLINK("https://pbs.twimg.com/profile_banners/2330640397/1557866125")</f>
        <v>https://pbs.twimg.com/profile_banners/2330640397/1557866125</v>
      </c>
      <c r="AQ76" s="79" t="b">
        <v>0</v>
      </c>
      <c r="AR76" s="79" t="b">
        <v>0</v>
      </c>
      <c r="AS76" s="79" t="b">
        <v>1</v>
      </c>
      <c r="AT76" s="79"/>
      <c r="AU76" s="79">
        <v>16</v>
      </c>
      <c r="AV76" s="83" t="str">
        <f>HYPERLINK("https://abs.twimg.com/images/themes/theme1/bg.png")</f>
        <v>https://abs.twimg.com/images/themes/theme1/bg.png</v>
      </c>
      <c r="AW76" s="79" t="b">
        <v>0</v>
      </c>
      <c r="AX76" s="79" t="s">
        <v>1376</v>
      </c>
      <c r="AY76" s="83" t="str">
        <f>HYPERLINK("https://twitter.com/ceopmedia")</f>
        <v>https://twitter.com/ceopmedia</v>
      </c>
      <c r="AZ76" s="79" t="s">
        <v>66</v>
      </c>
      <c r="BA76" s="78" t="str">
        <f>REPLACE(INDEX(GroupVertices[Group], MATCH(Vertices[[#This Row],[Vertex]],GroupVertices[Vertex],0)),1,1,"")</f>
        <v>14</v>
      </c>
      <c r="BB76" s="49"/>
      <c r="BC76" s="49"/>
      <c r="BD76" s="49"/>
      <c r="BE76" s="49"/>
      <c r="BF76" s="49" t="s">
        <v>461</v>
      </c>
      <c r="BG76" s="49" t="s">
        <v>461</v>
      </c>
      <c r="BH76" s="137" t="s">
        <v>1797</v>
      </c>
      <c r="BI76" s="137" t="s">
        <v>1797</v>
      </c>
      <c r="BJ76" s="137" t="s">
        <v>1891</v>
      </c>
      <c r="BK76" s="137" t="s">
        <v>1891</v>
      </c>
      <c r="BL76" s="2"/>
      <c r="BM76" s="3"/>
      <c r="BN76" s="3"/>
      <c r="BO76" s="3"/>
      <c r="BP76" s="3"/>
    </row>
    <row r="77" spans="1:68" x14ac:dyDescent="0.25">
      <c r="A77" s="64" t="s">
        <v>241</v>
      </c>
      <c r="B77" s="65"/>
      <c r="C77" s="65"/>
      <c r="D77" s="66">
        <v>20</v>
      </c>
      <c r="E77" s="104"/>
      <c r="F77" s="96" t="str">
        <f>HYPERLINK("https://pbs.twimg.com/profile_images/1384877574136819720/4IvqDNnF_normal.jpg")</f>
        <v>https://pbs.twimg.com/profile_images/1384877574136819720/4IvqDNnF_normal.jpg</v>
      </c>
      <c r="G77" s="105"/>
      <c r="H77" s="69" t="s">
        <v>241</v>
      </c>
      <c r="I77" s="70"/>
      <c r="J77" s="106"/>
      <c r="K77" s="69" t="s">
        <v>1416</v>
      </c>
      <c r="L77" s="107">
        <v>1</v>
      </c>
      <c r="M77" s="74">
        <v>3781.310302734375</v>
      </c>
      <c r="N77" s="74">
        <v>3748.222900390625</v>
      </c>
      <c r="O77" s="75"/>
      <c r="P77" s="76"/>
      <c r="Q77" s="76"/>
      <c r="R77" s="88"/>
      <c r="S77" s="49">
        <v>0</v>
      </c>
      <c r="T77" s="49">
        <v>2</v>
      </c>
      <c r="U77" s="50">
        <v>0</v>
      </c>
      <c r="V77" s="50">
        <v>2.2727000000000001E-2</v>
      </c>
      <c r="W77" s="50">
        <v>3.9999999999999998E-6</v>
      </c>
      <c r="X77" s="50">
        <v>0.547435</v>
      </c>
      <c r="Y77" s="50">
        <v>1</v>
      </c>
      <c r="Z77" s="50">
        <v>0</v>
      </c>
      <c r="AA77" s="71">
        <v>77</v>
      </c>
      <c r="AB77"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77" s="72"/>
      <c r="AD77" s="79" t="s">
        <v>993</v>
      </c>
      <c r="AE77" s="85" t="s">
        <v>1112</v>
      </c>
      <c r="AF77" s="79">
        <v>627</v>
      </c>
      <c r="AG77" s="79">
        <v>618</v>
      </c>
      <c r="AH77" s="79">
        <v>15058</v>
      </c>
      <c r="AI77" s="79">
        <v>4294</v>
      </c>
      <c r="AJ77" s="79"/>
      <c r="AK77" s="79" t="s">
        <v>1230</v>
      </c>
      <c r="AL77" s="79" t="s">
        <v>1331</v>
      </c>
      <c r="AM77" s="79"/>
      <c r="AN77" s="79"/>
      <c r="AO77" s="81">
        <v>40329.929212962961</v>
      </c>
      <c r="AP77" s="83" t="str">
        <f>HYPERLINK("https://pbs.twimg.com/profile_banners/150421724/1617148796")</f>
        <v>https://pbs.twimg.com/profile_banners/150421724/1617148796</v>
      </c>
      <c r="AQ77" s="79" t="b">
        <v>0</v>
      </c>
      <c r="AR77" s="79" t="b">
        <v>0</v>
      </c>
      <c r="AS77" s="79" t="b">
        <v>1</v>
      </c>
      <c r="AT77" s="79"/>
      <c r="AU77" s="79">
        <v>4</v>
      </c>
      <c r="AV77" s="83" t="str">
        <f>HYPERLINK("https://abs.twimg.com/images/themes/theme1/bg.png")</f>
        <v>https://abs.twimg.com/images/themes/theme1/bg.png</v>
      </c>
      <c r="AW77" s="79" t="b">
        <v>0</v>
      </c>
      <c r="AX77" s="79" t="s">
        <v>1376</v>
      </c>
      <c r="AY77" s="83" t="str">
        <f>HYPERLINK("https://twitter.com/beecyoung")</f>
        <v>https://twitter.com/beecyoung</v>
      </c>
      <c r="AZ77" s="79" t="s">
        <v>66</v>
      </c>
      <c r="BA77" s="78" t="str">
        <f>REPLACE(INDEX(GroupVertices[Group], MATCH(Vertices[[#This Row],[Vertex]],GroupVertices[Vertex],0)),1,1,"")</f>
        <v>2</v>
      </c>
      <c r="BB77" s="49"/>
      <c r="BC77" s="49"/>
      <c r="BD77" s="49"/>
      <c r="BE77" s="49"/>
      <c r="BF77" s="49" t="s">
        <v>461</v>
      </c>
      <c r="BG77" s="49" t="s">
        <v>461</v>
      </c>
      <c r="BH77" s="137" t="s">
        <v>2008</v>
      </c>
      <c r="BI77" s="137" t="s">
        <v>2008</v>
      </c>
      <c r="BJ77" s="137" t="s">
        <v>2062</v>
      </c>
      <c r="BK77" s="137" t="s">
        <v>2062</v>
      </c>
      <c r="BL77" s="2"/>
      <c r="BM77" s="3"/>
      <c r="BN77" s="3"/>
      <c r="BO77" s="3"/>
      <c r="BP77" s="3"/>
    </row>
    <row r="78" spans="1:68" x14ac:dyDescent="0.25">
      <c r="A78" s="64" t="s">
        <v>328</v>
      </c>
      <c r="B78" s="65"/>
      <c r="C78" s="65"/>
      <c r="D78" s="66">
        <v>20</v>
      </c>
      <c r="E78" s="104"/>
      <c r="F78" s="96" t="str">
        <f>HYPERLINK("https://pbs.twimg.com/profile_images/518048067853889536/hfEmNa9K_normal.jpeg")</f>
        <v>https://pbs.twimg.com/profile_images/518048067853889536/hfEmNa9K_normal.jpeg</v>
      </c>
      <c r="G78" s="105"/>
      <c r="H78" s="69" t="s">
        <v>328</v>
      </c>
      <c r="I78" s="70"/>
      <c r="J78" s="106"/>
      <c r="K78" s="69" t="s">
        <v>1478</v>
      </c>
      <c r="L78" s="107">
        <v>1</v>
      </c>
      <c r="M78" s="74">
        <v>6851.158203125</v>
      </c>
      <c r="N78" s="74">
        <v>1694.3046875</v>
      </c>
      <c r="O78" s="75"/>
      <c r="P78" s="76"/>
      <c r="Q78" s="76"/>
      <c r="R78" s="88"/>
      <c r="S78" s="49">
        <v>1</v>
      </c>
      <c r="T78" s="49">
        <v>0</v>
      </c>
      <c r="U78" s="50">
        <v>0</v>
      </c>
      <c r="V78" s="50">
        <v>1</v>
      </c>
      <c r="W78" s="50">
        <v>0</v>
      </c>
      <c r="X78" s="50">
        <v>0.70175200000000004</v>
      </c>
      <c r="Y78" s="50">
        <v>0</v>
      </c>
      <c r="Z78" s="50">
        <v>0</v>
      </c>
      <c r="AA78" s="71">
        <v>78</v>
      </c>
      <c r="AB78"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78" s="72"/>
      <c r="AD78" s="79" t="s">
        <v>1055</v>
      </c>
      <c r="AE78" s="85" t="s">
        <v>870</v>
      </c>
      <c r="AF78" s="79">
        <v>289</v>
      </c>
      <c r="AG78" s="79">
        <v>617</v>
      </c>
      <c r="AH78" s="79">
        <v>646</v>
      </c>
      <c r="AI78" s="79">
        <v>489</v>
      </c>
      <c r="AJ78" s="79"/>
      <c r="AK78" s="79" t="s">
        <v>1288</v>
      </c>
      <c r="AL78" s="79" t="s">
        <v>1365</v>
      </c>
      <c r="AM78" s="83" t="str">
        <f>HYPERLINK("http://t.co/56HSc53VrL")</f>
        <v>http://t.co/56HSc53VrL</v>
      </c>
      <c r="AN78" s="79"/>
      <c r="AO78" s="81">
        <v>41864.800775462965</v>
      </c>
      <c r="AP78" s="83" t="str">
        <f>HYPERLINK("https://pbs.twimg.com/profile_banners/2730116696/1411572528")</f>
        <v>https://pbs.twimg.com/profile_banners/2730116696/1411572528</v>
      </c>
      <c r="AQ78" s="79" t="b">
        <v>0</v>
      </c>
      <c r="AR78" s="79" t="b">
        <v>0</v>
      </c>
      <c r="AS78" s="79" t="b">
        <v>0</v>
      </c>
      <c r="AT78" s="79"/>
      <c r="AU78" s="79">
        <v>11</v>
      </c>
      <c r="AV78" s="83" t="str">
        <f>HYPERLINK("https://abs.twimg.com/images/themes/theme1/bg.png")</f>
        <v>https://abs.twimg.com/images/themes/theme1/bg.png</v>
      </c>
      <c r="AW78" s="79" t="b">
        <v>0</v>
      </c>
      <c r="AX78" s="79" t="s">
        <v>1376</v>
      </c>
      <c r="AY78" s="83" t="str">
        <f>HYPERLINK("https://twitter.com/montanagearup")</f>
        <v>https://twitter.com/montanagearup</v>
      </c>
      <c r="AZ78" s="79" t="s">
        <v>65</v>
      </c>
      <c r="BA78" s="78" t="str">
        <f>REPLACE(INDEX(GroupVertices[Group], MATCH(Vertices[[#This Row],[Vertex]],GroupVertices[Vertex],0)),1,1,"")</f>
        <v>15</v>
      </c>
      <c r="BB78" s="49"/>
      <c r="BC78" s="49"/>
      <c r="BD78" s="49"/>
      <c r="BE78" s="49"/>
      <c r="BF78" s="49"/>
      <c r="BG78" s="49"/>
      <c r="BH78" s="49"/>
      <c r="BI78" s="49"/>
      <c r="BJ78" s="49"/>
      <c r="BK78" s="49"/>
      <c r="BL78" s="2"/>
      <c r="BM78" s="3"/>
      <c r="BN78" s="3"/>
      <c r="BO78" s="3"/>
      <c r="BP78" s="3"/>
    </row>
    <row r="79" spans="1:68" x14ac:dyDescent="0.25">
      <c r="A79" s="64" t="s">
        <v>219</v>
      </c>
      <c r="B79" s="65"/>
      <c r="C79" s="65"/>
      <c r="D79" s="66">
        <v>20</v>
      </c>
      <c r="E79" s="104"/>
      <c r="F79" s="96" t="str">
        <f>HYPERLINK("https://pbs.twimg.com/profile_images/1047892764573061122/lxSfxJS6_normal.jpg")</f>
        <v>https://pbs.twimg.com/profile_images/1047892764573061122/lxSfxJS6_normal.jpg</v>
      </c>
      <c r="G79" s="105"/>
      <c r="H79" s="69" t="s">
        <v>219</v>
      </c>
      <c r="I79" s="70"/>
      <c r="J79" s="106"/>
      <c r="K79" s="69" t="s">
        <v>1382</v>
      </c>
      <c r="L79" s="107">
        <v>1</v>
      </c>
      <c r="M79" s="74">
        <v>9115.87109375</v>
      </c>
      <c r="N79" s="74">
        <v>4249.5966796875</v>
      </c>
      <c r="O79" s="75"/>
      <c r="P79" s="76"/>
      <c r="Q79" s="76"/>
      <c r="R79" s="88"/>
      <c r="S79" s="49">
        <v>1</v>
      </c>
      <c r="T79" s="49">
        <v>1</v>
      </c>
      <c r="U79" s="50">
        <v>0</v>
      </c>
      <c r="V79" s="50">
        <v>1</v>
      </c>
      <c r="W79" s="50">
        <v>0</v>
      </c>
      <c r="X79" s="50">
        <v>0.999996</v>
      </c>
      <c r="Y79" s="50">
        <v>0</v>
      </c>
      <c r="Z79" s="50">
        <v>1</v>
      </c>
      <c r="AA79" s="71">
        <v>79</v>
      </c>
      <c r="AB79"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79" s="72"/>
      <c r="AD79" s="79" t="s">
        <v>959</v>
      </c>
      <c r="AE79" s="85" t="s">
        <v>1081</v>
      </c>
      <c r="AF79" s="79">
        <v>343</v>
      </c>
      <c r="AG79" s="79">
        <v>579</v>
      </c>
      <c r="AH79" s="79">
        <v>2019</v>
      </c>
      <c r="AI79" s="79">
        <v>761</v>
      </c>
      <c r="AJ79" s="79"/>
      <c r="AK79" s="79" t="s">
        <v>1196</v>
      </c>
      <c r="AL79" s="79" t="s">
        <v>1310</v>
      </c>
      <c r="AM79" s="83" t="str">
        <f>HYPERLINK("https://t.co/DmSfEbcIZV")</f>
        <v>https://t.co/DmSfEbcIZV</v>
      </c>
      <c r="AN79" s="79"/>
      <c r="AO79" s="81">
        <v>40985.590497685182</v>
      </c>
      <c r="AP79" s="83" t="str">
        <f>HYPERLINK("https://pbs.twimg.com/profile_banners/527491404/1554828402")</f>
        <v>https://pbs.twimg.com/profile_banners/527491404/1554828402</v>
      </c>
      <c r="AQ79" s="79" t="b">
        <v>0</v>
      </c>
      <c r="AR79" s="79" t="b">
        <v>0</v>
      </c>
      <c r="AS79" s="79" t="b">
        <v>1</v>
      </c>
      <c r="AT79" s="79"/>
      <c r="AU79" s="79">
        <v>18</v>
      </c>
      <c r="AV79" s="83" t="str">
        <f>HYPERLINK("https://abs.twimg.com/images/themes/theme15/bg.png")</f>
        <v>https://abs.twimg.com/images/themes/theme15/bg.png</v>
      </c>
      <c r="AW79" s="79" t="b">
        <v>0</v>
      </c>
      <c r="AX79" s="79" t="s">
        <v>1376</v>
      </c>
      <c r="AY79" s="83" t="str">
        <f>HYPERLINK("https://twitter.com/kumcnair")</f>
        <v>https://twitter.com/kumcnair</v>
      </c>
      <c r="AZ79" s="79" t="s">
        <v>66</v>
      </c>
      <c r="BA79" s="78" t="str">
        <f>REPLACE(INDEX(GroupVertices[Group], MATCH(Vertices[[#This Row],[Vertex]],GroupVertices[Vertex],0)),1,1,"")</f>
        <v>14</v>
      </c>
      <c r="BB79" s="49"/>
      <c r="BC79" s="49"/>
      <c r="BD79" s="49"/>
      <c r="BE79" s="49"/>
      <c r="BF79" s="49" t="s">
        <v>461</v>
      </c>
      <c r="BG79" s="49" t="s">
        <v>461</v>
      </c>
      <c r="BH79" s="137" t="s">
        <v>1797</v>
      </c>
      <c r="BI79" s="137" t="s">
        <v>1797</v>
      </c>
      <c r="BJ79" s="137" t="s">
        <v>1891</v>
      </c>
      <c r="BK79" s="137" t="s">
        <v>1891</v>
      </c>
      <c r="BL79" s="2"/>
      <c r="BM79" s="3"/>
      <c r="BN79" s="3"/>
      <c r="BO79" s="3"/>
      <c r="BP79" s="3"/>
    </row>
    <row r="80" spans="1:68" x14ac:dyDescent="0.25">
      <c r="A80" s="64" t="s">
        <v>302</v>
      </c>
      <c r="B80" s="65"/>
      <c r="C80" s="65"/>
      <c r="D80" s="66">
        <v>20</v>
      </c>
      <c r="E80" s="104"/>
      <c r="F80" s="96" t="str">
        <f>HYPERLINK("https://pbs.twimg.com/profile_images/1136012620442378240/N_2zjYGq_normal.png")</f>
        <v>https://pbs.twimg.com/profile_images/1136012620442378240/N_2zjYGq_normal.png</v>
      </c>
      <c r="G80" s="105"/>
      <c r="H80" s="69" t="s">
        <v>302</v>
      </c>
      <c r="I80" s="70"/>
      <c r="J80" s="106"/>
      <c r="K80" s="69" t="s">
        <v>1386</v>
      </c>
      <c r="L80" s="107">
        <v>1</v>
      </c>
      <c r="M80" s="74">
        <v>8517.6572265625</v>
      </c>
      <c r="N80" s="74">
        <v>433.88262939453125</v>
      </c>
      <c r="O80" s="75"/>
      <c r="P80" s="76"/>
      <c r="Q80" s="76"/>
      <c r="R80" s="88"/>
      <c r="S80" s="49">
        <v>1</v>
      </c>
      <c r="T80" s="49">
        <v>0</v>
      </c>
      <c r="U80" s="50">
        <v>0</v>
      </c>
      <c r="V80" s="50">
        <v>1</v>
      </c>
      <c r="W80" s="50">
        <v>0</v>
      </c>
      <c r="X80" s="50">
        <v>0.999996</v>
      </c>
      <c r="Y80" s="50">
        <v>0</v>
      </c>
      <c r="Z80" s="50">
        <v>0</v>
      </c>
      <c r="AA80" s="71">
        <v>80</v>
      </c>
      <c r="AB80"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80" s="72"/>
      <c r="AD80" s="79" t="s">
        <v>963</v>
      </c>
      <c r="AE80" s="85" t="s">
        <v>868</v>
      </c>
      <c r="AF80" s="79">
        <v>60</v>
      </c>
      <c r="AG80" s="79">
        <v>543</v>
      </c>
      <c r="AH80" s="79">
        <v>1318</v>
      </c>
      <c r="AI80" s="79">
        <v>11</v>
      </c>
      <c r="AJ80" s="79"/>
      <c r="AK80" s="79" t="s">
        <v>1200</v>
      </c>
      <c r="AL80" s="79" t="s">
        <v>1311</v>
      </c>
      <c r="AM80" s="83" t="str">
        <f>HYPERLINK("https://t.co/Gx3gt4d7nO")</f>
        <v>https://t.co/Gx3gt4d7nO</v>
      </c>
      <c r="AN80" s="79"/>
      <c r="AO80" s="81">
        <v>40841.610810185186</v>
      </c>
      <c r="AP80" s="83" t="str">
        <f>HYPERLINK("https://pbs.twimg.com/profile_banners/398062533/1559682166")</f>
        <v>https://pbs.twimg.com/profile_banners/398062533/1559682166</v>
      </c>
      <c r="AQ80" s="79" t="b">
        <v>0</v>
      </c>
      <c r="AR80" s="79" t="b">
        <v>0</v>
      </c>
      <c r="AS80" s="79" t="b">
        <v>1</v>
      </c>
      <c r="AT80" s="79"/>
      <c r="AU80" s="79">
        <v>4</v>
      </c>
      <c r="AV80" s="83" t="str">
        <f>HYPERLINK("https://abs.twimg.com/images/themes/theme1/bg.png")</f>
        <v>https://abs.twimg.com/images/themes/theme1/bg.png</v>
      </c>
      <c r="AW80" s="79" t="b">
        <v>0</v>
      </c>
      <c r="AX80" s="79" t="s">
        <v>1376</v>
      </c>
      <c r="AY80" s="83" t="str">
        <f>HYPERLINK("https://twitter.com/fiu_sss")</f>
        <v>https://twitter.com/fiu_sss</v>
      </c>
      <c r="AZ80" s="79" t="s">
        <v>65</v>
      </c>
      <c r="BA80" s="78" t="str">
        <f>REPLACE(INDEX(GroupVertices[Group], MATCH(Vertices[[#This Row],[Vertex]],GroupVertices[Vertex],0)),1,1,"")</f>
        <v>12</v>
      </c>
      <c r="BB80" s="49"/>
      <c r="BC80" s="49"/>
      <c r="BD80" s="49"/>
      <c r="BE80" s="49"/>
      <c r="BF80" s="49"/>
      <c r="BG80" s="49"/>
      <c r="BH80" s="49"/>
      <c r="BI80" s="49"/>
      <c r="BJ80" s="49"/>
      <c r="BK80" s="49"/>
      <c r="BL80" s="2"/>
      <c r="BM80" s="3"/>
      <c r="BN80" s="3"/>
      <c r="BO80" s="3"/>
      <c r="BP80" s="3"/>
    </row>
    <row r="81" spans="1:68" x14ac:dyDescent="0.25">
      <c r="A81" s="64" t="s">
        <v>251</v>
      </c>
      <c r="B81" s="65"/>
      <c r="C81" s="65"/>
      <c r="D81" s="66">
        <v>20</v>
      </c>
      <c r="E81" s="104"/>
      <c r="F81" s="96" t="str">
        <f>HYPERLINK("https://pbs.twimg.com/profile_images/586792122411397120/8OEsvxYU_normal.jpg")</f>
        <v>https://pbs.twimg.com/profile_images/586792122411397120/8OEsvxYU_normal.jpg</v>
      </c>
      <c r="G81" s="105"/>
      <c r="H81" s="69" t="s">
        <v>251</v>
      </c>
      <c r="I81" s="70"/>
      <c r="J81" s="106"/>
      <c r="K81" s="69" t="s">
        <v>1435</v>
      </c>
      <c r="L81" s="107">
        <v>1</v>
      </c>
      <c r="M81" s="74">
        <v>2737.277099609375</v>
      </c>
      <c r="N81" s="74">
        <v>5221.638671875</v>
      </c>
      <c r="O81" s="75"/>
      <c r="P81" s="76"/>
      <c r="Q81" s="76"/>
      <c r="R81" s="88"/>
      <c r="S81" s="49">
        <v>0</v>
      </c>
      <c r="T81" s="49">
        <v>2</v>
      </c>
      <c r="U81" s="50">
        <v>0</v>
      </c>
      <c r="V81" s="50">
        <v>2.2727000000000001E-2</v>
      </c>
      <c r="W81" s="50">
        <v>3.9999999999999998E-6</v>
      </c>
      <c r="X81" s="50">
        <v>0.547435</v>
      </c>
      <c r="Y81" s="50">
        <v>1</v>
      </c>
      <c r="Z81" s="50">
        <v>0</v>
      </c>
      <c r="AA81" s="71">
        <v>81</v>
      </c>
      <c r="AB81"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81" s="72"/>
      <c r="AD81" s="79" t="s">
        <v>1012</v>
      </c>
      <c r="AE81" s="85" t="s">
        <v>1131</v>
      </c>
      <c r="AF81" s="79">
        <v>314</v>
      </c>
      <c r="AG81" s="79">
        <v>490</v>
      </c>
      <c r="AH81" s="79">
        <v>60571</v>
      </c>
      <c r="AI81" s="79">
        <v>9158</v>
      </c>
      <c r="AJ81" s="79"/>
      <c r="AK81" s="79" t="s">
        <v>1248</v>
      </c>
      <c r="AL81" s="79" t="s">
        <v>1340</v>
      </c>
      <c r="AM81" s="79"/>
      <c r="AN81" s="79"/>
      <c r="AO81" s="81">
        <v>40555.846631944441</v>
      </c>
      <c r="AP81" s="83" t="str">
        <f>HYPERLINK("https://pbs.twimg.com/profile_banners/237421324/1612993927")</f>
        <v>https://pbs.twimg.com/profile_banners/237421324/1612993927</v>
      </c>
      <c r="AQ81" s="79" t="b">
        <v>0</v>
      </c>
      <c r="AR81" s="79" t="b">
        <v>0</v>
      </c>
      <c r="AS81" s="79" t="b">
        <v>1</v>
      </c>
      <c r="AT81" s="79"/>
      <c r="AU81" s="79">
        <v>8</v>
      </c>
      <c r="AV81" s="83" t="str">
        <f>HYPERLINK("https://abs.twimg.com/images/themes/theme1/bg.png")</f>
        <v>https://abs.twimg.com/images/themes/theme1/bg.png</v>
      </c>
      <c r="AW81" s="79" t="b">
        <v>0</v>
      </c>
      <c r="AX81" s="79" t="s">
        <v>1376</v>
      </c>
      <c r="AY81" s="83" t="str">
        <f>HYPERLINK("https://twitter.com/alitebrand")</f>
        <v>https://twitter.com/alitebrand</v>
      </c>
      <c r="AZ81" s="79" t="s">
        <v>66</v>
      </c>
      <c r="BA81" s="78" t="str">
        <f>REPLACE(INDEX(GroupVertices[Group], MATCH(Vertices[[#This Row],[Vertex]],GroupVertices[Vertex],0)),1,1,"")</f>
        <v>2</v>
      </c>
      <c r="BB81" s="49"/>
      <c r="BC81" s="49"/>
      <c r="BD81" s="49"/>
      <c r="BE81" s="49"/>
      <c r="BF81" s="49" t="s">
        <v>461</v>
      </c>
      <c r="BG81" s="49" t="s">
        <v>461</v>
      </c>
      <c r="BH81" s="137" t="s">
        <v>2008</v>
      </c>
      <c r="BI81" s="137" t="s">
        <v>2008</v>
      </c>
      <c r="BJ81" s="137" t="s">
        <v>2062</v>
      </c>
      <c r="BK81" s="137" t="s">
        <v>2062</v>
      </c>
      <c r="BL81" s="2"/>
      <c r="BM81" s="3"/>
      <c r="BN81" s="3"/>
      <c r="BO81" s="3"/>
      <c r="BP81" s="3"/>
    </row>
    <row r="82" spans="1:68" x14ac:dyDescent="0.25">
      <c r="A82" s="64" t="s">
        <v>228</v>
      </c>
      <c r="B82" s="65"/>
      <c r="C82" s="65"/>
      <c r="D82" s="66">
        <v>20</v>
      </c>
      <c r="E82" s="104"/>
      <c r="F82" s="96" t="str">
        <f>HYPERLINK("https://pbs.twimg.com/profile_images/1274220241430536195/u9AyaSIU_normal.jpg")</f>
        <v>https://pbs.twimg.com/profile_images/1274220241430536195/u9AyaSIU_normal.jpg</v>
      </c>
      <c r="G82" s="105"/>
      <c r="H82" s="69" t="s">
        <v>228</v>
      </c>
      <c r="I82" s="70"/>
      <c r="J82" s="106"/>
      <c r="K82" s="69" t="s">
        <v>1393</v>
      </c>
      <c r="L82" s="107">
        <v>1</v>
      </c>
      <c r="M82" s="74">
        <v>9503.1240234375</v>
      </c>
      <c r="N82" s="74">
        <v>6471.57568359375</v>
      </c>
      <c r="O82" s="75"/>
      <c r="P82" s="76"/>
      <c r="Q82" s="76"/>
      <c r="R82" s="88"/>
      <c r="S82" s="49">
        <v>0</v>
      </c>
      <c r="T82" s="49">
        <v>2</v>
      </c>
      <c r="U82" s="50">
        <v>0</v>
      </c>
      <c r="V82" s="50">
        <v>0.25</v>
      </c>
      <c r="W82" s="50">
        <v>0</v>
      </c>
      <c r="X82" s="50">
        <v>0.81914600000000004</v>
      </c>
      <c r="Y82" s="50">
        <v>0.5</v>
      </c>
      <c r="Z82" s="50">
        <v>0</v>
      </c>
      <c r="AA82" s="71">
        <v>82</v>
      </c>
      <c r="AB82"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82" s="72"/>
      <c r="AD82" s="79" t="s">
        <v>970</v>
      </c>
      <c r="AE82" s="85" t="s">
        <v>1091</v>
      </c>
      <c r="AF82" s="79">
        <v>836</v>
      </c>
      <c r="AG82" s="79">
        <v>468</v>
      </c>
      <c r="AH82" s="79">
        <v>72706</v>
      </c>
      <c r="AI82" s="79">
        <v>1200</v>
      </c>
      <c r="AJ82" s="79"/>
      <c r="AK82" s="79" t="s">
        <v>1207</v>
      </c>
      <c r="AL82" s="79" t="s">
        <v>1316</v>
      </c>
      <c r="AM82" s="79"/>
      <c r="AN82" s="79"/>
      <c r="AO82" s="81">
        <v>40527.2031712963</v>
      </c>
      <c r="AP82" s="83" t="str">
        <f>HYPERLINK("https://pbs.twimg.com/profile_banners/226821825/1560829237")</f>
        <v>https://pbs.twimg.com/profile_banners/226821825/1560829237</v>
      </c>
      <c r="AQ82" s="79" t="b">
        <v>0</v>
      </c>
      <c r="AR82" s="79" t="b">
        <v>0</v>
      </c>
      <c r="AS82" s="79" t="b">
        <v>1</v>
      </c>
      <c r="AT82" s="79"/>
      <c r="AU82" s="79">
        <v>26</v>
      </c>
      <c r="AV82" s="83" t="str">
        <f>HYPERLINK("https://abs.twimg.com/images/themes/theme14/bg.gif")</f>
        <v>https://abs.twimg.com/images/themes/theme14/bg.gif</v>
      </c>
      <c r="AW82" s="79" t="b">
        <v>0</v>
      </c>
      <c r="AX82" s="79" t="s">
        <v>1376</v>
      </c>
      <c r="AY82" s="83" t="str">
        <f>HYPERLINK("https://twitter.com/adriela95")</f>
        <v>https://twitter.com/adriela95</v>
      </c>
      <c r="AZ82" s="79" t="s">
        <v>66</v>
      </c>
      <c r="BA82" s="78" t="str">
        <f>REPLACE(INDEX(GroupVertices[Group], MATCH(Vertices[[#This Row],[Vertex]],GroupVertices[Vertex],0)),1,1,"")</f>
        <v>9</v>
      </c>
      <c r="BB82" s="49"/>
      <c r="BC82" s="49"/>
      <c r="BD82" s="49"/>
      <c r="BE82" s="49"/>
      <c r="BF82" s="49" t="s">
        <v>465</v>
      </c>
      <c r="BG82" s="49" t="s">
        <v>465</v>
      </c>
      <c r="BH82" s="137" t="s">
        <v>1793</v>
      </c>
      <c r="BI82" s="137" t="s">
        <v>1793</v>
      </c>
      <c r="BJ82" s="137" t="s">
        <v>1889</v>
      </c>
      <c r="BK82" s="137" t="s">
        <v>1889</v>
      </c>
      <c r="BL82" s="2"/>
      <c r="BM82" s="3"/>
      <c r="BN82" s="3"/>
      <c r="BO82" s="3"/>
      <c r="BP82" s="3"/>
    </row>
    <row r="83" spans="1:68" x14ac:dyDescent="0.25">
      <c r="A83" s="64" t="s">
        <v>237</v>
      </c>
      <c r="B83" s="65"/>
      <c r="C83" s="65"/>
      <c r="D83" s="66">
        <v>20</v>
      </c>
      <c r="E83" s="104"/>
      <c r="F83" s="96" t="str">
        <f>HYPERLINK("https://pbs.twimg.com/profile_images/1416529138287104004/CkD5igB__normal.jpg")</f>
        <v>https://pbs.twimg.com/profile_images/1416529138287104004/CkD5igB__normal.jpg</v>
      </c>
      <c r="G83" s="105"/>
      <c r="H83" s="69" t="s">
        <v>237</v>
      </c>
      <c r="I83" s="70"/>
      <c r="J83" s="106"/>
      <c r="K83" s="69" t="s">
        <v>1412</v>
      </c>
      <c r="L83" s="107">
        <v>1</v>
      </c>
      <c r="M83" s="74">
        <v>4615.30908203125</v>
      </c>
      <c r="N83" s="74">
        <v>9565.1171875</v>
      </c>
      <c r="O83" s="75"/>
      <c r="P83" s="76"/>
      <c r="Q83" s="76"/>
      <c r="R83" s="88"/>
      <c r="S83" s="49">
        <v>0</v>
      </c>
      <c r="T83" s="49">
        <v>1</v>
      </c>
      <c r="U83" s="50">
        <v>0</v>
      </c>
      <c r="V83" s="50">
        <v>2.2221999999999999E-2</v>
      </c>
      <c r="W83" s="50">
        <v>1.9999999999999999E-6</v>
      </c>
      <c r="X83" s="50">
        <v>0.34987499999999999</v>
      </c>
      <c r="Y83" s="50">
        <v>0</v>
      </c>
      <c r="Z83" s="50">
        <v>0</v>
      </c>
      <c r="AA83" s="71">
        <v>83</v>
      </c>
      <c r="AB83"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83" s="72"/>
      <c r="AD83" s="79" t="s">
        <v>989</v>
      </c>
      <c r="AE83" s="85" t="s">
        <v>1108</v>
      </c>
      <c r="AF83" s="79">
        <v>2159</v>
      </c>
      <c r="AG83" s="79">
        <v>450</v>
      </c>
      <c r="AH83" s="79">
        <v>2957</v>
      </c>
      <c r="AI83" s="79">
        <v>11250</v>
      </c>
      <c r="AJ83" s="79"/>
      <c r="AK83" s="79" t="s">
        <v>1226</v>
      </c>
      <c r="AL83" s="79" t="s">
        <v>1327</v>
      </c>
      <c r="AM83" s="83" t="str">
        <f>HYPERLINK("https://t.co/1hRRrVPbEY")</f>
        <v>https://t.co/1hRRrVPbEY</v>
      </c>
      <c r="AN83" s="79"/>
      <c r="AO83" s="81">
        <v>42797.149004629631</v>
      </c>
      <c r="AP83" s="83" t="str">
        <f>HYPERLINK("https://pbs.twimg.com/profile_banners/837506456253575169/1593911288")</f>
        <v>https://pbs.twimg.com/profile_banners/837506456253575169/1593911288</v>
      </c>
      <c r="AQ83" s="79" t="b">
        <v>1</v>
      </c>
      <c r="AR83" s="79" t="b">
        <v>0</v>
      </c>
      <c r="AS83" s="79" t="b">
        <v>0</v>
      </c>
      <c r="AT83" s="79"/>
      <c r="AU83" s="79">
        <v>1</v>
      </c>
      <c r="AV83" s="79"/>
      <c r="AW83" s="79" t="b">
        <v>0</v>
      </c>
      <c r="AX83" s="79" t="s">
        <v>1376</v>
      </c>
      <c r="AY83" s="83" t="str">
        <f>HYPERLINK("https://twitter.com/252trinnettec")</f>
        <v>https://twitter.com/252trinnettec</v>
      </c>
      <c r="AZ83" s="79" t="s">
        <v>66</v>
      </c>
      <c r="BA83" s="78" t="str">
        <f>REPLACE(INDEX(GroupVertices[Group], MATCH(Vertices[[#This Row],[Vertex]],GroupVertices[Vertex],0)),1,1,"")</f>
        <v>2</v>
      </c>
      <c r="BB83" s="49"/>
      <c r="BC83" s="49"/>
      <c r="BD83" s="49"/>
      <c r="BE83" s="49"/>
      <c r="BF83" s="49" t="s">
        <v>461</v>
      </c>
      <c r="BG83" s="49" t="s">
        <v>461</v>
      </c>
      <c r="BH83" s="137" t="s">
        <v>2011</v>
      </c>
      <c r="BI83" s="137" t="s">
        <v>2011</v>
      </c>
      <c r="BJ83" s="137" t="s">
        <v>2065</v>
      </c>
      <c r="BK83" s="137" t="s">
        <v>2065</v>
      </c>
      <c r="BL83" s="2"/>
      <c r="BM83" s="3"/>
      <c r="BN83" s="3"/>
      <c r="BO83" s="3"/>
      <c r="BP83" s="3"/>
    </row>
    <row r="84" spans="1:68" x14ac:dyDescent="0.25">
      <c r="A84" s="64" t="s">
        <v>220</v>
      </c>
      <c r="B84" s="65"/>
      <c r="C84" s="65"/>
      <c r="D84" s="66">
        <v>20</v>
      </c>
      <c r="E84" s="104"/>
      <c r="F84" s="96" t="str">
        <f>HYPERLINK("https://pbs.twimg.com/profile_images/1410294139736952839/I-Umq40g_normal.jpg")</f>
        <v>https://pbs.twimg.com/profile_images/1410294139736952839/I-Umq40g_normal.jpg</v>
      </c>
      <c r="G84" s="105"/>
      <c r="H84" s="69" t="s">
        <v>220</v>
      </c>
      <c r="I84" s="70"/>
      <c r="J84" s="106"/>
      <c r="K84" s="69" t="s">
        <v>1383</v>
      </c>
      <c r="L84" s="107">
        <v>1</v>
      </c>
      <c r="M84" s="74">
        <v>7253.89404296875</v>
      </c>
      <c r="N84" s="74">
        <v>9565.1171875</v>
      </c>
      <c r="O84" s="75"/>
      <c r="P84" s="76"/>
      <c r="Q84" s="76"/>
      <c r="R84" s="88"/>
      <c r="S84" s="49">
        <v>1</v>
      </c>
      <c r="T84" s="49">
        <v>1</v>
      </c>
      <c r="U84" s="50">
        <v>0</v>
      </c>
      <c r="V84" s="50">
        <v>0</v>
      </c>
      <c r="W84" s="50">
        <v>0</v>
      </c>
      <c r="X84" s="50">
        <v>0.999996</v>
      </c>
      <c r="Y84" s="50">
        <v>0</v>
      </c>
      <c r="Z84" s="50">
        <v>0</v>
      </c>
      <c r="AA84" s="71">
        <v>84</v>
      </c>
      <c r="AB84"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84" s="72"/>
      <c r="AD84" s="79" t="s">
        <v>960</v>
      </c>
      <c r="AE84" s="85" t="s">
        <v>1082</v>
      </c>
      <c r="AF84" s="79">
        <v>985</v>
      </c>
      <c r="AG84" s="79">
        <v>427</v>
      </c>
      <c r="AH84" s="79">
        <v>12651</v>
      </c>
      <c r="AI84" s="79">
        <v>14111</v>
      </c>
      <c r="AJ84" s="79"/>
      <c r="AK84" s="79" t="s">
        <v>1197</v>
      </c>
      <c r="AL84" s="79"/>
      <c r="AM84" s="79"/>
      <c r="AN84" s="79"/>
      <c r="AO84" s="81">
        <v>41760.790335648147</v>
      </c>
      <c r="AP84" s="83" t="str">
        <f>HYPERLINK("https://pbs.twimg.com/profile_banners/2472902226/1597107721")</f>
        <v>https://pbs.twimg.com/profile_banners/2472902226/1597107721</v>
      </c>
      <c r="AQ84" s="79" t="b">
        <v>1</v>
      </c>
      <c r="AR84" s="79" t="b">
        <v>0</v>
      </c>
      <c r="AS84" s="79" t="b">
        <v>1</v>
      </c>
      <c r="AT84" s="79"/>
      <c r="AU84" s="79">
        <v>5</v>
      </c>
      <c r="AV84" s="83" t="str">
        <f>HYPERLINK("https://abs.twimg.com/images/themes/theme1/bg.png")</f>
        <v>https://abs.twimg.com/images/themes/theme1/bg.png</v>
      </c>
      <c r="AW84" s="79" t="b">
        <v>0</v>
      </c>
      <c r="AX84" s="79" t="s">
        <v>1376</v>
      </c>
      <c r="AY84" s="83" t="str">
        <f>HYPERLINK("https://twitter.com/keyofe_pro")</f>
        <v>https://twitter.com/keyofe_pro</v>
      </c>
      <c r="AZ84" s="79" t="s">
        <v>66</v>
      </c>
      <c r="BA84" s="78" t="str">
        <f>REPLACE(INDEX(GroupVertices[Group], MATCH(Vertices[[#This Row],[Vertex]],GroupVertices[Vertex],0)),1,1,"")</f>
        <v>5</v>
      </c>
      <c r="BB84" s="49"/>
      <c r="BC84" s="49"/>
      <c r="BD84" s="49"/>
      <c r="BE84" s="49"/>
      <c r="BF84" s="49" t="s">
        <v>461</v>
      </c>
      <c r="BG84" s="49" t="s">
        <v>461</v>
      </c>
      <c r="BH84" s="137" t="s">
        <v>2012</v>
      </c>
      <c r="BI84" s="137" t="s">
        <v>2012</v>
      </c>
      <c r="BJ84" s="137" t="s">
        <v>2066</v>
      </c>
      <c r="BK84" s="137" t="s">
        <v>2066</v>
      </c>
      <c r="BL84" s="2"/>
      <c r="BM84" s="3"/>
      <c r="BN84" s="3"/>
      <c r="BO84" s="3"/>
      <c r="BP84" s="3"/>
    </row>
    <row r="85" spans="1:68" x14ac:dyDescent="0.25">
      <c r="A85" s="64" t="s">
        <v>309</v>
      </c>
      <c r="B85" s="65"/>
      <c r="C85" s="65"/>
      <c r="D85" s="66">
        <v>20</v>
      </c>
      <c r="E85" s="104"/>
      <c r="F85" s="96" t="str">
        <f>HYPERLINK("https://pbs.twimg.com/profile_images/947507025315028993/8kXpOwbE_normal.jpg")</f>
        <v>https://pbs.twimg.com/profile_images/947507025315028993/8kXpOwbE_normal.jpg</v>
      </c>
      <c r="G85" s="105"/>
      <c r="H85" s="69" t="s">
        <v>309</v>
      </c>
      <c r="I85" s="70"/>
      <c r="J85" s="106"/>
      <c r="K85" s="69" t="s">
        <v>1422</v>
      </c>
      <c r="L85" s="107">
        <v>1</v>
      </c>
      <c r="M85" s="74">
        <v>9746.5654296875</v>
      </c>
      <c r="N85" s="74">
        <v>6749.32568359375</v>
      </c>
      <c r="O85" s="75"/>
      <c r="P85" s="76"/>
      <c r="Q85" s="76"/>
      <c r="R85" s="88"/>
      <c r="S85" s="49">
        <v>1</v>
      </c>
      <c r="T85" s="49">
        <v>0</v>
      </c>
      <c r="U85" s="50">
        <v>0</v>
      </c>
      <c r="V85" s="50">
        <v>5.587E-3</v>
      </c>
      <c r="W85" s="50">
        <v>2.3249999999999998E-3</v>
      </c>
      <c r="X85" s="50">
        <v>0.49674000000000001</v>
      </c>
      <c r="Y85" s="50">
        <v>0</v>
      </c>
      <c r="Z85" s="50">
        <v>0</v>
      </c>
      <c r="AA85" s="71">
        <v>85</v>
      </c>
      <c r="AB85"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85" s="72"/>
      <c r="AD85" s="79" t="s">
        <v>999</v>
      </c>
      <c r="AE85" s="85" t="s">
        <v>1118</v>
      </c>
      <c r="AF85" s="79">
        <v>670</v>
      </c>
      <c r="AG85" s="79">
        <v>414</v>
      </c>
      <c r="AH85" s="79">
        <v>587</v>
      </c>
      <c r="AI85" s="79">
        <v>673</v>
      </c>
      <c r="AJ85" s="79"/>
      <c r="AK85" s="79" t="s">
        <v>1236</v>
      </c>
      <c r="AL85" s="79" t="s">
        <v>904</v>
      </c>
      <c r="AM85" s="83" t="str">
        <f>HYPERLINK("http://t.co/VCS8Fo3y39")</f>
        <v>http://t.co/VCS8Fo3y39</v>
      </c>
      <c r="AN85" s="79"/>
      <c r="AO85" s="81">
        <v>41731.739756944444</v>
      </c>
      <c r="AP85" s="83" t="str">
        <f>HYPERLINK("https://pbs.twimg.com/profile_banners/2424148879/1514738551")</f>
        <v>https://pbs.twimg.com/profile_banners/2424148879/1514738551</v>
      </c>
      <c r="AQ85" s="79" t="b">
        <v>0</v>
      </c>
      <c r="AR85" s="79" t="b">
        <v>0</v>
      </c>
      <c r="AS85" s="79" t="b">
        <v>1</v>
      </c>
      <c r="AT85" s="79"/>
      <c r="AU85" s="79">
        <v>20</v>
      </c>
      <c r="AV85" s="83" t="str">
        <f>HYPERLINK("https://abs.twimg.com/images/themes/theme6/bg.gif")</f>
        <v>https://abs.twimg.com/images/themes/theme6/bg.gif</v>
      </c>
      <c r="AW85" s="79" t="b">
        <v>0</v>
      </c>
      <c r="AX85" s="79" t="s">
        <v>1376</v>
      </c>
      <c r="AY85" s="83" t="str">
        <f>HYPERLINK("https://twitter.com/trioubms_neiu")</f>
        <v>https://twitter.com/trioubms_neiu</v>
      </c>
      <c r="AZ85" s="79" t="s">
        <v>65</v>
      </c>
      <c r="BA85" s="78" t="str">
        <f>REPLACE(INDEX(GroupVertices[Group], MATCH(Vertices[[#This Row],[Vertex]],GroupVertices[Vertex],0)),1,1,"")</f>
        <v>4</v>
      </c>
      <c r="BB85" s="49"/>
      <c r="BC85" s="49"/>
      <c r="BD85" s="49"/>
      <c r="BE85" s="49"/>
      <c r="BF85" s="49"/>
      <c r="BG85" s="49"/>
      <c r="BH85" s="49"/>
      <c r="BI85" s="49"/>
      <c r="BJ85" s="49"/>
      <c r="BK85" s="49"/>
      <c r="BL85" s="2"/>
      <c r="BM85" s="3"/>
      <c r="BN85" s="3"/>
      <c r="BO85" s="3"/>
      <c r="BP85" s="3"/>
    </row>
    <row r="86" spans="1:68" x14ac:dyDescent="0.25">
      <c r="A86" s="64" t="s">
        <v>284</v>
      </c>
      <c r="B86" s="65"/>
      <c r="C86" s="65"/>
      <c r="D86" s="66">
        <v>20</v>
      </c>
      <c r="E86" s="104"/>
      <c r="F86" s="96" t="str">
        <f>HYPERLINK("https://pbs.twimg.com/profile_images/1372636245281492992/uIjhEtk6_normal.jpg")</f>
        <v>https://pbs.twimg.com/profile_images/1372636245281492992/uIjhEtk6_normal.jpg</v>
      </c>
      <c r="G86" s="105"/>
      <c r="H86" s="69" t="s">
        <v>284</v>
      </c>
      <c r="I86" s="70"/>
      <c r="J86" s="106"/>
      <c r="K86" s="69" t="s">
        <v>1477</v>
      </c>
      <c r="L86" s="107">
        <v>1</v>
      </c>
      <c r="M86" s="74">
        <v>7634.5546875</v>
      </c>
      <c r="N86" s="74">
        <v>433.88262939453125</v>
      </c>
      <c r="O86" s="75"/>
      <c r="P86" s="76"/>
      <c r="Q86" s="76"/>
      <c r="R86" s="88"/>
      <c r="S86" s="49">
        <v>1</v>
      </c>
      <c r="T86" s="49">
        <v>2</v>
      </c>
      <c r="U86" s="50">
        <v>0</v>
      </c>
      <c r="V86" s="50">
        <v>1</v>
      </c>
      <c r="W86" s="50">
        <v>0</v>
      </c>
      <c r="X86" s="50">
        <v>1.2982400000000001</v>
      </c>
      <c r="Y86" s="50">
        <v>0</v>
      </c>
      <c r="Z86" s="50">
        <v>0</v>
      </c>
      <c r="AA86" s="71">
        <v>86</v>
      </c>
      <c r="AB86"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86" s="72"/>
      <c r="AD86" s="79" t="s">
        <v>1054</v>
      </c>
      <c r="AE86" s="85" t="s">
        <v>1172</v>
      </c>
      <c r="AF86" s="79">
        <v>1254</v>
      </c>
      <c r="AG86" s="79">
        <v>378</v>
      </c>
      <c r="AH86" s="79">
        <v>1119</v>
      </c>
      <c r="AI86" s="79">
        <v>1458</v>
      </c>
      <c r="AJ86" s="79"/>
      <c r="AK86" s="79" t="s">
        <v>1287</v>
      </c>
      <c r="AL86" s="79" t="s">
        <v>1364</v>
      </c>
      <c r="AM86" s="83" t="str">
        <f>HYPERLINK("https://t.co/ejNfF7BZ0O")</f>
        <v>https://t.co/ejNfF7BZ0O</v>
      </c>
      <c r="AN86" s="79"/>
      <c r="AO86" s="81">
        <v>42419.967280092591</v>
      </c>
      <c r="AP86" s="83" t="str">
        <f>HYPERLINK("https://pbs.twimg.com/profile_banners/700820379086917632/1617477557")</f>
        <v>https://pbs.twimg.com/profile_banners/700820379086917632/1617477557</v>
      </c>
      <c r="AQ86" s="79" t="b">
        <v>1</v>
      </c>
      <c r="AR86" s="79" t="b">
        <v>0</v>
      </c>
      <c r="AS86" s="79" t="b">
        <v>0</v>
      </c>
      <c r="AT86" s="79"/>
      <c r="AU86" s="79">
        <v>5</v>
      </c>
      <c r="AV86" s="79"/>
      <c r="AW86" s="79" t="b">
        <v>0</v>
      </c>
      <c r="AX86" s="79" t="s">
        <v>1376</v>
      </c>
      <c r="AY86" s="83" t="str">
        <f>HYPERLINK("https://twitter.com/success_prints")</f>
        <v>https://twitter.com/success_prints</v>
      </c>
      <c r="AZ86" s="79" t="s">
        <v>66</v>
      </c>
      <c r="BA86" s="78" t="str">
        <f>REPLACE(INDEX(GroupVertices[Group], MATCH(Vertices[[#This Row],[Vertex]],GroupVertices[Vertex],0)),1,1,"")</f>
        <v>15</v>
      </c>
      <c r="BB86" s="49" t="s">
        <v>1624</v>
      </c>
      <c r="BC86" s="49" t="s">
        <v>1624</v>
      </c>
      <c r="BD86" s="49" t="s">
        <v>451</v>
      </c>
      <c r="BE86" s="49" t="s">
        <v>451</v>
      </c>
      <c r="BF86" s="49" t="s">
        <v>1710</v>
      </c>
      <c r="BG86" s="49" t="s">
        <v>1984</v>
      </c>
      <c r="BH86" s="137" t="s">
        <v>2013</v>
      </c>
      <c r="BI86" s="137" t="s">
        <v>2013</v>
      </c>
      <c r="BJ86" s="137" t="s">
        <v>2067</v>
      </c>
      <c r="BK86" s="137" t="s">
        <v>2067</v>
      </c>
      <c r="BL86" s="2"/>
      <c r="BM86" s="3"/>
      <c r="BN86" s="3"/>
      <c r="BO86" s="3"/>
      <c r="BP86" s="3"/>
    </row>
    <row r="87" spans="1:68" x14ac:dyDescent="0.25">
      <c r="A87" s="64" t="s">
        <v>288</v>
      </c>
      <c r="B87" s="65"/>
      <c r="C87" s="65"/>
      <c r="D87" s="66">
        <v>20</v>
      </c>
      <c r="E87" s="104"/>
      <c r="F87" s="96" t="str">
        <f>HYPERLINK("https://pbs.twimg.com/profile_images/519942229318594561/V929JwX6_normal.jpeg")</f>
        <v>https://pbs.twimg.com/profile_images/519942229318594561/V929JwX6_normal.jpeg</v>
      </c>
      <c r="G87" s="105"/>
      <c r="H87" s="69" t="s">
        <v>288</v>
      </c>
      <c r="I87" s="70"/>
      <c r="J87" s="106"/>
      <c r="K87" s="69" t="s">
        <v>1405</v>
      </c>
      <c r="L87" s="107">
        <v>1</v>
      </c>
      <c r="M87" s="74">
        <v>1229.28173828125</v>
      </c>
      <c r="N87" s="74">
        <v>7070.59716796875</v>
      </c>
      <c r="O87" s="75"/>
      <c r="P87" s="76"/>
      <c r="Q87" s="76"/>
      <c r="R87" s="88"/>
      <c r="S87" s="49">
        <v>3</v>
      </c>
      <c r="T87" s="49">
        <v>3</v>
      </c>
      <c r="U87" s="50">
        <v>0</v>
      </c>
      <c r="V87" s="50">
        <v>7.3530000000000002E-3</v>
      </c>
      <c r="W87" s="50">
        <v>2.6634999999999999E-2</v>
      </c>
      <c r="X87" s="50">
        <v>1.0124679999999999</v>
      </c>
      <c r="Y87" s="50">
        <v>0.66666666666666663</v>
      </c>
      <c r="Z87" s="50">
        <v>0.33333333333333331</v>
      </c>
      <c r="AA87" s="71">
        <v>87</v>
      </c>
      <c r="AB87"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87" s="72"/>
      <c r="AD87" s="79" t="s">
        <v>982</v>
      </c>
      <c r="AE87" s="85" t="s">
        <v>1103</v>
      </c>
      <c r="AF87" s="79">
        <v>548</v>
      </c>
      <c r="AG87" s="79">
        <v>348</v>
      </c>
      <c r="AH87" s="79">
        <v>965</v>
      </c>
      <c r="AI87" s="79">
        <v>455</v>
      </c>
      <c r="AJ87" s="79"/>
      <c r="AK87" s="79" t="s">
        <v>1219</v>
      </c>
      <c r="AL87" s="79" t="s">
        <v>1323</v>
      </c>
      <c r="AM87" s="83" t="str">
        <f>HYPERLINK("https://t.co/2DTp8iMk9Q")</f>
        <v>https://t.co/2DTp8iMk9Q</v>
      </c>
      <c r="AN87" s="79"/>
      <c r="AO87" s="81">
        <v>41919.79184027778</v>
      </c>
      <c r="AP87" s="83" t="str">
        <f>HYPERLINK("https://pbs.twimg.com/profile_banners/2844297314/1533848534")</f>
        <v>https://pbs.twimg.com/profile_banners/2844297314/1533848534</v>
      </c>
      <c r="AQ87" s="79" t="b">
        <v>0</v>
      </c>
      <c r="AR87" s="79" t="b">
        <v>0</v>
      </c>
      <c r="AS87" s="79" t="b">
        <v>1</v>
      </c>
      <c r="AT87" s="79"/>
      <c r="AU87" s="79">
        <v>1</v>
      </c>
      <c r="AV87" s="83" t="str">
        <f>HYPERLINK("https://abs.twimg.com/images/themes/theme1/bg.png")</f>
        <v>https://abs.twimg.com/images/themes/theme1/bg.png</v>
      </c>
      <c r="AW87" s="79" t="b">
        <v>0</v>
      </c>
      <c r="AX87" s="79" t="s">
        <v>1376</v>
      </c>
      <c r="AY87" s="83" t="str">
        <f>HYPERLINK("https://twitter.com/indianatrio")</f>
        <v>https://twitter.com/indianatrio</v>
      </c>
      <c r="AZ87" s="79" t="s">
        <v>66</v>
      </c>
      <c r="BA87" s="78" t="str">
        <f>REPLACE(INDEX(GroupVertices[Group], MATCH(Vertices[[#This Row],[Vertex]],GroupVertices[Vertex],0)),1,1,"")</f>
        <v>1</v>
      </c>
      <c r="BB87" s="49" t="s">
        <v>1960</v>
      </c>
      <c r="BC87" s="49" t="s">
        <v>1960</v>
      </c>
      <c r="BD87" s="49" t="s">
        <v>1966</v>
      </c>
      <c r="BE87" s="49" t="s">
        <v>1966</v>
      </c>
      <c r="BF87" s="49" t="s">
        <v>1974</v>
      </c>
      <c r="BG87" s="49" t="s">
        <v>485</v>
      </c>
      <c r="BH87" s="137" t="s">
        <v>2014</v>
      </c>
      <c r="BI87" s="137" t="s">
        <v>2014</v>
      </c>
      <c r="BJ87" s="137" t="s">
        <v>2068</v>
      </c>
      <c r="BK87" s="137" t="s">
        <v>2068</v>
      </c>
      <c r="BL87" s="2"/>
      <c r="BM87" s="3"/>
      <c r="BN87" s="3"/>
      <c r="BO87" s="3"/>
      <c r="BP87" s="3"/>
    </row>
    <row r="88" spans="1:68" x14ac:dyDescent="0.25">
      <c r="A88" s="64" t="s">
        <v>271</v>
      </c>
      <c r="B88" s="65"/>
      <c r="C88" s="65"/>
      <c r="D88" s="66">
        <v>20</v>
      </c>
      <c r="E88" s="104"/>
      <c r="F88" s="96" t="str">
        <f>HYPERLINK("https://pbs.twimg.com/profile_images/1264752211722153990/RfI7Eg7i_normal.jpg")</f>
        <v>https://pbs.twimg.com/profile_images/1264752211722153990/RfI7Eg7i_normal.jpg</v>
      </c>
      <c r="G88" s="105"/>
      <c r="H88" s="69" t="s">
        <v>271</v>
      </c>
      <c r="I88" s="70"/>
      <c r="J88" s="106"/>
      <c r="K88" s="69" t="s">
        <v>1463</v>
      </c>
      <c r="L88" s="107">
        <v>1</v>
      </c>
      <c r="M88" s="74">
        <v>911.7354736328125</v>
      </c>
      <c r="N88" s="74">
        <v>1997.298583984375</v>
      </c>
      <c r="O88" s="75"/>
      <c r="P88" s="76"/>
      <c r="Q88" s="76"/>
      <c r="R88" s="88"/>
      <c r="S88" s="49">
        <v>0</v>
      </c>
      <c r="T88" s="49">
        <v>2</v>
      </c>
      <c r="U88" s="50">
        <v>0</v>
      </c>
      <c r="V88" s="50">
        <v>7.2459999999999998E-3</v>
      </c>
      <c r="W88" s="50">
        <v>2.0239E-2</v>
      </c>
      <c r="X88" s="50">
        <v>0.56255900000000003</v>
      </c>
      <c r="Y88" s="50">
        <v>1</v>
      </c>
      <c r="Z88" s="50">
        <v>0</v>
      </c>
      <c r="AA88" s="71">
        <v>88</v>
      </c>
      <c r="AB88"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88" s="72"/>
      <c r="AD88" s="79" t="s">
        <v>1040</v>
      </c>
      <c r="AE88" s="85" t="s">
        <v>1158</v>
      </c>
      <c r="AF88" s="79">
        <v>3199</v>
      </c>
      <c r="AG88" s="79">
        <v>332</v>
      </c>
      <c r="AH88" s="79">
        <v>729873</v>
      </c>
      <c r="AI88" s="79">
        <v>646770</v>
      </c>
      <c r="AJ88" s="79"/>
      <c r="AK88" s="79" t="s">
        <v>1275</v>
      </c>
      <c r="AL88" s="79" t="s">
        <v>902</v>
      </c>
      <c r="AM88" s="79"/>
      <c r="AN88" s="79"/>
      <c r="AO88" s="81">
        <v>42445.805462962962</v>
      </c>
      <c r="AP88" s="83" t="str">
        <f>HYPERLINK("https://pbs.twimg.com/profile_banners/710183821120020481/1590375264")</f>
        <v>https://pbs.twimg.com/profile_banners/710183821120020481/1590375264</v>
      </c>
      <c r="AQ88" s="79" t="b">
        <v>1</v>
      </c>
      <c r="AR88" s="79" t="b">
        <v>0</v>
      </c>
      <c r="AS88" s="79" t="b">
        <v>0</v>
      </c>
      <c r="AT88" s="79"/>
      <c r="AU88" s="79">
        <v>24</v>
      </c>
      <c r="AV88" s="79"/>
      <c r="AW88" s="79" t="b">
        <v>0</v>
      </c>
      <c r="AX88" s="79" t="s">
        <v>1376</v>
      </c>
      <c r="AY88" s="83" t="str">
        <f>HYPERLINK("https://twitter.com/shirley10090505")</f>
        <v>https://twitter.com/shirley10090505</v>
      </c>
      <c r="AZ88" s="79" t="s">
        <v>66</v>
      </c>
      <c r="BA88" s="78" t="str">
        <f>REPLACE(INDEX(GroupVertices[Group], MATCH(Vertices[[#This Row],[Vertex]],GroupVertices[Vertex],0)),1,1,"")</f>
        <v>1</v>
      </c>
      <c r="BB88" s="49"/>
      <c r="BC88" s="49"/>
      <c r="BD88" s="49"/>
      <c r="BE88" s="49"/>
      <c r="BF88" s="49" t="s">
        <v>461</v>
      </c>
      <c r="BG88" s="49" t="s">
        <v>461</v>
      </c>
      <c r="BH88" s="137" t="s">
        <v>2000</v>
      </c>
      <c r="BI88" s="137" t="s">
        <v>2000</v>
      </c>
      <c r="BJ88" s="137" t="s">
        <v>2055</v>
      </c>
      <c r="BK88" s="137" t="s">
        <v>2055</v>
      </c>
      <c r="BL88" s="2"/>
      <c r="BM88" s="3"/>
      <c r="BN88" s="3"/>
      <c r="BO88" s="3"/>
      <c r="BP88" s="3"/>
    </row>
    <row r="89" spans="1:68" x14ac:dyDescent="0.25">
      <c r="A89" s="64" t="s">
        <v>316</v>
      </c>
      <c r="B89" s="65"/>
      <c r="C89" s="65"/>
      <c r="D89" s="66">
        <v>20</v>
      </c>
      <c r="E89" s="104"/>
      <c r="F89" s="96" t="str">
        <f>HYPERLINK("https://pbs.twimg.com/profile_images/628326009750880256/CxfzS6gE_normal.jpg")</f>
        <v>https://pbs.twimg.com/profile_images/628326009750880256/CxfzS6gE_normal.jpg</v>
      </c>
      <c r="G89" s="105"/>
      <c r="H89" s="69" t="s">
        <v>316</v>
      </c>
      <c r="I89" s="70"/>
      <c r="J89" s="106"/>
      <c r="K89" s="69" t="s">
        <v>1429</v>
      </c>
      <c r="L89" s="107">
        <v>1</v>
      </c>
      <c r="M89" s="74">
        <v>8025.31396484375</v>
      </c>
      <c r="N89" s="74">
        <v>9565.1171875</v>
      </c>
      <c r="O89" s="75"/>
      <c r="P89" s="76"/>
      <c r="Q89" s="76"/>
      <c r="R89" s="88"/>
      <c r="S89" s="49">
        <v>1</v>
      </c>
      <c r="T89" s="49">
        <v>0</v>
      </c>
      <c r="U89" s="50">
        <v>0</v>
      </c>
      <c r="V89" s="50">
        <v>5.587E-3</v>
      </c>
      <c r="W89" s="50">
        <v>2.3249999999999998E-3</v>
      </c>
      <c r="X89" s="50">
        <v>0.49674000000000001</v>
      </c>
      <c r="Y89" s="50">
        <v>0</v>
      </c>
      <c r="Z89" s="50">
        <v>0</v>
      </c>
      <c r="AA89" s="71">
        <v>89</v>
      </c>
      <c r="AB89"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89" s="72"/>
      <c r="AD89" s="79" t="s">
        <v>1006</v>
      </c>
      <c r="AE89" s="85" t="s">
        <v>1125</v>
      </c>
      <c r="AF89" s="79">
        <v>242</v>
      </c>
      <c r="AG89" s="79">
        <v>306</v>
      </c>
      <c r="AH89" s="79">
        <v>541</v>
      </c>
      <c r="AI89" s="79">
        <v>144</v>
      </c>
      <c r="AJ89" s="79"/>
      <c r="AK89" s="79" t="s">
        <v>1242</v>
      </c>
      <c r="AL89" s="79"/>
      <c r="AM89" s="83" t="str">
        <f>HYPERLINK("http://t.co/4VWDXjW8az")</f>
        <v>http://t.co/4VWDXjW8az</v>
      </c>
      <c r="AN89" s="79"/>
      <c r="AO89" s="81">
        <v>41013.655115740738</v>
      </c>
      <c r="AP89" s="83" t="str">
        <f>HYPERLINK("https://pbs.twimg.com/profile_banners/553628533/1438639585")</f>
        <v>https://pbs.twimg.com/profile_banners/553628533/1438639585</v>
      </c>
      <c r="AQ89" s="79" t="b">
        <v>0</v>
      </c>
      <c r="AR89" s="79" t="b">
        <v>0</v>
      </c>
      <c r="AS89" s="79" t="b">
        <v>0</v>
      </c>
      <c r="AT89" s="79"/>
      <c r="AU89" s="79">
        <v>8</v>
      </c>
      <c r="AV89" s="83" t="str">
        <f>HYPERLINK("https://abs.twimg.com/images/themes/theme18/bg.gif")</f>
        <v>https://abs.twimg.com/images/themes/theme18/bg.gif</v>
      </c>
      <c r="AW89" s="79" t="b">
        <v>0</v>
      </c>
      <c r="AX89" s="79" t="s">
        <v>1376</v>
      </c>
      <c r="AY89" s="83" t="str">
        <f>HYPERLINK("https://twitter.com/neiuelcentro")</f>
        <v>https://twitter.com/neiuelcentro</v>
      </c>
      <c r="AZ89" s="79" t="s">
        <v>65</v>
      </c>
      <c r="BA89" s="78" t="str">
        <f>REPLACE(INDEX(GroupVertices[Group], MATCH(Vertices[[#This Row],[Vertex]],GroupVertices[Vertex],0)),1,1,"")</f>
        <v>4</v>
      </c>
      <c r="BB89" s="49"/>
      <c r="BC89" s="49"/>
      <c r="BD89" s="49"/>
      <c r="BE89" s="49"/>
      <c r="BF89" s="49"/>
      <c r="BG89" s="49"/>
      <c r="BH89" s="49"/>
      <c r="BI89" s="49"/>
      <c r="BJ89" s="49"/>
      <c r="BK89" s="49"/>
      <c r="BL89" s="2"/>
      <c r="BM89" s="3"/>
      <c r="BN89" s="3"/>
      <c r="BO89" s="3"/>
      <c r="BP89" s="3"/>
    </row>
    <row r="90" spans="1:68" x14ac:dyDescent="0.25">
      <c r="A90" s="64" t="s">
        <v>319</v>
      </c>
      <c r="B90" s="65"/>
      <c r="C90" s="65"/>
      <c r="D90" s="66">
        <v>20</v>
      </c>
      <c r="E90" s="104"/>
      <c r="F90" s="96" t="str">
        <f>HYPERLINK("https://pbs.twimg.com/profile_images/1130656726343196677/j88_cAS__normal.jpg")</f>
        <v>https://pbs.twimg.com/profile_images/1130656726343196677/j88_cAS__normal.jpg</v>
      </c>
      <c r="G90" s="105"/>
      <c r="H90" s="69" t="s">
        <v>319</v>
      </c>
      <c r="I90" s="70"/>
      <c r="J90" s="106"/>
      <c r="K90" s="69" t="s">
        <v>1446</v>
      </c>
      <c r="L90" s="107">
        <v>1</v>
      </c>
      <c r="M90" s="74">
        <v>6708.7294921875</v>
      </c>
      <c r="N90" s="74">
        <v>6471.57568359375</v>
      </c>
      <c r="O90" s="75"/>
      <c r="P90" s="76"/>
      <c r="Q90" s="76"/>
      <c r="R90" s="88"/>
      <c r="S90" s="49">
        <v>1</v>
      </c>
      <c r="T90" s="49">
        <v>0</v>
      </c>
      <c r="U90" s="50">
        <v>0</v>
      </c>
      <c r="V90" s="50">
        <v>0.14285700000000001</v>
      </c>
      <c r="W90" s="50">
        <v>0</v>
      </c>
      <c r="X90" s="50">
        <v>0.463171</v>
      </c>
      <c r="Y90" s="50">
        <v>0</v>
      </c>
      <c r="Z90" s="50">
        <v>0</v>
      </c>
      <c r="AA90" s="71">
        <v>90</v>
      </c>
      <c r="AB90"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90" s="72"/>
      <c r="AD90" s="79" t="s">
        <v>1023</v>
      </c>
      <c r="AE90" s="85" t="s">
        <v>1142</v>
      </c>
      <c r="AF90" s="79">
        <v>127</v>
      </c>
      <c r="AG90" s="79">
        <v>297</v>
      </c>
      <c r="AH90" s="79">
        <v>337</v>
      </c>
      <c r="AI90" s="79">
        <v>84</v>
      </c>
      <c r="AJ90" s="79"/>
      <c r="AK90" s="79" t="s">
        <v>1259</v>
      </c>
      <c r="AL90" s="79"/>
      <c r="AM90" s="83" t="str">
        <f>HYPERLINK("https://t.co/46xo8HD5D8")</f>
        <v>https://t.co/46xo8HD5D8</v>
      </c>
      <c r="AN90" s="79"/>
      <c r="AO90" s="81">
        <v>42316.029374999998</v>
      </c>
      <c r="AP90" s="83" t="str">
        <f>HYPERLINK("https://pbs.twimg.com/profile_banners/4138018397/1558400948")</f>
        <v>https://pbs.twimg.com/profile_banners/4138018397/1558400948</v>
      </c>
      <c r="AQ90" s="79" t="b">
        <v>0</v>
      </c>
      <c r="AR90" s="79" t="b">
        <v>0</v>
      </c>
      <c r="AS90" s="79" t="b">
        <v>0</v>
      </c>
      <c r="AT90" s="79"/>
      <c r="AU90" s="79">
        <v>3</v>
      </c>
      <c r="AV90" s="83" t="str">
        <f>HYPERLINK("https://abs.twimg.com/images/themes/theme1/bg.png")</f>
        <v>https://abs.twimg.com/images/themes/theme1/bg.png</v>
      </c>
      <c r="AW90" s="79" t="b">
        <v>0</v>
      </c>
      <c r="AX90" s="79" t="s">
        <v>1376</v>
      </c>
      <c r="AY90" s="83" t="str">
        <f>HYPERLINK("https://twitter.com/trillornottrill")</f>
        <v>https://twitter.com/trillornottrill</v>
      </c>
      <c r="AZ90" s="79" t="s">
        <v>65</v>
      </c>
      <c r="BA90" s="78" t="str">
        <f>REPLACE(INDEX(GroupVertices[Group], MATCH(Vertices[[#This Row],[Vertex]],GroupVertices[Vertex],0)),1,1,"")</f>
        <v>8</v>
      </c>
      <c r="BB90" s="49"/>
      <c r="BC90" s="49"/>
      <c r="BD90" s="49"/>
      <c r="BE90" s="49"/>
      <c r="BF90" s="49"/>
      <c r="BG90" s="49"/>
      <c r="BH90" s="49"/>
      <c r="BI90" s="49"/>
      <c r="BJ90" s="49"/>
      <c r="BK90" s="49"/>
      <c r="BL90" s="2"/>
      <c r="BM90" s="3"/>
      <c r="BN90" s="3"/>
      <c r="BO90" s="3"/>
      <c r="BP90" s="3"/>
    </row>
    <row r="91" spans="1:68" x14ac:dyDescent="0.25">
      <c r="A91" s="64" t="s">
        <v>296</v>
      </c>
      <c r="B91" s="65"/>
      <c r="C91" s="65"/>
      <c r="D91" s="66">
        <v>20</v>
      </c>
      <c r="E91" s="104"/>
      <c r="F91" s="96" t="str">
        <f>HYPERLINK("https://pbs.twimg.com/profile_images/1417935713358606339/6UqPr9Cs_normal.jpg")</f>
        <v>https://pbs.twimg.com/profile_images/1417935713358606339/6UqPr9Cs_normal.jpg</v>
      </c>
      <c r="G91" s="105"/>
      <c r="H91" s="69" t="s">
        <v>296</v>
      </c>
      <c r="I91" s="70"/>
      <c r="J91" s="106"/>
      <c r="K91" s="69" t="s">
        <v>1491</v>
      </c>
      <c r="L91" s="107">
        <v>1</v>
      </c>
      <c r="M91" s="74">
        <v>9258.330078125</v>
      </c>
      <c r="N91" s="74">
        <v>2388.65185546875</v>
      </c>
      <c r="O91" s="75"/>
      <c r="P91" s="76"/>
      <c r="Q91" s="76"/>
      <c r="R91" s="88"/>
      <c r="S91" s="49">
        <v>1</v>
      </c>
      <c r="T91" s="49">
        <v>2</v>
      </c>
      <c r="U91" s="50">
        <v>0</v>
      </c>
      <c r="V91" s="50">
        <v>1</v>
      </c>
      <c r="W91" s="50">
        <v>0</v>
      </c>
      <c r="X91" s="50">
        <v>1.2982400000000001</v>
      </c>
      <c r="Y91" s="50">
        <v>0</v>
      </c>
      <c r="Z91" s="50">
        <v>0</v>
      </c>
      <c r="AA91" s="71">
        <v>91</v>
      </c>
      <c r="AB91"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91" s="72"/>
      <c r="AD91" s="79" t="s">
        <v>1068</v>
      </c>
      <c r="AE91" s="85" t="s">
        <v>1184</v>
      </c>
      <c r="AF91" s="79">
        <v>141</v>
      </c>
      <c r="AG91" s="79">
        <v>286</v>
      </c>
      <c r="AH91" s="79">
        <v>615</v>
      </c>
      <c r="AI91" s="79">
        <v>225</v>
      </c>
      <c r="AJ91" s="79"/>
      <c r="AK91" s="79" t="s">
        <v>1301</v>
      </c>
      <c r="AL91" s="79" t="s">
        <v>1373</v>
      </c>
      <c r="AM91" s="83" t="str">
        <f>HYPERLINK("https://t.co/yXfqrkwcwv")</f>
        <v>https://t.co/yXfqrkwcwv</v>
      </c>
      <c r="AN91" s="79"/>
      <c r="AO91" s="81">
        <v>42163.743217592593</v>
      </c>
      <c r="AP91" s="83" t="str">
        <f>HYPERLINK("https://pbs.twimg.com/profile_banners/3313659532/1493214258")</f>
        <v>https://pbs.twimg.com/profile_banners/3313659532/1493214258</v>
      </c>
      <c r="AQ91" s="79" t="b">
        <v>0</v>
      </c>
      <c r="AR91" s="79" t="b">
        <v>0</v>
      </c>
      <c r="AS91" s="79" t="b">
        <v>0</v>
      </c>
      <c r="AT91" s="79"/>
      <c r="AU91" s="79">
        <v>3</v>
      </c>
      <c r="AV91" s="83" t="str">
        <f>HYPERLINK("https://abs.twimg.com/images/themes/theme1/bg.png")</f>
        <v>https://abs.twimg.com/images/themes/theme1/bg.png</v>
      </c>
      <c r="AW91" s="79" t="b">
        <v>0</v>
      </c>
      <c r="AX91" s="79" t="s">
        <v>1376</v>
      </c>
      <c r="AY91" s="83" t="str">
        <f>HYPERLINK("https://twitter.com/eku_nova")</f>
        <v>https://twitter.com/eku_nova</v>
      </c>
      <c r="AZ91" s="79" t="s">
        <v>66</v>
      </c>
      <c r="BA91" s="78" t="str">
        <f>REPLACE(INDEX(GroupVertices[Group], MATCH(Vertices[[#This Row],[Vertex]],GroupVertices[Vertex],0)),1,1,"")</f>
        <v>11</v>
      </c>
      <c r="BB91" s="49"/>
      <c r="BC91" s="49"/>
      <c r="BD91" s="49"/>
      <c r="BE91" s="49"/>
      <c r="BF91" s="49" t="s">
        <v>1709</v>
      </c>
      <c r="BG91" s="49" t="s">
        <v>1985</v>
      </c>
      <c r="BH91" s="137" t="s">
        <v>2015</v>
      </c>
      <c r="BI91" s="137" t="s">
        <v>2040</v>
      </c>
      <c r="BJ91" s="137" t="s">
        <v>2069</v>
      </c>
      <c r="BK91" s="137" t="s">
        <v>2088</v>
      </c>
      <c r="BL91" s="2"/>
      <c r="BM91" s="3"/>
      <c r="BN91" s="3"/>
      <c r="BO91" s="3"/>
      <c r="BP91" s="3"/>
    </row>
    <row r="92" spans="1:68" x14ac:dyDescent="0.25">
      <c r="A92" s="64" t="s">
        <v>281</v>
      </c>
      <c r="B92" s="65"/>
      <c r="C92" s="65"/>
      <c r="D92" s="66">
        <v>20</v>
      </c>
      <c r="E92" s="104"/>
      <c r="F92" s="96" t="str">
        <f>HYPERLINK("https://pbs.twimg.com/profile_images/1343196765785366528/G-0pwOp-_normal.jpg")</f>
        <v>https://pbs.twimg.com/profile_images/1343196765785366528/G-0pwOp-_normal.jpg</v>
      </c>
      <c r="G92" s="105"/>
      <c r="H92" s="69" t="s">
        <v>281</v>
      </c>
      <c r="I92" s="70"/>
      <c r="J92" s="106"/>
      <c r="K92" s="69" t="s">
        <v>1474</v>
      </c>
      <c r="L92" s="107">
        <v>1</v>
      </c>
      <c r="M92" s="74">
        <v>1355.090576171875</v>
      </c>
      <c r="N92" s="74">
        <v>9427.9990234375</v>
      </c>
      <c r="O92" s="75"/>
      <c r="P92" s="76"/>
      <c r="Q92" s="76"/>
      <c r="R92" s="88"/>
      <c r="S92" s="49">
        <v>0</v>
      </c>
      <c r="T92" s="49">
        <v>2</v>
      </c>
      <c r="U92" s="50">
        <v>0</v>
      </c>
      <c r="V92" s="50">
        <v>7.2989999999999999E-3</v>
      </c>
      <c r="W92" s="50">
        <v>1.7802999999999999E-2</v>
      </c>
      <c r="X92" s="50">
        <v>0.58245199999999997</v>
      </c>
      <c r="Y92" s="50">
        <v>0.5</v>
      </c>
      <c r="Z92" s="50">
        <v>0</v>
      </c>
      <c r="AA92" s="71">
        <v>92</v>
      </c>
      <c r="AB92"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92" s="72"/>
      <c r="AD92" s="79" t="s">
        <v>1051</v>
      </c>
      <c r="AE92" s="85" t="s">
        <v>1169</v>
      </c>
      <c r="AF92" s="79">
        <v>1033</v>
      </c>
      <c r="AG92" s="79">
        <v>269</v>
      </c>
      <c r="AH92" s="79">
        <v>1318</v>
      </c>
      <c r="AI92" s="79">
        <v>4491</v>
      </c>
      <c r="AJ92" s="79"/>
      <c r="AK92" s="79" t="s">
        <v>1284</v>
      </c>
      <c r="AL92" s="79"/>
      <c r="AM92" s="79"/>
      <c r="AN92" s="79"/>
      <c r="AO92" s="81">
        <v>41274.054965277777</v>
      </c>
      <c r="AP92" s="83" t="str">
        <f>HYPERLINK("https://pbs.twimg.com/profile_banners/1049187390/1609140220")</f>
        <v>https://pbs.twimg.com/profile_banners/1049187390/1609140220</v>
      </c>
      <c r="AQ92" s="79" t="b">
        <v>1</v>
      </c>
      <c r="AR92" s="79" t="b">
        <v>0</v>
      </c>
      <c r="AS92" s="79" t="b">
        <v>1</v>
      </c>
      <c r="AT92" s="79"/>
      <c r="AU92" s="79">
        <v>1</v>
      </c>
      <c r="AV92" s="83" t="str">
        <f>HYPERLINK("https://abs.twimg.com/images/themes/theme1/bg.png")</f>
        <v>https://abs.twimg.com/images/themes/theme1/bg.png</v>
      </c>
      <c r="AW92" s="79" t="b">
        <v>0</v>
      </c>
      <c r="AX92" s="79" t="s">
        <v>1376</v>
      </c>
      <c r="AY92" s="83" t="str">
        <f>HYPERLINK("https://twitter.com/divinelyteressa")</f>
        <v>https://twitter.com/divinelyteressa</v>
      </c>
      <c r="AZ92" s="79" t="s">
        <v>66</v>
      </c>
      <c r="BA92" s="78" t="str">
        <f>REPLACE(INDEX(GroupVertices[Group], MATCH(Vertices[[#This Row],[Vertex]],GroupVertices[Vertex],0)),1,1,"")</f>
        <v>1</v>
      </c>
      <c r="BB92" s="49"/>
      <c r="BC92" s="49"/>
      <c r="BD92" s="49"/>
      <c r="BE92" s="49"/>
      <c r="BF92" s="49" t="s">
        <v>461</v>
      </c>
      <c r="BG92" s="49" t="s">
        <v>461</v>
      </c>
      <c r="BH92" s="137" t="s">
        <v>1994</v>
      </c>
      <c r="BI92" s="137" t="s">
        <v>1994</v>
      </c>
      <c r="BJ92" s="137" t="s">
        <v>2049</v>
      </c>
      <c r="BK92" s="137" t="s">
        <v>2049</v>
      </c>
      <c r="BL92" s="2"/>
      <c r="BM92" s="3"/>
      <c r="BN92" s="3"/>
      <c r="BO92" s="3"/>
      <c r="BP92" s="3"/>
    </row>
    <row r="93" spans="1:68" x14ac:dyDescent="0.25">
      <c r="A93" s="64" t="s">
        <v>297</v>
      </c>
      <c r="B93" s="65"/>
      <c r="C93" s="65"/>
      <c r="D93" s="66">
        <v>20</v>
      </c>
      <c r="E93" s="104"/>
      <c r="F93" s="96" t="str">
        <f>HYPERLINK("https://pbs.twimg.com/profile_images/1190697450228584449/9iO4Mhxr_normal.jpg")</f>
        <v>https://pbs.twimg.com/profile_images/1190697450228584449/9iO4Mhxr_normal.jpg</v>
      </c>
      <c r="G93" s="105"/>
      <c r="H93" s="69" t="s">
        <v>297</v>
      </c>
      <c r="I93" s="70"/>
      <c r="J93" s="106"/>
      <c r="K93" s="69" t="s">
        <v>1493</v>
      </c>
      <c r="L93" s="107">
        <v>1</v>
      </c>
      <c r="M93" s="74">
        <v>8375.21484375</v>
      </c>
      <c r="N93" s="74">
        <v>4249.583984375</v>
      </c>
      <c r="O93" s="75"/>
      <c r="P93" s="76"/>
      <c r="Q93" s="76"/>
      <c r="R93" s="88"/>
      <c r="S93" s="49">
        <v>1</v>
      </c>
      <c r="T93" s="49">
        <v>2</v>
      </c>
      <c r="U93" s="50">
        <v>0</v>
      </c>
      <c r="V93" s="50">
        <v>1</v>
      </c>
      <c r="W93" s="50">
        <v>0</v>
      </c>
      <c r="X93" s="50">
        <v>1.2982400000000001</v>
      </c>
      <c r="Y93" s="50">
        <v>0</v>
      </c>
      <c r="Z93" s="50">
        <v>0</v>
      </c>
      <c r="AA93" s="71">
        <v>93</v>
      </c>
      <c r="AB93"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93" s="72"/>
      <c r="AD93" s="79" t="s">
        <v>1070</v>
      </c>
      <c r="AE93" s="85" t="s">
        <v>1186</v>
      </c>
      <c r="AF93" s="79">
        <v>371</v>
      </c>
      <c r="AG93" s="79">
        <v>208</v>
      </c>
      <c r="AH93" s="79">
        <v>1228</v>
      </c>
      <c r="AI93" s="79">
        <v>7665</v>
      </c>
      <c r="AJ93" s="79"/>
      <c r="AK93" s="79" t="s">
        <v>1303</v>
      </c>
      <c r="AL93" s="79"/>
      <c r="AM93" s="79"/>
      <c r="AN93" s="79"/>
      <c r="AO93" s="81">
        <v>42406.899687500001</v>
      </c>
      <c r="AP93" s="83" t="str">
        <f>HYPERLINK("https://pbs.twimg.com/profile_banners/4883093687/1572719370")</f>
        <v>https://pbs.twimg.com/profile_banners/4883093687/1572719370</v>
      </c>
      <c r="AQ93" s="79" t="b">
        <v>1</v>
      </c>
      <c r="AR93" s="79" t="b">
        <v>0</v>
      </c>
      <c r="AS93" s="79" t="b">
        <v>0</v>
      </c>
      <c r="AT93" s="79"/>
      <c r="AU93" s="79">
        <v>10</v>
      </c>
      <c r="AV93" s="79"/>
      <c r="AW93" s="79" t="b">
        <v>0</v>
      </c>
      <c r="AX93" s="79" t="s">
        <v>1376</v>
      </c>
      <c r="AY93" s="83" t="str">
        <f>HYPERLINK("https://twitter.com/jamillimabass")</f>
        <v>https://twitter.com/jamillimabass</v>
      </c>
      <c r="AZ93" s="79" t="s">
        <v>66</v>
      </c>
      <c r="BA93" s="78" t="str">
        <f>REPLACE(INDEX(GroupVertices[Group], MATCH(Vertices[[#This Row],[Vertex]],GroupVertices[Vertex],0)),1,1,"")</f>
        <v>16</v>
      </c>
      <c r="BB93" s="49" t="s">
        <v>1961</v>
      </c>
      <c r="BC93" s="49" t="s">
        <v>1961</v>
      </c>
      <c r="BD93" s="49" t="s">
        <v>455</v>
      </c>
      <c r="BE93" s="49" t="s">
        <v>455</v>
      </c>
      <c r="BF93" s="49" t="s">
        <v>1711</v>
      </c>
      <c r="BG93" s="49" t="s">
        <v>1986</v>
      </c>
      <c r="BH93" s="137" t="s">
        <v>1799</v>
      </c>
      <c r="BI93" s="137" t="s">
        <v>2041</v>
      </c>
      <c r="BJ93" s="137" t="s">
        <v>1892</v>
      </c>
      <c r="BK93" s="137" t="s">
        <v>2089</v>
      </c>
      <c r="BL93" s="2"/>
      <c r="BM93" s="3"/>
      <c r="BN93" s="3"/>
      <c r="BO93" s="3"/>
      <c r="BP93" s="3"/>
    </row>
    <row r="94" spans="1:68" x14ac:dyDescent="0.25">
      <c r="A94" s="64" t="s">
        <v>282</v>
      </c>
      <c r="B94" s="65"/>
      <c r="C94" s="65"/>
      <c r="D94" s="66">
        <v>20</v>
      </c>
      <c r="E94" s="104"/>
      <c r="F94" s="96" t="str">
        <f>HYPERLINK("https://pbs.twimg.com/profile_images/1156043527098437632/-i-bK3J-_normal.jpg")</f>
        <v>https://pbs.twimg.com/profile_images/1156043527098437632/-i-bK3J-_normal.jpg</v>
      </c>
      <c r="G94" s="105"/>
      <c r="H94" s="69" t="s">
        <v>282</v>
      </c>
      <c r="I94" s="70"/>
      <c r="J94" s="106"/>
      <c r="K94" s="69" t="s">
        <v>1475</v>
      </c>
      <c r="L94" s="107">
        <v>1</v>
      </c>
      <c r="M94" s="74">
        <v>222.50372314453125</v>
      </c>
      <c r="N94" s="74">
        <v>4148.56201171875</v>
      </c>
      <c r="O94" s="75"/>
      <c r="P94" s="76"/>
      <c r="Q94" s="76"/>
      <c r="R94" s="88"/>
      <c r="S94" s="49">
        <v>0</v>
      </c>
      <c r="T94" s="49">
        <v>2</v>
      </c>
      <c r="U94" s="50">
        <v>0</v>
      </c>
      <c r="V94" s="50">
        <v>7.2989999999999999E-3</v>
      </c>
      <c r="W94" s="50">
        <v>1.7802999999999999E-2</v>
      </c>
      <c r="X94" s="50">
        <v>0.58245199999999997</v>
      </c>
      <c r="Y94" s="50">
        <v>0.5</v>
      </c>
      <c r="Z94" s="50">
        <v>0</v>
      </c>
      <c r="AA94" s="71">
        <v>94</v>
      </c>
      <c r="AB94"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94" s="72"/>
      <c r="AD94" s="79" t="s">
        <v>1052</v>
      </c>
      <c r="AE94" s="85" t="s">
        <v>1170</v>
      </c>
      <c r="AF94" s="79">
        <v>334</v>
      </c>
      <c r="AG94" s="79">
        <v>202</v>
      </c>
      <c r="AH94" s="79">
        <v>3089</v>
      </c>
      <c r="AI94" s="79">
        <v>8900</v>
      </c>
      <c r="AJ94" s="79"/>
      <c r="AK94" s="79" t="s">
        <v>1285</v>
      </c>
      <c r="AL94" s="79" t="s">
        <v>1363</v>
      </c>
      <c r="AM94" s="79"/>
      <c r="AN94" s="79"/>
      <c r="AO94" s="81">
        <v>42002.992789351854</v>
      </c>
      <c r="AP94" s="79"/>
      <c r="AQ94" s="79" t="b">
        <v>1</v>
      </c>
      <c r="AR94" s="79" t="b">
        <v>0</v>
      </c>
      <c r="AS94" s="79" t="b">
        <v>0</v>
      </c>
      <c r="AT94" s="79"/>
      <c r="AU94" s="79">
        <v>1</v>
      </c>
      <c r="AV94" s="83" t="str">
        <f>HYPERLINK("https://abs.twimg.com/images/themes/theme1/bg.png")</f>
        <v>https://abs.twimg.com/images/themes/theme1/bg.png</v>
      </c>
      <c r="AW94" s="79" t="b">
        <v>0</v>
      </c>
      <c r="AX94" s="79" t="s">
        <v>1376</v>
      </c>
      <c r="AY94" s="83" t="str">
        <f>HYPERLINK("https://twitter.com/socanderstacey")</f>
        <v>https://twitter.com/socanderstacey</v>
      </c>
      <c r="AZ94" s="79" t="s">
        <v>66</v>
      </c>
      <c r="BA94" s="78" t="str">
        <f>REPLACE(INDEX(GroupVertices[Group], MATCH(Vertices[[#This Row],[Vertex]],GroupVertices[Vertex],0)),1,1,"")</f>
        <v>1</v>
      </c>
      <c r="BB94" s="49"/>
      <c r="BC94" s="49"/>
      <c r="BD94" s="49"/>
      <c r="BE94" s="49"/>
      <c r="BF94" s="49" t="s">
        <v>461</v>
      </c>
      <c r="BG94" s="49" t="s">
        <v>461</v>
      </c>
      <c r="BH94" s="137" t="s">
        <v>1994</v>
      </c>
      <c r="BI94" s="137" t="s">
        <v>1994</v>
      </c>
      <c r="BJ94" s="137" t="s">
        <v>2049</v>
      </c>
      <c r="BK94" s="137" t="s">
        <v>2049</v>
      </c>
      <c r="BL94" s="2"/>
      <c r="BM94" s="3"/>
      <c r="BN94" s="3"/>
      <c r="BO94" s="3"/>
      <c r="BP94" s="3"/>
    </row>
    <row r="95" spans="1:68" x14ac:dyDescent="0.25">
      <c r="A95" s="64" t="s">
        <v>292</v>
      </c>
      <c r="B95" s="65"/>
      <c r="C95" s="65"/>
      <c r="D95" s="66">
        <v>20</v>
      </c>
      <c r="E95" s="104"/>
      <c r="F95" s="96" t="str">
        <f>HYPERLINK("https://pbs.twimg.com/profile_images/1330520744946757634/GSNsPOCG_normal.jpg")</f>
        <v>https://pbs.twimg.com/profile_images/1330520744946757634/GSNsPOCG_normal.jpg</v>
      </c>
      <c r="G95" s="105"/>
      <c r="H95" s="69" t="s">
        <v>292</v>
      </c>
      <c r="I95" s="70"/>
      <c r="J95" s="106"/>
      <c r="K95" s="69" t="s">
        <v>1485</v>
      </c>
      <c r="L95" s="107">
        <v>1</v>
      </c>
      <c r="M95" s="74">
        <v>7493.76123046875</v>
      </c>
      <c r="N95" s="74">
        <v>8538.8037109375</v>
      </c>
      <c r="O95" s="75"/>
      <c r="P95" s="76"/>
      <c r="Q95" s="76"/>
      <c r="R95" s="88"/>
      <c r="S95" s="49">
        <v>1</v>
      </c>
      <c r="T95" s="49">
        <v>1</v>
      </c>
      <c r="U95" s="50">
        <v>0</v>
      </c>
      <c r="V95" s="50">
        <v>0</v>
      </c>
      <c r="W95" s="50">
        <v>0</v>
      </c>
      <c r="X95" s="50">
        <v>0.999996</v>
      </c>
      <c r="Y95" s="50">
        <v>0</v>
      </c>
      <c r="Z95" s="50">
        <v>0</v>
      </c>
      <c r="AA95" s="71">
        <v>95</v>
      </c>
      <c r="AB95"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95" s="72"/>
      <c r="AD95" s="79" t="s">
        <v>1062</v>
      </c>
      <c r="AE95" s="85" t="s">
        <v>873</v>
      </c>
      <c r="AF95" s="79">
        <v>321</v>
      </c>
      <c r="AG95" s="79">
        <v>201</v>
      </c>
      <c r="AH95" s="79">
        <v>773</v>
      </c>
      <c r="AI95" s="79">
        <v>7211</v>
      </c>
      <c r="AJ95" s="79"/>
      <c r="AK95" s="79" t="s">
        <v>1295</v>
      </c>
      <c r="AL95" s="79" t="s">
        <v>1370</v>
      </c>
      <c r="AM95" s="83" t="str">
        <f>HYPERLINK("https://t.co/81Tai3zH2d")</f>
        <v>https://t.co/81Tai3zH2d</v>
      </c>
      <c r="AN95" s="79"/>
      <c r="AO95" s="81">
        <v>43258.75</v>
      </c>
      <c r="AP95" s="83" t="str">
        <f>HYPERLINK("https://pbs.twimg.com/profile_banners/1004785055452073985/1606055841")</f>
        <v>https://pbs.twimg.com/profile_banners/1004785055452073985/1606055841</v>
      </c>
      <c r="AQ95" s="79" t="b">
        <v>1</v>
      </c>
      <c r="AR95" s="79" t="b">
        <v>0</v>
      </c>
      <c r="AS95" s="79" t="b">
        <v>0</v>
      </c>
      <c r="AT95" s="79"/>
      <c r="AU95" s="79">
        <v>2</v>
      </c>
      <c r="AV95" s="79"/>
      <c r="AW95" s="79" t="b">
        <v>0</v>
      </c>
      <c r="AX95" s="79" t="s">
        <v>1376</v>
      </c>
      <c r="AY95" s="83" t="str">
        <f>HYPERLINK("https://twitter.com/tsumcnair")</f>
        <v>https://twitter.com/tsumcnair</v>
      </c>
      <c r="AZ95" s="79" t="s">
        <v>66</v>
      </c>
      <c r="BA95" s="78" t="str">
        <f>REPLACE(INDEX(GroupVertices[Group], MATCH(Vertices[[#This Row],[Vertex]],GroupVertices[Vertex],0)),1,1,"")</f>
        <v>5</v>
      </c>
      <c r="BB95" s="49"/>
      <c r="BC95" s="49"/>
      <c r="BD95" s="49"/>
      <c r="BE95" s="49"/>
      <c r="BF95" s="49" t="s">
        <v>1975</v>
      </c>
      <c r="BG95" s="49" t="s">
        <v>1987</v>
      </c>
      <c r="BH95" s="137" t="s">
        <v>2016</v>
      </c>
      <c r="BI95" s="137" t="s">
        <v>2042</v>
      </c>
      <c r="BJ95" s="137" t="s">
        <v>2070</v>
      </c>
      <c r="BK95" s="137" t="s">
        <v>2090</v>
      </c>
      <c r="BL95" s="2"/>
      <c r="BM95" s="3"/>
      <c r="BN95" s="3"/>
      <c r="BO95" s="3"/>
      <c r="BP95" s="3"/>
    </row>
    <row r="96" spans="1:68" x14ac:dyDescent="0.25">
      <c r="A96" s="64" t="s">
        <v>293</v>
      </c>
      <c r="B96" s="65"/>
      <c r="C96" s="65"/>
      <c r="D96" s="66">
        <v>20</v>
      </c>
      <c r="E96" s="104"/>
      <c r="F96" s="96" t="str">
        <f>HYPERLINK("https://pbs.twimg.com/profile_images/1349957778765393920/U9Bcdvo4_normal.jpg")</f>
        <v>https://pbs.twimg.com/profile_images/1349957778765393920/U9Bcdvo4_normal.jpg</v>
      </c>
      <c r="G96" s="105"/>
      <c r="H96" s="69" t="s">
        <v>293</v>
      </c>
      <c r="I96" s="70"/>
      <c r="J96" s="106"/>
      <c r="K96" s="69" t="s">
        <v>1486</v>
      </c>
      <c r="L96" s="107">
        <v>1</v>
      </c>
      <c r="M96" s="74">
        <v>544.2470703125</v>
      </c>
      <c r="N96" s="74">
        <v>7450.70751953125</v>
      </c>
      <c r="O96" s="75"/>
      <c r="P96" s="76"/>
      <c r="Q96" s="76"/>
      <c r="R96" s="88"/>
      <c r="S96" s="49">
        <v>0</v>
      </c>
      <c r="T96" s="49">
        <v>2</v>
      </c>
      <c r="U96" s="50">
        <v>0</v>
      </c>
      <c r="V96" s="50">
        <v>7.2459999999999998E-3</v>
      </c>
      <c r="W96" s="50">
        <v>2.0239E-2</v>
      </c>
      <c r="X96" s="50">
        <v>0.56255900000000003</v>
      </c>
      <c r="Y96" s="50">
        <v>1</v>
      </c>
      <c r="Z96" s="50">
        <v>0</v>
      </c>
      <c r="AA96" s="71">
        <v>96</v>
      </c>
      <c r="AB96"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96" s="72"/>
      <c r="AD96" s="79" t="s">
        <v>1063</v>
      </c>
      <c r="AE96" s="85" t="s">
        <v>1179</v>
      </c>
      <c r="AF96" s="79">
        <v>1000</v>
      </c>
      <c r="AG96" s="79">
        <v>200</v>
      </c>
      <c r="AH96" s="79">
        <v>313198</v>
      </c>
      <c r="AI96" s="79">
        <v>311903</v>
      </c>
      <c r="AJ96" s="79"/>
      <c r="AK96" s="79" t="s">
        <v>1296</v>
      </c>
      <c r="AL96" s="79" t="s">
        <v>1371</v>
      </c>
      <c r="AM96" s="79"/>
      <c r="AN96" s="79"/>
      <c r="AO96" s="81">
        <v>42059.06449074074</v>
      </c>
      <c r="AP96" s="83" t="str">
        <f>HYPERLINK("https://pbs.twimg.com/profile_banners/3057759609/1610728873")</f>
        <v>https://pbs.twimg.com/profile_banners/3057759609/1610728873</v>
      </c>
      <c r="AQ96" s="79" t="b">
        <v>0</v>
      </c>
      <c r="AR96" s="79" t="b">
        <v>0</v>
      </c>
      <c r="AS96" s="79" t="b">
        <v>0</v>
      </c>
      <c r="AT96" s="79"/>
      <c r="AU96" s="79">
        <v>3</v>
      </c>
      <c r="AV96" s="83" t="str">
        <f>HYPERLINK("https://abs.twimg.com/images/themes/theme1/bg.png")</f>
        <v>https://abs.twimg.com/images/themes/theme1/bg.png</v>
      </c>
      <c r="AW96" s="79" t="b">
        <v>0</v>
      </c>
      <c r="AX96" s="79" t="s">
        <v>1376</v>
      </c>
      <c r="AY96" s="83" t="str">
        <f>HYPERLINK("https://twitter.com/nikolasvision")</f>
        <v>https://twitter.com/nikolasvision</v>
      </c>
      <c r="AZ96" s="79" t="s">
        <v>66</v>
      </c>
      <c r="BA96" s="78" t="str">
        <f>REPLACE(INDEX(GroupVertices[Group], MATCH(Vertices[[#This Row],[Vertex]],GroupVertices[Vertex],0)),1,1,"")</f>
        <v>1</v>
      </c>
      <c r="BB96" s="49"/>
      <c r="BC96" s="49"/>
      <c r="BD96" s="49"/>
      <c r="BE96" s="49"/>
      <c r="BF96" s="49" t="s">
        <v>461</v>
      </c>
      <c r="BG96" s="49" t="s">
        <v>461</v>
      </c>
      <c r="BH96" s="137" t="s">
        <v>2000</v>
      </c>
      <c r="BI96" s="137" t="s">
        <v>2000</v>
      </c>
      <c r="BJ96" s="137" t="s">
        <v>2055</v>
      </c>
      <c r="BK96" s="137" t="s">
        <v>2055</v>
      </c>
      <c r="BL96" s="2"/>
      <c r="BM96" s="3"/>
      <c r="BN96" s="3"/>
      <c r="BO96" s="3"/>
      <c r="BP96" s="3"/>
    </row>
    <row r="97" spans="1:68" x14ac:dyDescent="0.25">
      <c r="A97" s="64" t="s">
        <v>230</v>
      </c>
      <c r="B97" s="65"/>
      <c r="C97" s="65"/>
      <c r="D97" s="66">
        <v>20</v>
      </c>
      <c r="E97" s="104"/>
      <c r="F97" s="96" t="str">
        <f>HYPERLINK("https://pbs.twimg.com/profile_images/1291817030824243205/zjleYMAv_normal.jpg")</f>
        <v>https://pbs.twimg.com/profile_images/1291817030824243205/zjleYMAv_normal.jpg</v>
      </c>
      <c r="G97" s="105"/>
      <c r="H97" s="69" t="s">
        <v>230</v>
      </c>
      <c r="I97" s="70"/>
      <c r="J97" s="106"/>
      <c r="K97" s="69" t="s">
        <v>1395</v>
      </c>
      <c r="L97" s="107">
        <v>1</v>
      </c>
      <c r="M97" s="74">
        <v>7776.99560546875</v>
      </c>
      <c r="N97" s="74">
        <v>2110.903564453125</v>
      </c>
      <c r="O97" s="75"/>
      <c r="P97" s="76"/>
      <c r="Q97" s="76"/>
      <c r="R97" s="88"/>
      <c r="S97" s="49">
        <v>0</v>
      </c>
      <c r="T97" s="49">
        <v>1</v>
      </c>
      <c r="U97" s="50">
        <v>0</v>
      </c>
      <c r="V97" s="50">
        <v>1</v>
      </c>
      <c r="W97" s="50">
        <v>0</v>
      </c>
      <c r="X97" s="50">
        <v>0.70175200000000004</v>
      </c>
      <c r="Y97" s="50">
        <v>0</v>
      </c>
      <c r="Z97" s="50">
        <v>0</v>
      </c>
      <c r="AA97" s="71">
        <v>97</v>
      </c>
      <c r="AB97"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97" s="72"/>
      <c r="AD97" s="79" t="s">
        <v>972</v>
      </c>
      <c r="AE97" s="85" t="s">
        <v>1093</v>
      </c>
      <c r="AF97" s="79">
        <v>91</v>
      </c>
      <c r="AG97" s="79">
        <v>200</v>
      </c>
      <c r="AH97" s="79">
        <v>1128</v>
      </c>
      <c r="AI97" s="79">
        <v>761</v>
      </c>
      <c r="AJ97" s="79"/>
      <c r="AK97" s="79" t="s">
        <v>1209</v>
      </c>
      <c r="AL97" s="79" t="s">
        <v>1318</v>
      </c>
      <c r="AM97" s="83" t="str">
        <f>HYPERLINK("http://t.co/nEWaPreobJ")</f>
        <v>http://t.co/nEWaPreobJ</v>
      </c>
      <c r="AN97" s="79"/>
      <c r="AO97" s="81">
        <v>41807.793009259258</v>
      </c>
      <c r="AP97" s="79"/>
      <c r="AQ97" s="79" t="b">
        <v>1</v>
      </c>
      <c r="AR97" s="79" t="b">
        <v>0</v>
      </c>
      <c r="AS97" s="79" t="b">
        <v>0</v>
      </c>
      <c r="AT97" s="79"/>
      <c r="AU97" s="79">
        <v>5</v>
      </c>
      <c r="AV97" s="83" t="str">
        <f>HYPERLINK("https://abs.twimg.com/images/themes/theme1/bg.png")</f>
        <v>https://abs.twimg.com/images/themes/theme1/bg.png</v>
      </c>
      <c r="AW97" s="79" t="b">
        <v>0</v>
      </c>
      <c r="AX97" s="79" t="s">
        <v>1376</v>
      </c>
      <c r="AY97" s="83" t="str">
        <f>HYPERLINK("https://twitter.com/muhlibrary")</f>
        <v>https://twitter.com/muhlibrary</v>
      </c>
      <c r="AZ97" s="79" t="s">
        <v>66</v>
      </c>
      <c r="BA97" s="78" t="str">
        <f>REPLACE(INDEX(GroupVertices[Group], MATCH(Vertices[[#This Row],[Vertex]],GroupVertices[Vertex],0)),1,1,"")</f>
        <v>17</v>
      </c>
      <c r="BB97" s="49"/>
      <c r="BC97" s="49"/>
      <c r="BD97" s="49"/>
      <c r="BE97" s="49"/>
      <c r="BF97" s="49" t="s">
        <v>467</v>
      </c>
      <c r="BG97" s="49" t="s">
        <v>467</v>
      </c>
      <c r="BH97" s="137" t="s">
        <v>2017</v>
      </c>
      <c r="BI97" s="137" t="s">
        <v>2017</v>
      </c>
      <c r="BJ97" s="137" t="s">
        <v>1893</v>
      </c>
      <c r="BK97" s="137" t="s">
        <v>1893</v>
      </c>
      <c r="BL97" s="2"/>
      <c r="BM97" s="3"/>
      <c r="BN97" s="3"/>
      <c r="BO97" s="3"/>
      <c r="BP97" s="3"/>
    </row>
    <row r="98" spans="1:68" x14ac:dyDescent="0.25">
      <c r="A98" s="64" t="s">
        <v>313</v>
      </c>
      <c r="B98" s="65"/>
      <c r="C98" s="65"/>
      <c r="D98" s="66">
        <v>20</v>
      </c>
      <c r="E98" s="104"/>
      <c r="F98" s="96" t="str">
        <f>HYPERLINK("https://pbs.twimg.com/profile_images/536180748353429504/NC-hGoOi_normal.jpeg")</f>
        <v>https://pbs.twimg.com/profile_images/536180748353429504/NC-hGoOi_normal.jpeg</v>
      </c>
      <c r="G98" s="105"/>
      <c r="H98" s="69" t="s">
        <v>313</v>
      </c>
      <c r="I98" s="70"/>
      <c r="J98" s="106"/>
      <c r="K98" s="69" t="s">
        <v>1426</v>
      </c>
      <c r="L98" s="107">
        <v>1</v>
      </c>
      <c r="M98" s="74">
        <v>9776.49609375</v>
      </c>
      <c r="N98" s="74">
        <v>8743.7099609375</v>
      </c>
      <c r="O98" s="75"/>
      <c r="P98" s="76"/>
      <c r="Q98" s="76"/>
      <c r="R98" s="88"/>
      <c r="S98" s="49">
        <v>1</v>
      </c>
      <c r="T98" s="49">
        <v>0</v>
      </c>
      <c r="U98" s="50">
        <v>0</v>
      </c>
      <c r="V98" s="50">
        <v>5.587E-3</v>
      </c>
      <c r="W98" s="50">
        <v>2.3249999999999998E-3</v>
      </c>
      <c r="X98" s="50">
        <v>0.49674000000000001</v>
      </c>
      <c r="Y98" s="50">
        <v>0</v>
      </c>
      <c r="Z98" s="50">
        <v>0</v>
      </c>
      <c r="AA98" s="71">
        <v>98</v>
      </c>
      <c r="AB98"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98" s="72"/>
      <c r="AD98" s="79" t="s">
        <v>1003</v>
      </c>
      <c r="AE98" s="85" t="s">
        <v>1122</v>
      </c>
      <c r="AF98" s="79">
        <v>72</v>
      </c>
      <c r="AG98" s="79">
        <v>172</v>
      </c>
      <c r="AH98" s="79">
        <v>706</v>
      </c>
      <c r="AI98" s="79">
        <v>129</v>
      </c>
      <c r="AJ98" s="79"/>
      <c r="AK98" s="79"/>
      <c r="AL98" s="79"/>
      <c r="AM98" s="79"/>
      <c r="AN98" s="79"/>
      <c r="AO98" s="81">
        <v>41506.425798611112</v>
      </c>
      <c r="AP98" s="83" t="str">
        <f>HYPERLINK("https://pbs.twimg.com/profile_banners/1685447239/1416670480")</f>
        <v>https://pbs.twimg.com/profile_banners/1685447239/1416670480</v>
      </c>
      <c r="AQ98" s="79" t="b">
        <v>1</v>
      </c>
      <c r="AR98" s="79" t="b">
        <v>0</v>
      </c>
      <c r="AS98" s="79" t="b">
        <v>0</v>
      </c>
      <c r="AT98" s="79"/>
      <c r="AU98" s="79">
        <v>9</v>
      </c>
      <c r="AV98" s="83" t="str">
        <f>HYPERLINK("https://abs.twimg.com/images/themes/theme1/bg.png")</f>
        <v>https://abs.twimg.com/images/themes/theme1/bg.png</v>
      </c>
      <c r="AW98" s="79" t="b">
        <v>0</v>
      </c>
      <c r="AX98" s="79" t="s">
        <v>1376</v>
      </c>
      <c r="AY98" s="83" t="str">
        <f>HYPERLINK("https://twitter.com/mcaplanmarcelo")</f>
        <v>https://twitter.com/mcaplanmarcelo</v>
      </c>
      <c r="AZ98" s="79" t="s">
        <v>65</v>
      </c>
      <c r="BA98" s="78" t="str">
        <f>REPLACE(INDEX(GroupVertices[Group], MATCH(Vertices[[#This Row],[Vertex]],GroupVertices[Vertex],0)),1,1,"")</f>
        <v>4</v>
      </c>
      <c r="BB98" s="49"/>
      <c r="BC98" s="49"/>
      <c r="BD98" s="49"/>
      <c r="BE98" s="49"/>
      <c r="BF98" s="49"/>
      <c r="BG98" s="49"/>
      <c r="BH98" s="49"/>
      <c r="BI98" s="49"/>
      <c r="BJ98" s="49"/>
      <c r="BK98" s="49"/>
      <c r="BL98" s="2"/>
      <c r="BM98" s="3"/>
      <c r="BN98" s="3"/>
      <c r="BO98" s="3"/>
      <c r="BP98" s="3"/>
    </row>
    <row r="99" spans="1:68" x14ac:dyDescent="0.25">
      <c r="A99" s="64" t="s">
        <v>224</v>
      </c>
      <c r="B99" s="65"/>
      <c r="C99" s="65"/>
      <c r="D99" s="66">
        <v>20</v>
      </c>
      <c r="E99" s="104"/>
      <c r="F99" s="96" t="str">
        <f>HYPERLINK("https://pbs.twimg.com/profile_images/1232021210231451654/C_xoNDo2_normal.jpg")</f>
        <v>https://pbs.twimg.com/profile_images/1232021210231451654/C_xoNDo2_normal.jpg</v>
      </c>
      <c r="G99" s="105"/>
      <c r="H99" s="69" t="s">
        <v>224</v>
      </c>
      <c r="I99" s="70"/>
      <c r="J99" s="106"/>
      <c r="K99" s="69" t="s">
        <v>1388</v>
      </c>
      <c r="L99" s="107">
        <v>1</v>
      </c>
      <c r="M99" s="74">
        <v>7677.29345703125</v>
      </c>
      <c r="N99" s="74">
        <v>9187.4560546875</v>
      </c>
      <c r="O99" s="75"/>
      <c r="P99" s="76"/>
      <c r="Q99" s="76"/>
      <c r="R99" s="88"/>
      <c r="S99" s="49">
        <v>1</v>
      </c>
      <c r="T99" s="49">
        <v>1</v>
      </c>
      <c r="U99" s="50">
        <v>0</v>
      </c>
      <c r="V99" s="50">
        <v>0</v>
      </c>
      <c r="W99" s="50">
        <v>0</v>
      </c>
      <c r="X99" s="50">
        <v>0.999996</v>
      </c>
      <c r="Y99" s="50">
        <v>0</v>
      </c>
      <c r="Z99" s="50">
        <v>0</v>
      </c>
      <c r="AA99" s="71">
        <v>99</v>
      </c>
      <c r="AB99"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99" s="72"/>
      <c r="AD99" s="79" t="s">
        <v>965</v>
      </c>
      <c r="AE99" s="85" t="s">
        <v>1086</v>
      </c>
      <c r="AF99" s="79">
        <v>234</v>
      </c>
      <c r="AG99" s="79">
        <v>157</v>
      </c>
      <c r="AH99" s="79">
        <v>1010</v>
      </c>
      <c r="AI99" s="79">
        <v>193</v>
      </c>
      <c r="AJ99" s="79"/>
      <c r="AK99" s="79" t="s">
        <v>1202</v>
      </c>
      <c r="AL99" s="79" t="s">
        <v>1313</v>
      </c>
      <c r="AM99" s="83" t="str">
        <f>HYPERLINK("https://t.co/r8pLpMCfW4")</f>
        <v>https://t.co/r8pLpMCfW4</v>
      </c>
      <c r="AN99" s="79"/>
      <c r="AO99" s="81">
        <v>41635.833622685182</v>
      </c>
      <c r="AP99" s="83" t="str">
        <f>HYPERLINK("https://pbs.twimg.com/profile_banners/2264852750/1465347483")</f>
        <v>https://pbs.twimg.com/profile_banners/2264852750/1465347483</v>
      </c>
      <c r="AQ99" s="79" t="b">
        <v>0</v>
      </c>
      <c r="AR99" s="79" t="b">
        <v>0</v>
      </c>
      <c r="AS99" s="79" t="b">
        <v>1</v>
      </c>
      <c r="AT99" s="79"/>
      <c r="AU99" s="79">
        <v>2</v>
      </c>
      <c r="AV99" s="83" t="str">
        <f>HYPERLINK("https://abs.twimg.com/images/themes/theme9/bg.gif")</f>
        <v>https://abs.twimg.com/images/themes/theme9/bg.gif</v>
      </c>
      <c r="AW99" s="79" t="b">
        <v>0</v>
      </c>
      <c r="AX99" s="79" t="s">
        <v>1376</v>
      </c>
      <c r="AY99" s="83" t="str">
        <f>HYPERLINK("https://twitter.com/fceatrio")</f>
        <v>https://twitter.com/fceatrio</v>
      </c>
      <c r="AZ99" s="79" t="s">
        <v>66</v>
      </c>
      <c r="BA99" s="78" t="str">
        <f>REPLACE(INDEX(GroupVertices[Group], MATCH(Vertices[[#This Row],[Vertex]],GroupVertices[Vertex],0)),1,1,"")</f>
        <v>5</v>
      </c>
      <c r="BB99" s="49" t="s">
        <v>1589</v>
      </c>
      <c r="BC99" s="49" t="s">
        <v>1589</v>
      </c>
      <c r="BD99" s="49" t="s">
        <v>448</v>
      </c>
      <c r="BE99" s="49" t="s">
        <v>448</v>
      </c>
      <c r="BF99" s="49" t="s">
        <v>464</v>
      </c>
      <c r="BG99" s="49" t="s">
        <v>464</v>
      </c>
      <c r="BH99" s="137" t="s">
        <v>2018</v>
      </c>
      <c r="BI99" s="137" t="s">
        <v>2018</v>
      </c>
      <c r="BJ99" s="137" t="s">
        <v>2071</v>
      </c>
      <c r="BK99" s="137" t="s">
        <v>2071</v>
      </c>
      <c r="BL99" s="2"/>
      <c r="BM99" s="3"/>
      <c r="BN99" s="3"/>
      <c r="BO99" s="3"/>
      <c r="BP99" s="3"/>
    </row>
    <row r="100" spans="1:68" x14ac:dyDescent="0.25">
      <c r="A100" s="64" t="s">
        <v>264</v>
      </c>
      <c r="B100" s="65"/>
      <c r="C100" s="65"/>
      <c r="D100" s="66">
        <v>20</v>
      </c>
      <c r="E100" s="104"/>
      <c r="F100" s="96" t="str">
        <f>HYPERLINK("https://pbs.twimg.com/profile_images/1338879995951898636/EBHf8mWD_normal.jpg")</f>
        <v>https://pbs.twimg.com/profile_images/1338879995951898636/EBHf8mWD_normal.jpg</v>
      </c>
      <c r="G100" s="105"/>
      <c r="H100" s="69" t="s">
        <v>264</v>
      </c>
      <c r="I100" s="70"/>
      <c r="J100" s="106"/>
      <c r="K100" s="69" t="s">
        <v>1449</v>
      </c>
      <c r="L100" s="107">
        <v>1</v>
      </c>
      <c r="M100" s="74">
        <v>1981.2869873046875</v>
      </c>
      <c r="N100" s="74">
        <v>7555.08056640625</v>
      </c>
      <c r="O100" s="75"/>
      <c r="P100" s="76"/>
      <c r="Q100" s="76"/>
      <c r="R100" s="88"/>
      <c r="S100" s="49">
        <v>0</v>
      </c>
      <c r="T100" s="49">
        <v>2</v>
      </c>
      <c r="U100" s="50">
        <v>0</v>
      </c>
      <c r="V100" s="50">
        <v>7.2989999999999999E-3</v>
      </c>
      <c r="W100" s="50">
        <v>1.7802999999999999E-2</v>
      </c>
      <c r="X100" s="50">
        <v>0.58245199999999997</v>
      </c>
      <c r="Y100" s="50">
        <v>0.5</v>
      </c>
      <c r="Z100" s="50">
        <v>0</v>
      </c>
      <c r="AA100" s="71">
        <v>100</v>
      </c>
      <c r="AB100"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00" s="72"/>
      <c r="AD100" s="79" t="s">
        <v>1026</v>
      </c>
      <c r="AE100" s="85" t="s">
        <v>1145</v>
      </c>
      <c r="AF100" s="79">
        <v>112</v>
      </c>
      <c r="AG100" s="79">
        <v>132</v>
      </c>
      <c r="AH100" s="79">
        <v>542</v>
      </c>
      <c r="AI100" s="79">
        <v>155</v>
      </c>
      <c r="AJ100" s="79"/>
      <c r="AK100" s="79" t="s">
        <v>1262</v>
      </c>
      <c r="AL100" s="79" t="s">
        <v>1351</v>
      </c>
      <c r="AM100" s="83" t="str">
        <f>HYPERLINK("https://t.co/SL84UvVG6h")</f>
        <v>https://t.co/SL84UvVG6h</v>
      </c>
      <c r="AN100" s="79"/>
      <c r="AO100" s="81">
        <v>41704.597233796296</v>
      </c>
      <c r="AP100" s="83" t="str">
        <f>HYPERLINK("https://pbs.twimg.com/profile_banners/2375441911/1403618185")</f>
        <v>https://pbs.twimg.com/profile_banners/2375441911/1403618185</v>
      </c>
      <c r="AQ100" s="79" t="b">
        <v>0</v>
      </c>
      <c r="AR100" s="79" t="b">
        <v>0</v>
      </c>
      <c r="AS100" s="79" t="b">
        <v>0</v>
      </c>
      <c r="AT100" s="79"/>
      <c r="AU100" s="79">
        <v>1</v>
      </c>
      <c r="AV100" s="83" t="str">
        <f>HYPERLINK("https://abs.twimg.com/images/themes/theme1/bg.png")</f>
        <v>https://abs.twimg.com/images/themes/theme1/bg.png</v>
      </c>
      <c r="AW100" s="79" t="b">
        <v>0</v>
      </c>
      <c r="AX100" s="79" t="s">
        <v>1376</v>
      </c>
      <c r="AY100" s="83" t="str">
        <f>HYPERLINK("https://twitter.com/upward_boundesu")</f>
        <v>https://twitter.com/upward_boundesu</v>
      </c>
      <c r="AZ100" s="79" t="s">
        <v>66</v>
      </c>
      <c r="BA100" s="78" t="str">
        <f>REPLACE(INDEX(GroupVertices[Group], MATCH(Vertices[[#This Row],[Vertex]],GroupVertices[Vertex],0)),1,1,"")</f>
        <v>1</v>
      </c>
      <c r="BB100" s="49"/>
      <c r="BC100" s="49"/>
      <c r="BD100" s="49"/>
      <c r="BE100" s="49"/>
      <c r="BF100" s="49" t="s">
        <v>461</v>
      </c>
      <c r="BG100" s="49" t="s">
        <v>461</v>
      </c>
      <c r="BH100" s="137" t="s">
        <v>1994</v>
      </c>
      <c r="BI100" s="137" t="s">
        <v>1994</v>
      </c>
      <c r="BJ100" s="137" t="s">
        <v>2049</v>
      </c>
      <c r="BK100" s="137" t="s">
        <v>2049</v>
      </c>
      <c r="BL100" s="2"/>
      <c r="BM100" s="3"/>
      <c r="BN100" s="3"/>
      <c r="BO100" s="3"/>
      <c r="BP100" s="3"/>
    </row>
    <row r="101" spans="1:68" x14ac:dyDescent="0.25">
      <c r="A101" s="64" t="s">
        <v>318</v>
      </c>
      <c r="B101" s="65"/>
      <c r="C101" s="65"/>
      <c r="D101" s="66">
        <v>20</v>
      </c>
      <c r="E101" s="104"/>
      <c r="F101" s="96" t="str">
        <f>HYPERLINK("https://pbs.twimg.com/profile_images/1072880698548117504/VXQCNJas_normal.jpg")</f>
        <v>https://pbs.twimg.com/profile_images/1072880698548117504/VXQCNJas_normal.jpg</v>
      </c>
      <c r="G101" s="105"/>
      <c r="H101" s="69" t="s">
        <v>318</v>
      </c>
      <c r="I101" s="70"/>
      <c r="J101" s="106"/>
      <c r="K101" s="69" t="s">
        <v>1443</v>
      </c>
      <c r="L101" s="107">
        <v>1</v>
      </c>
      <c r="M101" s="74">
        <v>6851.1630859375</v>
      </c>
      <c r="N101" s="74">
        <v>1972.030029296875</v>
      </c>
      <c r="O101" s="75"/>
      <c r="P101" s="76"/>
      <c r="Q101" s="76"/>
      <c r="R101" s="88"/>
      <c r="S101" s="49">
        <v>1</v>
      </c>
      <c r="T101" s="49">
        <v>0</v>
      </c>
      <c r="U101" s="50">
        <v>0</v>
      </c>
      <c r="V101" s="50">
        <v>0.33333299999999999</v>
      </c>
      <c r="W101" s="50">
        <v>0</v>
      </c>
      <c r="X101" s="50">
        <v>0.77026700000000003</v>
      </c>
      <c r="Y101" s="50">
        <v>0</v>
      </c>
      <c r="Z101" s="50">
        <v>0</v>
      </c>
      <c r="AA101" s="71">
        <v>101</v>
      </c>
      <c r="AB101"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01" s="72"/>
      <c r="AD101" s="79" t="s">
        <v>1020</v>
      </c>
      <c r="AE101" s="85" t="s">
        <v>1139</v>
      </c>
      <c r="AF101" s="79">
        <v>2</v>
      </c>
      <c r="AG101" s="79">
        <v>129</v>
      </c>
      <c r="AH101" s="79">
        <v>175</v>
      </c>
      <c r="AI101" s="79">
        <v>71</v>
      </c>
      <c r="AJ101" s="79"/>
      <c r="AK101" s="79" t="s">
        <v>1256</v>
      </c>
      <c r="AL101" s="79" t="s">
        <v>1346</v>
      </c>
      <c r="AM101" s="83" t="str">
        <f>HYPERLINK("https://t.co/PLfn4aLu2n")</f>
        <v>https://t.co/PLfn4aLu2n</v>
      </c>
      <c r="AN101" s="79"/>
      <c r="AO101" s="81">
        <v>43381.687210648146</v>
      </c>
      <c r="AP101" s="83" t="str">
        <f>HYPERLINK("https://pbs.twimg.com/profile_banners/1049336010323255296/1545070282")</f>
        <v>https://pbs.twimg.com/profile_banners/1049336010323255296/1545070282</v>
      </c>
      <c r="AQ101" s="79" t="b">
        <v>0</v>
      </c>
      <c r="AR101" s="79" t="b">
        <v>0</v>
      </c>
      <c r="AS101" s="79" t="b">
        <v>1</v>
      </c>
      <c r="AT101" s="79"/>
      <c r="AU101" s="79">
        <v>0</v>
      </c>
      <c r="AV101" s="83" t="str">
        <f>HYPERLINK("https://abs.twimg.com/images/themes/theme1/bg.png")</f>
        <v>https://abs.twimg.com/images/themes/theme1/bg.png</v>
      </c>
      <c r="AW101" s="79" t="b">
        <v>0</v>
      </c>
      <c r="AX101" s="79" t="s">
        <v>1376</v>
      </c>
      <c r="AY101" s="83" t="str">
        <f>HYPERLINK("https://twitter.com/txtreeventures")</f>
        <v>https://twitter.com/txtreeventures</v>
      </c>
      <c r="AZ101" s="79" t="s">
        <v>65</v>
      </c>
      <c r="BA101" s="78" t="str">
        <f>REPLACE(INDEX(GroupVertices[Group], MATCH(Vertices[[#This Row],[Vertex]],GroupVertices[Vertex],0)),1,1,"")</f>
        <v>10</v>
      </c>
      <c r="BB101" s="49"/>
      <c r="BC101" s="49"/>
      <c r="BD101" s="49"/>
      <c r="BE101" s="49"/>
      <c r="BF101" s="49"/>
      <c r="BG101" s="49"/>
      <c r="BH101" s="49"/>
      <c r="BI101" s="49"/>
      <c r="BJ101" s="49"/>
      <c r="BK101" s="49"/>
      <c r="BL101" s="2"/>
      <c r="BM101" s="3"/>
      <c r="BN101" s="3"/>
      <c r="BO101" s="3"/>
      <c r="BP101" s="3"/>
    </row>
    <row r="102" spans="1:68" x14ac:dyDescent="0.25">
      <c r="A102" s="64" t="s">
        <v>254</v>
      </c>
      <c r="B102" s="65"/>
      <c r="C102" s="65"/>
      <c r="D102" s="66">
        <v>20</v>
      </c>
      <c r="E102" s="104"/>
      <c r="F102" s="96" t="str">
        <f>HYPERLINK("https://pbs.twimg.com/profile_images/1321252358664454145/7HmMzwjD_normal.jpg")</f>
        <v>https://pbs.twimg.com/profile_images/1321252358664454145/7HmMzwjD_normal.jpg</v>
      </c>
      <c r="G102" s="105"/>
      <c r="H102" s="69" t="s">
        <v>254</v>
      </c>
      <c r="I102" s="70"/>
      <c r="J102" s="106"/>
      <c r="K102" s="69" t="s">
        <v>1438</v>
      </c>
      <c r="L102" s="107">
        <v>1</v>
      </c>
      <c r="M102" s="74">
        <v>4475.66357421875</v>
      </c>
      <c r="N102" s="74">
        <v>7639.14013671875</v>
      </c>
      <c r="O102" s="75"/>
      <c r="P102" s="76"/>
      <c r="Q102" s="76"/>
      <c r="R102" s="88"/>
      <c r="S102" s="49">
        <v>0</v>
      </c>
      <c r="T102" s="49">
        <v>3</v>
      </c>
      <c r="U102" s="50">
        <v>0</v>
      </c>
      <c r="V102" s="50">
        <v>2.3255999999999999E-2</v>
      </c>
      <c r="W102" s="50">
        <v>5.0000000000000004E-6</v>
      </c>
      <c r="X102" s="50">
        <v>0.74452600000000002</v>
      </c>
      <c r="Y102" s="50">
        <v>0.66666666666666663</v>
      </c>
      <c r="Z102" s="50">
        <v>0</v>
      </c>
      <c r="AA102" s="71">
        <v>102</v>
      </c>
      <c r="AB102"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02" s="72"/>
      <c r="AD102" s="79" t="s">
        <v>1015</v>
      </c>
      <c r="AE102" s="85" t="s">
        <v>1134</v>
      </c>
      <c r="AF102" s="79">
        <v>101</v>
      </c>
      <c r="AG102" s="79">
        <v>106</v>
      </c>
      <c r="AH102" s="79">
        <v>221</v>
      </c>
      <c r="AI102" s="79">
        <v>492</v>
      </c>
      <c r="AJ102" s="79"/>
      <c r="AK102" s="79" t="s">
        <v>1251</v>
      </c>
      <c r="AL102" s="79" t="s">
        <v>1343</v>
      </c>
      <c r="AM102" s="79"/>
      <c r="AN102" s="79"/>
      <c r="AO102" s="81">
        <v>43888.7731712963</v>
      </c>
      <c r="AP102" s="83" t="str">
        <f>HYPERLINK("https://pbs.twimg.com/profile_banners/1233097613005578240/1582829715")</f>
        <v>https://pbs.twimg.com/profile_banners/1233097613005578240/1582829715</v>
      </c>
      <c r="AQ102" s="79" t="b">
        <v>1</v>
      </c>
      <c r="AR102" s="79" t="b">
        <v>0</v>
      </c>
      <c r="AS102" s="79" t="b">
        <v>0</v>
      </c>
      <c r="AT102" s="79"/>
      <c r="AU102" s="79">
        <v>0</v>
      </c>
      <c r="AV102" s="79"/>
      <c r="AW102" s="79" t="b">
        <v>0</v>
      </c>
      <c r="AX102" s="79" t="s">
        <v>1376</v>
      </c>
      <c r="AY102" s="83" t="str">
        <f>HYPERLINK("https://twitter.com/ecsuhonors")</f>
        <v>https://twitter.com/ecsuhonors</v>
      </c>
      <c r="AZ102" s="79" t="s">
        <v>66</v>
      </c>
      <c r="BA102" s="78" t="str">
        <f>REPLACE(INDEX(GroupVertices[Group], MATCH(Vertices[[#This Row],[Vertex]],GroupVertices[Vertex],0)),1,1,"")</f>
        <v>2</v>
      </c>
      <c r="BB102" s="49" t="s">
        <v>1582</v>
      </c>
      <c r="BC102" s="49" t="s">
        <v>1582</v>
      </c>
      <c r="BD102" s="49" t="s">
        <v>449</v>
      </c>
      <c r="BE102" s="49" t="s">
        <v>449</v>
      </c>
      <c r="BF102" s="49" t="s">
        <v>461</v>
      </c>
      <c r="BG102" s="49" t="s">
        <v>461</v>
      </c>
      <c r="BH102" s="137" t="s">
        <v>1997</v>
      </c>
      <c r="BI102" s="137" t="s">
        <v>1997</v>
      </c>
      <c r="BJ102" s="137" t="s">
        <v>2052</v>
      </c>
      <c r="BK102" s="137" t="s">
        <v>2052</v>
      </c>
      <c r="BL102" s="2"/>
      <c r="BM102" s="3"/>
      <c r="BN102" s="3"/>
      <c r="BO102" s="3"/>
      <c r="BP102" s="3"/>
    </row>
    <row r="103" spans="1:68" x14ac:dyDescent="0.25">
      <c r="A103" s="64" t="s">
        <v>283</v>
      </c>
      <c r="B103" s="65"/>
      <c r="C103" s="65"/>
      <c r="D103" s="66">
        <v>20</v>
      </c>
      <c r="E103" s="104"/>
      <c r="F103" s="96" t="str">
        <f>HYPERLINK("https://pbs.twimg.com/profile_images/1370796009001938947/o8jZ3PKM_normal.jpg")</f>
        <v>https://pbs.twimg.com/profile_images/1370796009001938947/o8jZ3PKM_normal.jpg</v>
      </c>
      <c r="G103" s="105"/>
      <c r="H103" s="69" t="s">
        <v>283</v>
      </c>
      <c r="I103" s="70"/>
      <c r="J103" s="106"/>
      <c r="K103" s="69" t="s">
        <v>1476</v>
      </c>
      <c r="L103" s="107">
        <v>1</v>
      </c>
      <c r="M103" s="74">
        <v>2280.590576171875</v>
      </c>
      <c r="N103" s="74">
        <v>3291.656494140625</v>
      </c>
      <c r="O103" s="75"/>
      <c r="P103" s="76"/>
      <c r="Q103" s="76"/>
      <c r="R103" s="88"/>
      <c r="S103" s="49">
        <v>0</v>
      </c>
      <c r="T103" s="49">
        <v>2</v>
      </c>
      <c r="U103" s="50">
        <v>0</v>
      </c>
      <c r="V103" s="50">
        <v>7.2459999999999998E-3</v>
      </c>
      <c r="W103" s="50">
        <v>2.0239E-2</v>
      </c>
      <c r="X103" s="50">
        <v>0.56255900000000003</v>
      </c>
      <c r="Y103" s="50">
        <v>1</v>
      </c>
      <c r="Z103" s="50">
        <v>0</v>
      </c>
      <c r="AA103" s="71">
        <v>103</v>
      </c>
      <c r="AB103"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03" s="72"/>
      <c r="AD103" s="79" t="s">
        <v>1053</v>
      </c>
      <c r="AE103" s="85" t="s">
        <v>1171</v>
      </c>
      <c r="AF103" s="79">
        <v>689</v>
      </c>
      <c r="AG103" s="79">
        <v>103</v>
      </c>
      <c r="AH103" s="79">
        <v>104150</v>
      </c>
      <c r="AI103" s="79">
        <v>67555</v>
      </c>
      <c r="AJ103" s="79"/>
      <c r="AK103" s="79" t="s">
        <v>1286</v>
      </c>
      <c r="AL103" s="79"/>
      <c r="AM103" s="79"/>
      <c r="AN103" s="79"/>
      <c r="AO103" s="81">
        <v>44267.479525462964</v>
      </c>
      <c r="AP103" s="83" t="str">
        <f>HYPERLINK("https://pbs.twimg.com/profile_banners/1370336101043302401/1615557809")</f>
        <v>https://pbs.twimg.com/profile_banners/1370336101043302401/1615557809</v>
      </c>
      <c r="AQ103" s="79" t="b">
        <v>1</v>
      </c>
      <c r="AR103" s="79" t="b">
        <v>0</v>
      </c>
      <c r="AS103" s="79" t="b">
        <v>0</v>
      </c>
      <c r="AT103" s="79"/>
      <c r="AU103" s="79">
        <v>1</v>
      </c>
      <c r="AV103" s="79"/>
      <c r="AW103" s="79" t="b">
        <v>0</v>
      </c>
      <c r="AX103" s="79" t="s">
        <v>1376</v>
      </c>
      <c r="AY103" s="83" t="str">
        <f>HYPERLINK("https://twitter.com/msn100ms46")</f>
        <v>https://twitter.com/msn100ms46</v>
      </c>
      <c r="AZ103" s="79" t="s">
        <v>66</v>
      </c>
      <c r="BA103" s="78" t="str">
        <f>REPLACE(INDEX(GroupVertices[Group], MATCH(Vertices[[#This Row],[Vertex]],GroupVertices[Vertex],0)),1,1,"")</f>
        <v>1</v>
      </c>
      <c r="BB103" s="49"/>
      <c r="BC103" s="49"/>
      <c r="BD103" s="49"/>
      <c r="BE103" s="49"/>
      <c r="BF103" s="49" t="s">
        <v>461</v>
      </c>
      <c r="BG103" s="49" t="s">
        <v>461</v>
      </c>
      <c r="BH103" s="137" t="s">
        <v>2000</v>
      </c>
      <c r="BI103" s="137" t="s">
        <v>2000</v>
      </c>
      <c r="BJ103" s="137" t="s">
        <v>2055</v>
      </c>
      <c r="BK103" s="137" t="s">
        <v>2055</v>
      </c>
      <c r="BL103" s="2"/>
      <c r="BM103" s="3"/>
      <c r="BN103" s="3"/>
      <c r="BO103" s="3"/>
      <c r="BP103" s="3"/>
    </row>
    <row r="104" spans="1:68" x14ac:dyDescent="0.25">
      <c r="A104" s="64" t="s">
        <v>260</v>
      </c>
      <c r="B104" s="65"/>
      <c r="C104" s="65"/>
      <c r="D104" s="66">
        <v>20</v>
      </c>
      <c r="E104" s="104"/>
      <c r="F104" s="96" t="str">
        <f>HYPERLINK("https://pbs.twimg.com/profile_images/3042548870/bfa8c8093e0da871ba9c734f472fe580_normal.jpeg")</f>
        <v>https://pbs.twimg.com/profile_images/3042548870/bfa8c8093e0da871ba9c734f472fe580_normal.jpeg</v>
      </c>
      <c r="G104" s="105"/>
      <c r="H104" s="69" t="s">
        <v>260</v>
      </c>
      <c r="I104" s="70"/>
      <c r="J104" s="106"/>
      <c r="K104" s="69" t="s">
        <v>1444</v>
      </c>
      <c r="L104" s="107">
        <v>1</v>
      </c>
      <c r="M104" s="74">
        <v>3162.489013671875</v>
      </c>
      <c r="N104" s="74">
        <v>7994.09716796875</v>
      </c>
      <c r="O104" s="75"/>
      <c r="P104" s="76"/>
      <c r="Q104" s="76"/>
      <c r="R104" s="88"/>
      <c r="S104" s="49">
        <v>0</v>
      </c>
      <c r="T104" s="49">
        <v>2</v>
      </c>
      <c r="U104" s="50">
        <v>0</v>
      </c>
      <c r="V104" s="50">
        <v>2.2727000000000001E-2</v>
      </c>
      <c r="W104" s="50">
        <v>3.9999999999999998E-6</v>
      </c>
      <c r="X104" s="50">
        <v>0.547435</v>
      </c>
      <c r="Y104" s="50">
        <v>1</v>
      </c>
      <c r="Z104" s="50">
        <v>0</v>
      </c>
      <c r="AA104" s="71">
        <v>104</v>
      </c>
      <c r="AB104"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04" s="72"/>
      <c r="AD104" s="79" t="s">
        <v>1021</v>
      </c>
      <c r="AE104" s="85" t="s">
        <v>1140</v>
      </c>
      <c r="AF104" s="79">
        <v>416</v>
      </c>
      <c r="AG104" s="79">
        <v>93</v>
      </c>
      <c r="AH104" s="79">
        <v>314</v>
      </c>
      <c r="AI104" s="79">
        <v>852</v>
      </c>
      <c r="AJ104" s="79"/>
      <c r="AK104" s="79" t="s">
        <v>1257</v>
      </c>
      <c r="AL104" s="79" t="s">
        <v>1347</v>
      </c>
      <c r="AM104" s="79"/>
      <c r="AN104" s="79"/>
      <c r="AO104" s="81">
        <v>40359.117407407408</v>
      </c>
      <c r="AP104" s="83" t="str">
        <f>HYPERLINK("https://pbs.twimg.com/profile_banners/161140978/1356894737")</f>
        <v>https://pbs.twimg.com/profile_banners/161140978/1356894737</v>
      </c>
      <c r="AQ104" s="79" t="b">
        <v>0</v>
      </c>
      <c r="AR104" s="79" t="b">
        <v>0</v>
      </c>
      <c r="AS104" s="79" t="b">
        <v>0</v>
      </c>
      <c r="AT104" s="79"/>
      <c r="AU104" s="79">
        <v>1</v>
      </c>
      <c r="AV104" s="83" t="str">
        <f>HYPERLINK("https://abs.twimg.com/images/themes/theme1/bg.png")</f>
        <v>https://abs.twimg.com/images/themes/theme1/bg.png</v>
      </c>
      <c r="AW104" s="79" t="b">
        <v>0</v>
      </c>
      <c r="AX104" s="79" t="s">
        <v>1376</v>
      </c>
      <c r="AY104" s="83" t="str">
        <f>HYPERLINK("https://twitter.com/clcphd2004")</f>
        <v>https://twitter.com/clcphd2004</v>
      </c>
      <c r="AZ104" s="79" t="s">
        <v>66</v>
      </c>
      <c r="BA104" s="78" t="str">
        <f>REPLACE(INDEX(GroupVertices[Group], MATCH(Vertices[[#This Row],[Vertex]],GroupVertices[Vertex],0)),1,1,"")</f>
        <v>2</v>
      </c>
      <c r="BB104" s="49"/>
      <c r="BC104" s="49"/>
      <c r="BD104" s="49"/>
      <c r="BE104" s="49"/>
      <c r="BF104" s="49" t="s">
        <v>461</v>
      </c>
      <c r="BG104" s="49" t="s">
        <v>461</v>
      </c>
      <c r="BH104" s="137" t="s">
        <v>2019</v>
      </c>
      <c r="BI104" s="137" t="s">
        <v>2019</v>
      </c>
      <c r="BJ104" s="137" t="s">
        <v>2072</v>
      </c>
      <c r="BK104" s="137" t="s">
        <v>2072</v>
      </c>
      <c r="BL104" s="2"/>
      <c r="BM104" s="3"/>
      <c r="BN104" s="3"/>
      <c r="BO104" s="3"/>
      <c r="BP104" s="3"/>
    </row>
    <row r="105" spans="1:68" x14ac:dyDescent="0.25">
      <c r="A105" s="64" t="s">
        <v>268</v>
      </c>
      <c r="B105" s="65"/>
      <c r="C105" s="65"/>
      <c r="D105" s="66">
        <v>20</v>
      </c>
      <c r="E105" s="104"/>
      <c r="F105" s="96" t="str">
        <f>HYPERLINK("https://pbs.twimg.com/profile_images/1379152180859432961/RsBma7pD_normal.jpg")</f>
        <v>https://pbs.twimg.com/profile_images/1379152180859432961/RsBma7pD_normal.jpg</v>
      </c>
      <c r="G105" s="105"/>
      <c r="H105" s="69" t="s">
        <v>268</v>
      </c>
      <c r="I105" s="70"/>
      <c r="J105" s="106"/>
      <c r="K105" s="69" t="s">
        <v>1459</v>
      </c>
      <c r="L105" s="107">
        <v>1</v>
      </c>
      <c r="M105" s="74">
        <v>9258.3193359375</v>
      </c>
      <c r="N105" s="74">
        <v>2110.91015625</v>
      </c>
      <c r="O105" s="75"/>
      <c r="P105" s="76"/>
      <c r="Q105" s="76"/>
      <c r="R105" s="88"/>
      <c r="S105" s="49">
        <v>0</v>
      </c>
      <c r="T105" s="49">
        <v>1</v>
      </c>
      <c r="U105" s="50">
        <v>0</v>
      </c>
      <c r="V105" s="50">
        <v>1</v>
      </c>
      <c r="W105" s="50">
        <v>0</v>
      </c>
      <c r="X105" s="50">
        <v>0.999996</v>
      </c>
      <c r="Y105" s="50">
        <v>0</v>
      </c>
      <c r="Z105" s="50">
        <v>0</v>
      </c>
      <c r="AA105" s="71">
        <v>105</v>
      </c>
      <c r="AB105"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05" s="72"/>
      <c r="AD105" s="79" t="s">
        <v>1036</v>
      </c>
      <c r="AE105" s="85" t="s">
        <v>1154</v>
      </c>
      <c r="AF105" s="79">
        <v>108</v>
      </c>
      <c r="AG105" s="79">
        <v>91</v>
      </c>
      <c r="AH105" s="79">
        <v>731</v>
      </c>
      <c r="AI105" s="79">
        <v>946</v>
      </c>
      <c r="AJ105" s="79"/>
      <c r="AK105" s="79" t="s">
        <v>1272</v>
      </c>
      <c r="AL105" s="79" t="s">
        <v>1358</v>
      </c>
      <c r="AM105" s="83" t="str">
        <f>HYPERLINK("https://t.co/OCe7wEL9Ms")</f>
        <v>https://t.co/OCe7wEL9Ms</v>
      </c>
      <c r="AN105" s="79"/>
      <c r="AO105" s="81">
        <v>42440.031018518515</v>
      </c>
      <c r="AP105" s="83" t="str">
        <f>HYPERLINK("https://pbs.twimg.com/profile_banners/708091234158379012/1461706985")</f>
        <v>https://pbs.twimg.com/profile_banners/708091234158379012/1461706985</v>
      </c>
      <c r="AQ105" s="79" t="b">
        <v>0</v>
      </c>
      <c r="AR105" s="79" t="b">
        <v>0</v>
      </c>
      <c r="AS105" s="79" t="b">
        <v>1</v>
      </c>
      <c r="AT105" s="79"/>
      <c r="AU105" s="79">
        <v>2</v>
      </c>
      <c r="AV105" s="83" t="str">
        <f>HYPERLINK("https://abs.twimg.com/images/themes/theme1/bg.png")</f>
        <v>https://abs.twimg.com/images/themes/theme1/bg.png</v>
      </c>
      <c r="AW105" s="79" t="b">
        <v>0</v>
      </c>
      <c r="AX105" s="79" t="s">
        <v>1376</v>
      </c>
      <c r="AY105" s="83" t="str">
        <f>HYPERLINK("https://twitter.com/trio_sss_mc")</f>
        <v>https://twitter.com/trio_sss_mc</v>
      </c>
      <c r="AZ105" s="79" t="s">
        <v>66</v>
      </c>
      <c r="BA105" s="78" t="str">
        <f>REPLACE(INDEX(GroupVertices[Group], MATCH(Vertices[[#This Row],[Vertex]],GroupVertices[Vertex],0)),1,1,"")</f>
        <v>13</v>
      </c>
      <c r="BB105" s="49"/>
      <c r="BC105" s="49"/>
      <c r="BD105" s="49"/>
      <c r="BE105" s="49"/>
      <c r="BF105" s="49" t="s">
        <v>479</v>
      </c>
      <c r="BG105" s="49" t="s">
        <v>479</v>
      </c>
      <c r="BH105" s="137" t="s">
        <v>2020</v>
      </c>
      <c r="BI105" s="137" t="s">
        <v>2020</v>
      </c>
      <c r="BJ105" s="137" t="s">
        <v>2073</v>
      </c>
      <c r="BK105" s="137" t="s">
        <v>2073</v>
      </c>
      <c r="BL105" s="2"/>
      <c r="BM105" s="3"/>
      <c r="BN105" s="3"/>
      <c r="BO105" s="3"/>
      <c r="BP105" s="3"/>
    </row>
    <row r="106" spans="1:68" x14ac:dyDescent="0.25">
      <c r="A106" s="64" t="s">
        <v>273</v>
      </c>
      <c r="B106" s="65"/>
      <c r="C106" s="65"/>
      <c r="D106" s="66">
        <v>20</v>
      </c>
      <c r="E106" s="104"/>
      <c r="F106" s="96" t="str">
        <f>HYPERLINK("https://pbs.twimg.com/profile_images/1389784346018689032/vW8MKmrP_normal.jpg")</f>
        <v>https://pbs.twimg.com/profile_images/1389784346018689032/vW8MKmrP_normal.jpg</v>
      </c>
      <c r="G106" s="105"/>
      <c r="H106" s="69" t="s">
        <v>273</v>
      </c>
      <c r="I106" s="70"/>
      <c r="J106" s="106"/>
      <c r="K106" s="69" t="s">
        <v>1465</v>
      </c>
      <c r="L106" s="107">
        <v>1</v>
      </c>
      <c r="M106" s="74">
        <v>751.4713134765625</v>
      </c>
      <c r="N106" s="74">
        <v>1032.293701171875</v>
      </c>
      <c r="O106" s="75"/>
      <c r="P106" s="76"/>
      <c r="Q106" s="76"/>
      <c r="R106" s="88"/>
      <c r="S106" s="49">
        <v>0</v>
      </c>
      <c r="T106" s="49">
        <v>2</v>
      </c>
      <c r="U106" s="50">
        <v>0</v>
      </c>
      <c r="V106" s="50">
        <v>7.2459999999999998E-3</v>
      </c>
      <c r="W106" s="50">
        <v>2.0239E-2</v>
      </c>
      <c r="X106" s="50">
        <v>0.56255900000000003</v>
      </c>
      <c r="Y106" s="50">
        <v>1</v>
      </c>
      <c r="Z106" s="50">
        <v>0</v>
      </c>
      <c r="AA106" s="71">
        <v>106</v>
      </c>
      <c r="AB106"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06" s="72"/>
      <c r="AD106" s="79" t="s">
        <v>1042</v>
      </c>
      <c r="AE106" s="85" t="s">
        <v>1160</v>
      </c>
      <c r="AF106" s="79">
        <v>542</v>
      </c>
      <c r="AG106" s="79">
        <v>77</v>
      </c>
      <c r="AH106" s="79">
        <v>4208</v>
      </c>
      <c r="AI106" s="79">
        <v>492</v>
      </c>
      <c r="AJ106" s="79"/>
      <c r="AK106" s="79" t="s">
        <v>1276</v>
      </c>
      <c r="AL106" s="79"/>
      <c r="AM106" s="79"/>
      <c r="AN106" s="79"/>
      <c r="AO106" s="81">
        <v>44209.82435185185</v>
      </c>
      <c r="AP106" s="83" t="str">
        <f>HYPERLINK("https://pbs.twimg.com/profile_banners/1349442736605302786/1620185944")</f>
        <v>https://pbs.twimg.com/profile_banners/1349442736605302786/1620185944</v>
      </c>
      <c r="AQ106" s="79" t="b">
        <v>1</v>
      </c>
      <c r="AR106" s="79" t="b">
        <v>0</v>
      </c>
      <c r="AS106" s="79" t="b">
        <v>0</v>
      </c>
      <c r="AT106" s="79"/>
      <c r="AU106" s="79">
        <v>2</v>
      </c>
      <c r="AV106" s="79"/>
      <c r="AW106" s="79" t="b">
        <v>0</v>
      </c>
      <c r="AX106" s="79" t="s">
        <v>1376</v>
      </c>
      <c r="AY106" s="83" t="str">
        <f>HYPERLINK("https://twitter.com/julieworley14")</f>
        <v>https://twitter.com/julieworley14</v>
      </c>
      <c r="AZ106" s="79" t="s">
        <v>66</v>
      </c>
      <c r="BA106" s="78" t="str">
        <f>REPLACE(INDEX(GroupVertices[Group], MATCH(Vertices[[#This Row],[Vertex]],GroupVertices[Vertex],0)),1,1,"")</f>
        <v>1</v>
      </c>
      <c r="BB106" s="49"/>
      <c r="BC106" s="49"/>
      <c r="BD106" s="49"/>
      <c r="BE106" s="49"/>
      <c r="BF106" s="49" t="s">
        <v>461</v>
      </c>
      <c r="BG106" s="49" t="s">
        <v>461</v>
      </c>
      <c r="BH106" s="137" t="s">
        <v>2000</v>
      </c>
      <c r="BI106" s="137" t="s">
        <v>2000</v>
      </c>
      <c r="BJ106" s="137" t="s">
        <v>2055</v>
      </c>
      <c r="BK106" s="137" t="s">
        <v>2055</v>
      </c>
      <c r="BL106" s="2"/>
      <c r="BM106" s="3"/>
      <c r="BN106" s="3"/>
      <c r="BO106" s="3"/>
      <c r="BP106" s="3"/>
    </row>
    <row r="107" spans="1:68" x14ac:dyDescent="0.25">
      <c r="A107" s="64" t="s">
        <v>317</v>
      </c>
      <c r="B107" s="65"/>
      <c r="C107" s="65"/>
      <c r="D107" s="66">
        <v>20</v>
      </c>
      <c r="E107" s="104"/>
      <c r="F107" s="96" t="str">
        <f>HYPERLINK("https://pbs.twimg.com/profile_images/566266048865771521/Q3hOdWjT_normal.jpeg")</f>
        <v>https://pbs.twimg.com/profile_images/566266048865771521/Q3hOdWjT_normal.jpeg</v>
      </c>
      <c r="G107" s="105"/>
      <c r="H107" s="69" t="s">
        <v>317</v>
      </c>
      <c r="I107" s="70"/>
      <c r="J107" s="106"/>
      <c r="K107" s="69" t="s">
        <v>1442</v>
      </c>
      <c r="L107" s="107">
        <v>1</v>
      </c>
      <c r="M107" s="74">
        <v>7634.56005859375</v>
      </c>
      <c r="N107" s="74">
        <v>4249.5791015625</v>
      </c>
      <c r="O107" s="75"/>
      <c r="P107" s="76"/>
      <c r="Q107" s="76"/>
      <c r="R107" s="88"/>
      <c r="S107" s="49">
        <v>1</v>
      </c>
      <c r="T107" s="49">
        <v>0</v>
      </c>
      <c r="U107" s="50">
        <v>0</v>
      </c>
      <c r="V107" s="50">
        <v>0.33333299999999999</v>
      </c>
      <c r="W107" s="50">
        <v>0</v>
      </c>
      <c r="X107" s="50">
        <v>0.77026700000000003</v>
      </c>
      <c r="Y107" s="50">
        <v>0</v>
      </c>
      <c r="Z107" s="50">
        <v>0</v>
      </c>
      <c r="AA107" s="71">
        <v>107</v>
      </c>
      <c r="AB107"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07" s="72"/>
      <c r="AD107" s="79" t="s">
        <v>1019</v>
      </c>
      <c r="AE107" s="85" t="s">
        <v>1138</v>
      </c>
      <c r="AF107" s="79">
        <v>1</v>
      </c>
      <c r="AG107" s="79">
        <v>67</v>
      </c>
      <c r="AH107" s="79">
        <v>3</v>
      </c>
      <c r="AI107" s="79">
        <v>0</v>
      </c>
      <c r="AJ107" s="79"/>
      <c r="AK107" s="79" t="s">
        <v>1255</v>
      </c>
      <c r="AL107" s="79" t="s">
        <v>1345</v>
      </c>
      <c r="AM107" s="83" t="str">
        <f>HYPERLINK("http://t.co/pzo4va4jVo")</f>
        <v>http://t.co/pzo4va4jVo</v>
      </c>
      <c r="AN107" s="79"/>
      <c r="AO107" s="81">
        <v>42048.665636574071</v>
      </c>
      <c r="AP107" s="83" t="str">
        <f>HYPERLINK("https://pbs.twimg.com/profile_banners/3018670327/1423843417")</f>
        <v>https://pbs.twimg.com/profile_banners/3018670327/1423843417</v>
      </c>
      <c r="AQ107" s="79" t="b">
        <v>0</v>
      </c>
      <c r="AR107" s="79" t="b">
        <v>0</v>
      </c>
      <c r="AS107" s="79" t="b">
        <v>0</v>
      </c>
      <c r="AT107" s="79"/>
      <c r="AU107" s="79">
        <v>0</v>
      </c>
      <c r="AV107" s="83" t="str">
        <f>HYPERLINK("https://abs.twimg.com/images/themes/theme1/bg.png")</f>
        <v>https://abs.twimg.com/images/themes/theme1/bg.png</v>
      </c>
      <c r="AW107" s="79" t="b">
        <v>0</v>
      </c>
      <c r="AX107" s="79" t="s">
        <v>1376</v>
      </c>
      <c r="AY107" s="83" t="str">
        <f>HYPERLINK("https://twitter.com/iflyhouston")</f>
        <v>https://twitter.com/iflyhouston</v>
      </c>
      <c r="AZ107" s="79" t="s">
        <v>65</v>
      </c>
      <c r="BA107" s="78" t="str">
        <f>REPLACE(INDEX(GroupVertices[Group], MATCH(Vertices[[#This Row],[Vertex]],GroupVertices[Vertex],0)),1,1,"")</f>
        <v>10</v>
      </c>
      <c r="BB107" s="49"/>
      <c r="BC107" s="49"/>
      <c r="BD107" s="49"/>
      <c r="BE107" s="49"/>
      <c r="BF107" s="49"/>
      <c r="BG107" s="49"/>
      <c r="BH107" s="49"/>
      <c r="BI107" s="49"/>
      <c r="BJ107" s="49"/>
      <c r="BK107" s="49"/>
      <c r="BL107" s="2"/>
      <c r="BM107" s="3"/>
      <c r="BN107" s="3"/>
      <c r="BO107" s="3"/>
      <c r="BP107" s="3"/>
    </row>
    <row r="108" spans="1:68" x14ac:dyDescent="0.25">
      <c r="A108" s="64" t="s">
        <v>226</v>
      </c>
      <c r="B108" s="65"/>
      <c r="C108" s="65"/>
      <c r="D108" s="66">
        <v>20</v>
      </c>
      <c r="E108" s="104"/>
      <c r="F108" s="96" t="str">
        <f>HYPERLINK("https://pbs.twimg.com/profile_images/1286419127394086912/BI7i855s_normal.jpg")</f>
        <v>https://pbs.twimg.com/profile_images/1286419127394086912/BI7i855s_normal.jpg</v>
      </c>
      <c r="G108" s="105"/>
      <c r="H108" s="69" t="s">
        <v>226</v>
      </c>
      <c r="I108" s="70"/>
      <c r="J108" s="106"/>
      <c r="K108" s="69" t="s">
        <v>1392</v>
      </c>
      <c r="L108" s="107">
        <v>1</v>
      </c>
      <c r="M108" s="74">
        <v>6434.47509765625</v>
      </c>
      <c r="N108" s="74">
        <v>6749.3251953125</v>
      </c>
      <c r="O108" s="75"/>
      <c r="P108" s="76"/>
      <c r="Q108" s="76"/>
      <c r="R108" s="88"/>
      <c r="S108" s="49">
        <v>1</v>
      </c>
      <c r="T108" s="49">
        <v>1</v>
      </c>
      <c r="U108" s="50">
        <v>0</v>
      </c>
      <c r="V108" s="50">
        <v>0</v>
      </c>
      <c r="W108" s="50">
        <v>0</v>
      </c>
      <c r="X108" s="50">
        <v>0.999996</v>
      </c>
      <c r="Y108" s="50">
        <v>0</v>
      </c>
      <c r="Z108" s="50">
        <v>0</v>
      </c>
      <c r="AA108" s="71">
        <v>108</v>
      </c>
      <c r="AB108"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08" s="72"/>
      <c r="AD108" s="79" t="s">
        <v>969</v>
      </c>
      <c r="AE108" s="85" t="s">
        <v>1090</v>
      </c>
      <c r="AF108" s="79">
        <v>244</v>
      </c>
      <c r="AG108" s="79">
        <v>64</v>
      </c>
      <c r="AH108" s="79">
        <v>117</v>
      </c>
      <c r="AI108" s="79">
        <v>310</v>
      </c>
      <c r="AJ108" s="79"/>
      <c r="AK108" s="79" t="s">
        <v>1206</v>
      </c>
      <c r="AL108" s="79"/>
      <c r="AM108" s="83" t="str">
        <f>HYPERLINK("https://t.co/SjcuCyD2Sm")</f>
        <v>https://t.co/SjcuCyD2Sm</v>
      </c>
      <c r="AN108" s="79"/>
      <c r="AO108" s="81">
        <v>44035.91065972222</v>
      </c>
      <c r="AP108" s="83" t="str">
        <f>HYPERLINK("https://pbs.twimg.com/profile_banners/1286418584831393794/1595859257")</f>
        <v>https://pbs.twimg.com/profile_banners/1286418584831393794/1595859257</v>
      </c>
      <c r="AQ108" s="79" t="b">
        <v>1</v>
      </c>
      <c r="AR108" s="79" t="b">
        <v>0</v>
      </c>
      <c r="AS108" s="79" t="b">
        <v>0</v>
      </c>
      <c r="AT108" s="79"/>
      <c r="AU108" s="79">
        <v>0</v>
      </c>
      <c r="AV108" s="79"/>
      <c r="AW108" s="79" t="b">
        <v>0</v>
      </c>
      <c r="AX108" s="79" t="s">
        <v>1376</v>
      </c>
      <c r="AY108" s="83" t="str">
        <f>HYPERLINK("https://twitter.com/trioperks")</f>
        <v>https://twitter.com/trioperks</v>
      </c>
      <c r="AZ108" s="79" t="s">
        <v>66</v>
      </c>
      <c r="BA108" s="78" t="str">
        <f>REPLACE(INDEX(GroupVertices[Group], MATCH(Vertices[[#This Row],[Vertex]],GroupVertices[Vertex],0)),1,1,"")</f>
        <v>5</v>
      </c>
      <c r="BB108" s="49" t="s">
        <v>1607</v>
      </c>
      <c r="BC108" s="49" t="s">
        <v>1607</v>
      </c>
      <c r="BD108" s="49" t="s">
        <v>449</v>
      </c>
      <c r="BE108" s="49" t="s">
        <v>449</v>
      </c>
      <c r="BF108" s="49" t="s">
        <v>466</v>
      </c>
      <c r="BG108" s="49" t="s">
        <v>466</v>
      </c>
      <c r="BH108" s="137" t="s">
        <v>2021</v>
      </c>
      <c r="BI108" s="137" t="s">
        <v>2021</v>
      </c>
      <c r="BJ108" s="137" t="s">
        <v>2074</v>
      </c>
      <c r="BK108" s="137" t="s">
        <v>2074</v>
      </c>
      <c r="BL108" s="2"/>
      <c r="BM108" s="3"/>
      <c r="BN108" s="3"/>
      <c r="BO108" s="3"/>
      <c r="BP108" s="3"/>
    </row>
    <row r="109" spans="1:68" x14ac:dyDescent="0.25">
      <c r="A109" s="64" t="s">
        <v>270</v>
      </c>
      <c r="B109" s="65"/>
      <c r="C109" s="65"/>
      <c r="D109" s="66">
        <v>20</v>
      </c>
      <c r="E109" s="104"/>
      <c r="F109" s="96" t="str">
        <f>HYPERLINK("https://pbs.twimg.com/profile_images/884914684318666753/pcuispON_normal.jpg")</f>
        <v>https://pbs.twimg.com/profile_images/884914684318666753/pcuispON_normal.jpg</v>
      </c>
      <c r="G109" s="105"/>
      <c r="H109" s="69" t="s">
        <v>270</v>
      </c>
      <c r="I109" s="70"/>
      <c r="J109" s="106"/>
      <c r="K109" s="69" t="s">
        <v>1462</v>
      </c>
      <c r="L109" s="107">
        <v>1</v>
      </c>
      <c r="M109" s="74">
        <v>570.23284912109375</v>
      </c>
      <c r="N109" s="74">
        <v>5400.8876953125</v>
      </c>
      <c r="O109" s="75"/>
      <c r="P109" s="76"/>
      <c r="Q109" s="76"/>
      <c r="R109" s="88"/>
      <c r="S109" s="49">
        <v>0</v>
      </c>
      <c r="T109" s="49">
        <v>2</v>
      </c>
      <c r="U109" s="50">
        <v>0</v>
      </c>
      <c r="V109" s="50">
        <v>7.2459999999999998E-3</v>
      </c>
      <c r="W109" s="50">
        <v>2.0239E-2</v>
      </c>
      <c r="X109" s="50">
        <v>0.56255900000000003</v>
      </c>
      <c r="Y109" s="50">
        <v>1</v>
      </c>
      <c r="Z109" s="50">
        <v>0</v>
      </c>
      <c r="AA109" s="71">
        <v>109</v>
      </c>
      <c r="AB109"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09" s="72"/>
      <c r="AD109" s="79" t="s">
        <v>1039</v>
      </c>
      <c r="AE109" s="85" t="s">
        <v>1157</v>
      </c>
      <c r="AF109" s="79">
        <v>380</v>
      </c>
      <c r="AG109" s="79">
        <v>63</v>
      </c>
      <c r="AH109" s="79">
        <v>592</v>
      </c>
      <c r="AI109" s="79">
        <v>1623</v>
      </c>
      <c r="AJ109" s="79"/>
      <c r="AK109" s="79"/>
      <c r="AL109" s="79"/>
      <c r="AM109" s="79"/>
      <c r="AN109" s="79"/>
      <c r="AO109" s="81">
        <v>42214.110868055555</v>
      </c>
      <c r="AP109" s="83" t="str">
        <f>HYPERLINK("https://pbs.twimg.com/profile_banners/3393059601/1438138188")</f>
        <v>https://pbs.twimg.com/profile_banners/3393059601/1438138188</v>
      </c>
      <c r="AQ109" s="79" t="b">
        <v>1</v>
      </c>
      <c r="AR109" s="79" t="b">
        <v>0</v>
      </c>
      <c r="AS109" s="79" t="b">
        <v>0</v>
      </c>
      <c r="AT109" s="79"/>
      <c r="AU109" s="79">
        <v>1</v>
      </c>
      <c r="AV109" s="83" t="str">
        <f>HYPERLINK("https://abs.twimg.com/images/themes/theme1/bg.png")</f>
        <v>https://abs.twimg.com/images/themes/theme1/bg.png</v>
      </c>
      <c r="AW109" s="79" t="b">
        <v>0</v>
      </c>
      <c r="AX109" s="79" t="s">
        <v>1376</v>
      </c>
      <c r="AY109" s="83" t="str">
        <f>HYPERLINK("https://twitter.com/mizbosslady82")</f>
        <v>https://twitter.com/mizbosslady82</v>
      </c>
      <c r="AZ109" s="79" t="s">
        <v>66</v>
      </c>
      <c r="BA109" s="78" t="str">
        <f>REPLACE(INDEX(GroupVertices[Group], MATCH(Vertices[[#This Row],[Vertex]],GroupVertices[Vertex],0)),1,1,"")</f>
        <v>1</v>
      </c>
      <c r="BB109" s="49"/>
      <c r="BC109" s="49"/>
      <c r="BD109" s="49"/>
      <c r="BE109" s="49"/>
      <c r="BF109" s="49" t="s">
        <v>461</v>
      </c>
      <c r="BG109" s="49" t="s">
        <v>461</v>
      </c>
      <c r="BH109" s="137" t="s">
        <v>2000</v>
      </c>
      <c r="BI109" s="137" t="s">
        <v>2000</v>
      </c>
      <c r="BJ109" s="137" t="s">
        <v>2055</v>
      </c>
      <c r="BK109" s="137" t="s">
        <v>2055</v>
      </c>
      <c r="BL109" s="2"/>
      <c r="BM109" s="3"/>
      <c r="BN109" s="3"/>
      <c r="BO109" s="3"/>
      <c r="BP109" s="3"/>
    </row>
    <row r="110" spans="1:68" x14ac:dyDescent="0.25">
      <c r="A110" s="64" t="s">
        <v>276</v>
      </c>
      <c r="B110" s="65"/>
      <c r="C110" s="65"/>
      <c r="D110" s="66">
        <v>20</v>
      </c>
      <c r="E110" s="104"/>
      <c r="F110" s="96" t="str">
        <f>HYPERLINK("https://pbs.twimg.com/profile_images/1384410701838520326/0C022Vfi_normal.jpg")</f>
        <v>https://pbs.twimg.com/profile_images/1384410701838520326/0C022Vfi_normal.jpg</v>
      </c>
      <c r="G110" s="105"/>
      <c r="H110" s="69" t="s">
        <v>276</v>
      </c>
      <c r="I110" s="70"/>
      <c r="J110" s="106"/>
      <c r="K110" s="69" t="s">
        <v>1467</v>
      </c>
      <c r="L110" s="107">
        <v>1</v>
      </c>
      <c r="M110" s="74">
        <v>1780.3583984375</v>
      </c>
      <c r="N110" s="74">
        <v>9565.1171875</v>
      </c>
      <c r="O110" s="75"/>
      <c r="P110" s="76"/>
      <c r="Q110" s="76"/>
      <c r="R110" s="88"/>
      <c r="S110" s="49">
        <v>0</v>
      </c>
      <c r="T110" s="49">
        <v>2</v>
      </c>
      <c r="U110" s="50">
        <v>0</v>
      </c>
      <c r="V110" s="50">
        <v>7.2989999999999999E-3</v>
      </c>
      <c r="W110" s="50">
        <v>1.7802999999999999E-2</v>
      </c>
      <c r="X110" s="50">
        <v>0.58245199999999997</v>
      </c>
      <c r="Y110" s="50">
        <v>0.5</v>
      </c>
      <c r="Z110" s="50">
        <v>0</v>
      </c>
      <c r="AA110" s="71">
        <v>110</v>
      </c>
      <c r="AB110"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10" s="72"/>
      <c r="AD110" s="79" t="s">
        <v>1044</v>
      </c>
      <c r="AE110" s="85" t="s">
        <v>1162</v>
      </c>
      <c r="AF110" s="79">
        <v>51</v>
      </c>
      <c r="AG110" s="79">
        <v>58</v>
      </c>
      <c r="AH110" s="79">
        <v>40595</v>
      </c>
      <c r="AI110" s="79">
        <v>27936</v>
      </c>
      <c r="AJ110" s="79"/>
      <c r="AK110" s="79" t="s">
        <v>1278</v>
      </c>
      <c r="AL110" s="79">
        <v>213</v>
      </c>
      <c r="AM110" s="83" t="str">
        <f>HYPERLINK("https://t.co/WVm4fDM6bl")</f>
        <v>https://t.co/WVm4fDM6bl</v>
      </c>
      <c r="AN110" s="79"/>
      <c r="AO110" s="81">
        <v>40522.927858796298</v>
      </c>
      <c r="AP110" s="83" t="str">
        <f>HYPERLINK("https://pbs.twimg.com/profile_banners/225176527/1526419003")</f>
        <v>https://pbs.twimg.com/profile_banners/225176527/1526419003</v>
      </c>
      <c r="AQ110" s="79" t="b">
        <v>1</v>
      </c>
      <c r="AR110" s="79" t="b">
        <v>0</v>
      </c>
      <c r="AS110" s="79" t="b">
        <v>1</v>
      </c>
      <c r="AT110" s="79"/>
      <c r="AU110" s="79">
        <v>18</v>
      </c>
      <c r="AV110" s="83" t="str">
        <f>HYPERLINK("https://abs.twimg.com/images/themes/theme1/bg.png")</f>
        <v>https://abs.twimg.com/images/themes/theme1/bg.png</v>
      </c>
      <c r="AW110" s="79" t="b">
        <v>0</v>
      </c>
      <c r="AX110" s="79" t="s">
        <v>1376</v>
      </c>
      <c r="AY110" s="83" t="str">
        <f>HYPERLINK("https://twitter.com/independantdemo")</f>
        <v>https://twitter.com/independantdemo</v>
      </c>
      <c r="AZ110" s="79" t="s">
        <v>66</v>
      </c>
      <c r="BA110" s="78" t="str">
        <f>REPLACE(INDEX(GroupVertices[Group], MATCH(Vertices[[#This Row],[Vertex]],GroupVertices[Vertex],0)),1,1,"")</f>
        <v>1</v>
      </c>
      <c r="BB110" s="49"/>
      <c r="BC110" s="49"/>
      <c r="BD110" s="49"/>
      <c r="BE110" s="49"/>
      <c r="BF110" s="49" t="s">
        <v>461</v>
      </c>
      <c r="BG110" s="49" t="s">
        <v>461</v>
      </c>
      <c r="BH110" s="137" t="s">
        <v>1994</v>
      </c>
      <c r="BI110" s="137" t="s">
        <v>1994</v>
      </c>
      <c r="BJ110" s="137" t="s">
        <v>2049</v>
      </c>
      <c r="BK110" s="137" t="s">
        <v>2049</v>
      </c>
      <c r="BL110" s="2"/>
      <c r="BM110" s="3"/>
      <c r="BN110" s="3"/>
      <c r="BO110" s="3"/>
      <c r="BP110" s="3"/>
    </row>
    <row r="111" spans="1:68" x14ac:dyDescent="0.25">
      <c r="A111" s="64" t="s">
        <v>229</v>
      </c>
      <c r="B111" s="65"/>
      <c r="C111" s="65"/>
      <c r="D111" s="66">
        <v>20</v>
      </c>
      <c r="E111" s="104"/>
      <c r="F111" s="96" t="str">
        <f>HYPERLINK("https://pbs.twimg.com/profile_images/1103835235719041025/vpGCQpc__normal.jpg")</f>
        <v>https://pbs.twimg.com/profile_images/1103835235719041025/vpGCQpc__normal.jpg</v>
      </c>
      <c r="G111" s="105"/>
      <c r="H111" s="69" t="s">
        <v>229</v>
      </c>
      <c r="I111" s="70"/>
      <c r="J111" s="106"/>
      <c r="K111" s="69" t="s">
        <v>1394</v>
      </c>
      <c r="L111" s="107">
        <v>1</v>
      </c>
      <c r="M111" s="74">
        <v>8375.2265625</v>
      </c>
      <c r="N111" s="74">
        <v>433.88262939453125</v>
      </c>
      <c r="O111" s="75"/>
      <c r="P111" s="76"/>
      <c r="Q111" s="76"/>
      <c r="R111" s="88"/>
      <c r="S111" s="49">
        <v>2</v>
      </c>
      <c r="T111" s="49">
        <v>1</v>
      </c>
      <c r="U111" s="50">
        <v>0</v>
      </c>
      <c r="V111" s="50">
        <v>1</v>
      </c>
      <c r="W111" s="50">
        <v>0</v>
      </c>
      <c r="X111" s="50">
        <v>1.2982400000000001</v>
      </c>
      <c r="Y111" s="50">
        <v>0</v>
      </c>
      <c r="Z111" s="50">
        <v>0</v>
      </c>
      <c r="AA111" s="71">
        <v>111</v>
      </c>
      <c r="AB111"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11" s="72"/>
      <c r="AD111" s="79" t="s">
        <v>971</v>
      </c>
      <c r="AE111" s="85" t="s">
        <v>1092</v>
      </c>
      <c r="AF111" s="79">
        <v>225</v>
      </c>
      <c r="AG111" s="79">
        <v>58</v>
      </c>
      <c r="AH111" s="79">
        <v>379</v>
      </c>
      <c r="AI111" s="79">
        <v>439</v>
      </c>
      <c r="AJ111" s="79"/>
      <c r="AK111" s="79" t="s">
        <v>1208</v>
      </c>
      <c r="AL111" s="79" t="s">
        <v>1317</v>
      </c>
      <c r="AM111" s="83" t="str">
        <f>HYPERLINK("https://t.co/1tGN9tYOkH")</f>
        <v>https://t.co/1tGN9tYOkH</v>
      </c>
      <c r="AN111" s="79"/>
      <c r="AO111" s="81">
        <v>43532.076157407406</v>
      </c>
      <c r="AP111" s="79"/>
      <c r="AQ111" s="79" t="b">
        <v>1</v>
      </c>
      <c r="AR111" s="79" t="b">
        <v>0</v>
      </c>
      <c r="AS111" s="79" t="b">
        <v>0</v>
      </c>
      <c r="AT111" s="79"/>
      <c r="AU111" s="79">
        <v>0</v>
      </c>
      <c r="AV111" s="79"/>
      <c r="AW111" s="79" t="b">
        <v>0</v>
      </c>
      <c r="AX111" s="79" t="s">
        <v>1376</v>
      </c>
      <c r="AY111" s="83" t="str">
        <f>HYPERLINK("https://twitter.com/triosssmur")</f>
        <v>https://twitter.com/triosssmur</v>
      </c>
      <c r="AZ111" s="79" t="s">
        <v>66</v>
      </c>
      <c r="BA111" s="78" t="str">
        <f>REPLACE(INDEX(GroupVertices[Group], MATCH(Vertices[[#This Row],[Vertex]],GroupVertices[Vertex],0)),1,1,"")</f>
        <v>17</v>
      </c>
      <c r="BB111" s="49"/>
      <c r="BC111" s="49"/>
      <c r="BD111" s="49"/>
      <c r="BE111" s="49"/>
      <c r="BF111" s="49" t="s">
        <v>467</v>
      </c>
      <c r="BG111" s="49" t="s">
        <v>467</v>
      </c>
      <c r="BH111" s="137" t="s">
        <v>2017</v>
      </c>
      <c r="BI111" s="137" t="s">
        <v>2017</v>
      </c>
      <c r="BJ111" s="137" t="s">
        <v>1893</v>
      </c>
      <c r="BK111" s="137" t="s">
        <v>1893</v>
      </c>
      <c r="BL111" s="2"/>
      <c r="BM111" s="3"/>
      <c r="BN111" s="3"/>
      <c r="BO111" s="3"/>
      <c r="BP111" s="3"/>
    </row>
    <row r="112" spans="1:68" x14ac:dyDescent="0.25">
      <c r="A112" s="64" t="s">
        <v>223</v>
      </c>
      <c r="B112" s="65"/>
      <c r="C112" s="65"/>
      <c r="D112" s="66">
        <v>20</v>
      </c>
      <c r="E112" s="104"/>
      <c r="F112" s="96" t="str">
        <f>HYPERLINK("https://pbs.twimg.com/profile_images/948281611610550277/lc15RQQM_normal.jpg")</f>
        <v>https://pbs.twimg.com/profile_images/948281611610550277/lc15RQQM_normal.jpg</v>
      </c>
      <c r="G112" s="105"/>
      <c r="H112" s="69" t="s">
        <v>223</v>
      </c>
      <c r="I112" s="70"/>
      <c r="J112" s="106"/>
      <c r="K112" s="69" t="s">
        <v>1387</v>
      </c>
      <c r="L112" s="107">
        <v>1</v>
      </c>
      <c r="M112" s="74">
        <v>6383.251953125</v>
      </c>
      <c r="N112" s="74">
        <v>9123.7412109375</v>
      </c>
      <c r="O112" s="75"/>
      <c r="P112" s="76"/>
      <c r="Q112" s="76"/>
      <c r="R112" s="88"/>
      <c r="S112" s="49">
        <v>1</v>
      </c>
      <c r="T112" s="49">
        <v>1</v>
      </c>
      <c r="U112" s="50">
        <v>0</v>
      </c>
      <c r="V112" s="50">
        <v>0</v>
      </c>
      <c r="W112" s="50">
        <v>0</v>
      </c>
      <c r="X112" s="50">
        <v>0.999996</v>
      </c>
      <c r="Y112" s="50">
        <v>0</v>
      </c>
      <c r="Z112" s="50">
        <v>0</v>
      </c>
      <c r="AA112" s="71">
        <v>112</v>
      </c>
      <c r="AB112"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12" s="72"/>
      <c r="AD112" s="79" t="s">
        <v>964</v>
      </c>
      <c r="AE112" s="85" t="s">
        <v>1085</v>
      </c>
      <c r="AF112" s="79">
        <v>284</v>
      </c>
      <c r="AG112" s="79">
        <v>57</v>
      </c>
      <c r="AH112" s="79">
        <v>1564</v>
      </c>
      <c r="AI112" s="79">
        <v>60</v>
      </c>
      <c r="AJ112" s="79"/>
      <c r="AK112" s="79" t="s">
        <v>1201</v>
      </c>
      <c r="AL112" s="79" t="s">
        <v>1312</v>
      </c>
      <c r="AM112" s="79"/>
      <c r="AN112" s="79"/>
      <c r="AO112" s="81">
        <v>43102.808969907404</v>
      </c>
      <c r="AP112" s="79"/>
      <c r="AQ112" s="79" t="b">
        <v>1</v>
      </c>
      <c r="AR112" s="79" t="b">
        <v>0</v>
      </c>
      <c r="AS112" s="79" t="b">
        <v>0</v>
      </c>
      <c r="AT112" s="79"/>
      <c r="AU112" s="79">
        <v>1</v>
      </c>
      <c r="AV112" s="79"/>
      <c r="AW112" s="79" t="b">
        <v>0</v>
      </c>
      <c r="AX112" s="79" t="s">
        <v>1376</v>
      </c>
      <c r="AY112" s="83" t="str">
        <f>HYPERLINK("https://twitter.com/tseoc_psu")</f>
        <v>https://twitter.com/tseoc_psu</v>
      </c>
      <c r="AZ112" s="79" t="s">
        <v>66</v>
      </c>
      <c r="BA112" s="78" t="str">
        <f>REPLACE(INDEX(GroupVertices[Group], MATCH(Vertices[[#This Row],[Vertex]],GroupVertices[Vertex],0)),1,1,"")</f>
        <v>5</v>
      </c>
      <c r="BB112" s="49"/>
      <c r="BC112" s="49"/>
      <c r="BD112" s="49"/>
      <c r="BE112" s="49"/>
      <c r="BF112" s="49" t="s">
        <v>461</v>
      </c>
      <c r="BG112" s="49" t="s">
        <v>461</v>
      </c>
      <c r="BH112" s="137" t="s">
        <v>2022</v>
      </c>
      <c r="BI112" s="137" t="s">
        <v>2022</v>
      </c>
      <c r="BJ112" s="137" t="s">
        <v>2075</v>
      </c>
      <c r="BK112" s="137" t="s">
        <v>2075</v>
      </c>
      <c r="BL112" s="2"/>
      <c r="BM112" s="3"/>
      <c r="BN112" s="3"/>
      <c r="BO112" s="3"/>
      <c r="BP112" s="3"/>
    </row>
    <row r="113" spans="1:68" x14ac:dyDescent="0.25">
      <c r="A113" s="64" t="s">
        <v>272</v>
      </c>
      <c r="B113" s="65"/>
      <c r="C113" s="65"/>
      <c r="D113" s="66">
        <v>20</v>
      </c>
      <c r="E113" s="104"/>
      <c r="F113" s="96" t="str">
        <f>HYPERLINK("https://pbs.twimg.com/profile_images/3711100246/d3c61adb94e9832c57b1d93203a83ce3_normal.jpeg")</f>
        <v>https://pbs.twimg.com/profile_images/3711100246/d3c61adb94e9832c57b1d93203a83ce3_normal.jpeg</v>
      </c>
      <c r="G113" s="105"/>
      <c r="H113" s="69" t="s">
        <v>272</v>
      </c>
      <c r="I113" s="70"/>
      <c r="J113" s="106"/>
      <c r="K113" s="69" t="s">
        <v>1464</v>
      </c>
      <c r="L113" s="107">
        <v>1</v>
      </c>
      <c r="M113" s="74">
        <v>2030.800048828125</v>
      </c>
      <c r="N113" s="74">
        <v>8621.61328125</v>
      </c>
      <c r="O113" s="75"/>
      <c r="P113" s="76"/>
      <c r="Q113" s="76"/>
      <c r="R113" s="88"/>
      <c r="S113" s="49">
        <v>0</v>
      </c>
      <c r="T113" s="49">
        <v>2</v>
      </c>
      <c r="U113" s="50">
        <v>0</v>
      </c>
      <c r="V113" s="50">
        <v>7.2459999999999998E-3</v>
      </c>
      <c r="W113" s="50">
        <v>2.0239E-2</v>
      </c>
      <c r="X113" s="50">
        <v>0.56255900000000003</v>
      </c>
      <c r="Y113" s="50">
        <v>1</v>
      </c>
      <c r="Z113" s="50">
        <v>0</v>
      </c>
      <c r="AA113" s="71">
        <v>113</v>
      </c>
      <c r="AB113"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13" s="72"/>
      <c r="AD113" s="79" t="s">
        <v>1041</v>
      </c>
      <c r="AE113" s="85" t="s">
        <v>1159</v>
      </c>
      <c r="AF113" s="79">
        <v>360</v>
      </c>
      <c r="AG113" s="79">
        <v>52</v>
      </c>
      <c r="AH113" s="79">
        <v>49179</v>
      </c>
      <c r="AI113" s="79">
        <v>34107</v>
      </c>
      <c r="AJ113" s="79"/>
      <c r="AK113" s="79"/>
      <c r="AL113" s="79"/>
      <c r="AM113" s="79"/>
      <c r="AN113" s="79"/>
      <c r="AO113" s="81">
        <v>40821.165023148147</v>
      </c>
      <c r="AP113" s="83" t="str">
        <f>HYPERLINK("https://pbs.twimg.com/profile_banners/385238559/1361141569")</f>
        <v>https://pbs.twimg.com/profile_banners/385238559/1361141569</v>
      </c>
      <c r="AQ113" s="79" t="b">
        <v>0</v>
      </c>
      <c r="AR113" s="79" t="b">
        <v>0</v>
      </c>
      <c r="AS113" s="79" t="b">
        <v>0</v>
      </c>
      <c r="AT113" s="79"/>
      <c r="AU113" s="79">
        <v>2</v>
      </c>
      <c r="AV113" s="83" t="str">
        <f>HYPERLINK("https://abs.twimg.com/images/themes/theme10/bg.gif")</f>
        <v>https://abs.twimg.com/images/themes/theme10/bg.gif</v>
      </c>
      <c r="AW113" s="79" t="b">
        <v>0</v>
      </c>
      <c r="AX113" s="79" t="s">
        <v>1376</v>
      </c>
      <c r="AY113" s="83" t="str">
        <f>HYPERLINK("https://twitter.com/suemanning6")</f>
        <v>https://twitter.com/suemanning6</v>
      </c>
      <c r="AZ113" s="79" t="s">
        <v>66</v>
      </c>
      <c r="BA113" s="78" t="str">
        <f>REPLACE(INDEX(GroupVertices[Group], MATCH(Vertices[[#This Row],[Vertex]],GroupVertices[Vertex],0)),1,1,"")</f>
        <v>1</v>
      </c>
      <c r="BB113" s="49"/>
      <c r="BC113" s="49"/>
      <c r="BD113" s="49"/>
      <c r="BE113" s="49"/>
      <c r="BF113" s="49" t="s">
        <v>461</v>
      </c>
      <c r="BG113" s="49" t="s">
        <v>461</v>
      </c>
      <c r="BH113" s="137" t="s">
        <v>2000</v>
      </c>
      <c r="BI113" s="137" t="s">
        <v>2000</v>
      </c>
      <c r="BJ113" s="137" t="s">
        <v>2055</v>
      </c>
      <c r="BK113" s="137" t="s">
        <v>2055</v>
      </c>
      <c r="BL113" s="2"/>
      <c r="BM113" s="3"/>
      <c r="BN113" s="3"/>
      <c r="BO113" s="3"/>
      <c r="BP113" s="3"/>
    </row>
    <row r="114" spans="1:68" x14ac:dyDescent="0.25">
      <c r="A114" s="64" t="s">
        <v>231</v>
      </c>
      <c r="B114" s="65"/>
      <c r="C114" s="65"/>
      <c r="D114" s="66">
        <v>20</v>
      </c>
      <c r="E114" s="104"/>
      <c r="F114" s="96" t="str">
        <f>HYPERLINK("https://pbs.twimg.com/profile_images/867414285898723328/dHpvU7Q-_normal.jpg")</f>
        <v>https://pbs.twimg.com/profile_images/867414285898723328/dHpvU7Q-_normal.jpg</v>
      </c>
      <c r="G114" s="105"/>
      <c r="H114" s="69" t="s">
        <v>231</v>
      </c>
      <c r="I114" s="70"/>
      <c r="J114" s="106"/>
      <c r="K114" s="69" t="s">
        <v>1396</v>
      </c>
      <c r="L114" s="107">
        <v>1</v>
      </c>
      <c r="M114" s="74">
        <v>222.50372314453125</v>
      </c>
      <c r="N114" s="74">
        <v>8423.8974609375</v>
      </c>
      <c r="O114" s="75"/>
      <c r="P114" s="76"/>
      <c r="Q114" s="76"/>
      <c r="R114" s="88"/>
      <c r="S114" s="49">
        <v>0</v>
      </c>
      <c r="T114" s="49">
        <v>1</v>
      </c>
      <c r="U114" s="50">
        <v>0</v>
      </c>
      <c r="V114" s="50">
        <v>5.5250000000000004E-3</v>
      </c>
      <c r="W114" s="50">
        <v>4.078E-3</v>
      </c>
      <c r="X114" s="50">
        <v>0.37772800000000001</v>
      </c>
      <c r="Y114" s="50">
        <v>0</v>
      </c>
      <c r="Z114" s="50">
        <v>0</v>
      </c>
      <c r="AA114" s="71">
        <v>114</v>
      </c>
      <c r="AB114"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14" s="72"/>
      <c r="AD114" s="79" t="s">
        <v>973</v>
      </c>
      <c r="AE114" s="85" t="s">
        <v>1094</v>
      </c>
      <c r="AF114" s="79">
        <v>190</v>
      </c>
      <c r="AG114" s="79">
        <v>47</v>
      </c>
      <c r="AH114" s="79">
        <v>105</v>
      </c>
      <c r="AI114" s="79">
        <v>654</v>
      </c>
      <c r="AJ114" s="79"/>
      <c r="AK114" s="79" t="s">
        <v>1210</v>
      </c>
      <c r="AL114" s="79"/>
      <c r="AM114" s="79"/>
      <c r="AN114" s="79"/>
      <c r="AO114" s="81">
        <v>41390.163900462961</v>
      </c>
      <c r="AP114" s="79"/>
      <c r="AQ114" s="79" t="b">
        <v>1</v>
      </c>
      <c r="AR114" s="79" t="b">
        <v>0</v>
      </c>
      <c r="AS114" s="79" t="b">
        <v>0</v>
      </c>
      <c r="AT114" s="79"/>
      <c r="AU114" s="79">
        <v>0</v>
      </c>
      <c r="AV114" s="83" t="str">
        <f>HYPERLINK("https://abs.twimg.com/images/themes/theme1/bg.png")</f>
        <v>https://abs.twimg.com/images/themes/theme1/bg.png</v>
      </c>
      <c r="AW114" s="79" t="b">
        <v>0</v>
      </c>
      <c r="AX114" s="79" t="s">
        <v>1376</v>
      </c>
      <c r="AY114" s="83" t="str">
        <f>HYPERLINK("https://twitter.com/rader_trader")</f>
        <v>https://twitter.com/rader_trader</v>
      </c>
      <c r="AZ114" s="79" t="s">
        <v>66</v>
      </c>
      <c r="BA114" s="78" t="str">
        <f>REPLACE(INDEX(GroupVertices[Group], MATCH(Vertices[[#This Row],[Vertex]],GroupVertices[Vertex],0)),1,1,"")</f>
        <v>1</v>
      </c>
      <c r="BB114" s="49"/>
      <c r="BC114" s="49"/>
      <c r="BD114" s="49"/>
      <c r="BE114" s="49"/>
      <c r="BF114" s="49" t="s">
        <v>468</v>
      </c>
      <c r="BG114" s="49" t="s">
        <v>468</v>
      </c>
      <c r="BH114" s="137" t="s">
        <v>2023</v>
      </c>
      <c r="BI114" s="137" t="s">
        <v>2023</v>
      </c>
      <c r="BJ114" s="137" t="s">
        <v>2076</v>
      </c>
      <c r="BK114" s="137" t="s">
        <v>2076</v>
      </c>
      <c r="BL114" s="2"/>
      <c r="BM114" s="3"/>
      <c r="BN114" s="3"/>
      <c r="BO114" s="3"/>
      <c r="BP114" s="3"/>
    </row>
    <row r="115" spans="1:68" x14ac:dyDescent="0.25">
      <c r="A115" s="64" t="s">
        <v>269</v>
      </c>
      <c r="B115" s="65"/>
      <c r="C115" s="65"/>
      <c r="D115" s="66">
        <v>20</v>
      </c>
      <c r="E115" s="104"/>
      <c r="F115" s="96" t="str">
        <f>HYPERLINK("https://pbs.twimg.com/profile_images/1395104236090892295/-Z_zOvRK_normal.jpg")</f>
        <v>https://pbs.twimg.com/profile_images/1395104236090892295/-Z_zOvRK_normal.jpg</v>
      </c>
      <c r="G115" s="105"/>
      <c r="H115" s="69" t="s">
        <v>269</v>
      </c>
      <c r="I115" s="70"/>
      <c r="J115" s="106"/>
      <c r="K115" s="69" t="s">
        <v>1461</v>
      </c>
      <c r="L115" s="107">
        <v>1</v>
      </c>
      <c r="M115" s="74">
        <v>2059.065185546875</v>
      </c>
      <c r="N115" s="74">
        <v>5539.2802734375</v>
      </c>
      <c r="O115" s="75"/>
      <c r="P115" s="76"/>
      <c r="Q115" s="76"/>
      <c r="R115" s="88"/>
      <c r="S115" s="49">
        <v>0</v>
      </c>
      <c r="T115" s="49">
        <v>2</v>
      </c>
      <c r="U115" s="50">
        <v>0</v>
      </c>
      <c r="V115" s="50">
        <v>7.2459999999999998E-3</v>
      </c>
      <c r="W115" s="50">
        <v>2.0239E-2</v>
      </c>
      <c r="X115" s="50">
        <v>0.56255900000000003</v>
      </c>
      <c r="Y115" s="50">
        <v>1</v>
      </c>
      <c r="Z115" s="50">
        <v>0</v>
      </c>
      <c r="AA115" s="71">
        <v>115</v>
      </c>
      <c r="AB115"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15" s="72"/>
      <c r="AD115" s="79" t="s">
        <v>1038</v>
      </c>
      <c r="AE115" s="85" t="s">
        <v>1156</v>
      </c>
      <c r="AF115" s="79">
        <v>194</v>
      </c>
      <c r="AG115" s="79">
        <v>45</v>
      </c>
      <c r="AH115" s="79">
        <v>591</v>
      </c>
      <c r="AI115" s="79">
        <v>237</v>
      </c>
      <c r="AJ115" s="79"/>
      <c r="AK115" s="79" t="s">
        <v>1274</v>
      </c>
      <c r="AL115" s="79" t="s">
        <v>1359</v>
      </c>
      <c r="AM115" s="79"/>
      <c r="AN115" s="79"/>
      <c r="AO115" s="81">
        <v>44330.051863425928</v>
      </c>
      <c r="AP115" s="83" t="str">
        <f>HYPERLINK("https://pbs.twimg.com/profile_banners/1393011773402451974/1627743600")</f>
        <v>https://pbs.twimg.com/profile_banners/1393011773402451974/1627743600</v>
      </c>
      <c r="AQ115" s="79" t="b">
        <v>1</v>
      </c>
      <c r="AR115" s="79" t="b">
        <v>0</v>
      </c>
      <c r="AS115" s="79" t="b">
        <v>0</v>
      </c>
      <c r="AT115" s="79"/>
      <c r="AU115" s="79">
        <v>0</v>
      </c>
      <c r="AV115" s="79"/>
      <c r="AW115" s="79" t="b">
        <v>0</v>
      </c>
      <c r="AX115" s="79" t="s">
        <v>1376</v>
      </c>
      <c r="AY115" s="83" t="str">
        <f>HYPERLINK("https://twitter.com/barneskhalid321")</f>
        <v>https://twitter.com/barneskhalid321</v>
      </c>
      <c r="AZ115" s="79" t="s">
        <v>66</v>
      </c>
      <c r="BA115" s="78" t="str">
        <f>REPLACE(INDEX(GroupVertices[Group], MATCH(Vertices[[#This Row],[Vertex]],GroupVertices[Vertex],0)),1,1,"")</f>
        <v>1</v>
      </c>
      <c r="BB115" s="49"/>
      <c r="BC115" s="49"/>
      <c r="BD115" s="49"/>
      <c r="BE115" s="49"/>
      <c r="BF115" s="49" t="s">
        <v>461</v>
      </c>
      <c r="BG115" s="49" t="s">
        <v>461</v>
      </c>
      <c r="BH115" s="137" t="s">
        <v>2000</v>
      </c>
      <c r="BI115" s="137" t="s">
        <v>2000</v>
      </c>
      <c r="BJ115" s="137" t="s">
        <v>2055</v>
      </c>
      <c r="BK115" s="137" t="s">
        <v>2055</v>
      </c>
      <c r="BL115" s="2"/>
      <c r="BM115" s="3"/>
      <c r="BN115" s="3"/>
      <c r="BO115" s="3"/>
      <c r="BP115" s="3"/>
    </row>
    <row r="116" spans="1:68" x14ac:dyDescent="0.25">
      <c r="A116" s="64" t="s">
        <v>278</v>
      </c>
      <c r="B116" s="65"/>
      <c r="C116" s="65"/>
      <c r="D116" s="66">
        <v>20</v>
      </c>
      <c r="E116" s="104"/>
      <c r="F116" s="96" t="str">
        <f>HYPERLINK("https://pbs.twimg.com/profile_images/1207851815653408768/sIINuHAG_normal.jpg")</f>
        <v>https://pbs.twimg.com/profile_images/1207851815653408768/sIINuHAG_normal.jpg</v>
      </c>
      <c r="G116" s="105"/>
      <c r="H116" s="69" t="s">
        <v>278</v>
      </c>
      <c r="I116" s="70"/>
      <c r="J116" s="106"/>
      <c r="K116" s="69" t="s">
        <v>1469</v>
      </c>
      <c r="L116" s="107">
        <v>1</v>
      </c>
      <c r="M116" s="74">
        <v>642.58514404296875</v>
      </c>
      <c r="N116" s="74">
        <v>8651.478515625</v>
      </c>
      <c r="O116" s="75"/>
      <c r="P116" s="76"/>
      <c r="Q116" s="76"/>
      <c r="R116" s="88"/>
      <c r="S116" s="49">
        <v>0</v>
      </c>
      <c r="T116" s="49">
        <v>2</v>
      </c>
      <c r="U116" s="50">
        <v>0</v>
      </c>
      <c r="V116" s="50">
        <v>7.2989999999999999E-3</v>
      </c>
      <c r="W116" s="50">
        <v>1.7802999999999999E-2</v>
      </c>
      <c r="X116" s="50">
        <v>0.58245199999999997</v>
      </c>
      <c r="Y116" s="50">
        <v>0.5</v>
      </c>
      <c r="Z116" s="50">
        <v>0</v>
      </c>
      <c r="AA116" s="71">
        <v>116</v>
      </c>
      <c r="AB116"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16" s="72"/>
      <c r="AD116" s="79" t="s">
        <v>1046</v>
      </c>
      <c r="AE116" s="85" t="s">
        <v>1164</v>
      </c>
      <c r="AF116" s="79">
        <v>143</v>
      </c>
      <c r="AG116" s="79">
        <v>35</v>
      </c>
      <c r="AH116" s="79">
        <v>4702</v>
      </c>
      <c r="AI116" s="79">
        <v>7433</v>
      </c>
      <c r="AJ116" s="79"/>
      <c r="AK116" s="79" t="s">
        <v>1280</v>
      </c>
      <c r="AL116" s="79" t="s">
        <v>1361</v>
      </c>
      <c r="AM116" s="79"/>
      <c r="AN116" s="79"/>
      <c r="AO116" s="81">
        <v>40982.103460648148</v>
      </c>
      <c r="AP116" s="79"/>
      <c r="AQ116" s="79" t="b">
        <v>1</v>
      </c>
      <c r="AR116" s="79" t="b">
        <v>0</v>
      </c>
      <c r="AS116" s="79" t="b">
        <v>0</v>
      </c>
      <c r="AT116" s="79"/>
      <c r="AU116" s="79">
        <v>0</v>
      </c>
      <c r="AV116" s="83" t="str">
        <f>HYPERLINK("https://abs.twimg.com/images/themes/theme1/bg.png")</f>
        <v>https://abs.twimg.com/images/themes/theme1/bg.png</v>
      </c>
      <c r="AW116" s="79" t="b">
        <v>0</v>
      </c>
      <c r="AX116" s="79" t="s">
        <v>1376</v>
      </c>
      <c r="AY116" s="83" t="str">
        <f>HYPERLINK("https://twitter.com/mickeybellet")</f>
        <v>https://twitter.com/mickeybellet</v>
      </c>
      <c r="AZ116" s="79" t="s">
        <v>66</v>
      </c>
      <c r="BA116" s="78" t="str">
        <f>REPLACE(INDEX(GroupVertices[Group], MATCH(Vertices[[#This Row],[Vertex]],GroupVertices[Vertex],0)),1,1,"")</f>
        <v>1</v>
      </c>
      <c r="BB116" s="49"/>
      <c r="BC116" s="49"/>
      <c r="BD116" s="49"/>
      <c r="BE116" s="49"/>
      <c r="BF116" s="49" t="s">
        <v>461</v>
      </c>
      <c r="BG116" s="49" t="s">
        <v>461</v>
      </c>
      <c r="BH116" s="137" t="s">
        <v>1994</v>
      </c>
      <c r="BI116" s="137" t="s">
        <v>1994</v>
      </c>
      <c r="BJ116" s="137" t="s">
        <v>2049</v>
      </c>
      <c r="BK116" s="137" t="s">
        <v>2049</v>
      </c>
      <c r="BL116" s="2"/>
      <c r="BM116" s="3"/>
      <c r="BN116" s="3"/>
      <c r="BO116" s="3"/>
      <c r="BP116" s="3"/>
    </row>
    <row r="117" spans="1:68" x14ac:dyDescent="0.25">
      <c r="A117" s="64" t="s">
        <v>232</v>
      </c>
      <c r="B117" s="65"/>
      <c r="C117" s="65"/>
      <c r="D117" s="66">
        <v>20</v>
      </c>
      <c r="E117" s="104"/>
      <c r="F117" s="96" t="str">
        <f>HYPERLINK("https://pbs.twimg.com/profile_images/1373697836374704128/m3c0n4ZO_normal.jpg")</f>
        <v>https://pbs.twimg.com/profile_images/1373697836374704128/m3c0n4ZO_normal.jpg</v>
      </c>
      <c r="G117" s="105"/>
      <c r="H117" s="69" t="s">
        <v>232</v>
      </c>
      <c r="I117" s="70"/>
      <c r="J117" s="106"/>
      <c r="K117" s="69" t="s">
        <v>1398</v>
      </c>
      <c r="L117" s="107">
        <v>1</v>
      </c>
      <c r="M117" s="74">
        <v>7206.40185546875</v>
      </c>
      <c r="N117" s="74">
        <v>6148.97021484375</v>
      </c>
      <c r="O117" s="75"/>
      <c r="P117" s="76"/>
      <c r="Q117" s="76"/>
      <c r="R117" s="88"/>
      <c r="S117" s="49">
        <v>1</v>
      </c>
      <c r="T117" s="49">
        <v>0</v>
      </c>
      <c r="U117" s="50">
        <v>0</v>
      </c>
      <c r="V117" s="50">
        <v>4.2550000000000001E-3</v>
      </c>
      <c r="W117" s="50">
        <v>3.0400000000000002E-4</v>
      </c>
      <c r="X117" s="50">
        <v>0.52250099999999999</v>
      </c>
      <c r="Y117" s="50">
        <v>0</v>
      </c>
      <c r="Z117" s="50">
        <v>0</v>
      </c>
      <c r="AA117" s="71">
        <v>117</v>
      </c>
      <c r="AB117"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17" s="72"/>
      <c r="AD117" s="79" t="s">
        <v>975</v>
      </c>
      <c r="AE117" s="85" t="s">
        <v>1096</v>
      </c>
      <c r="AF117" s="79">
        <v>135</v>
      </c>
      <c r="AG117" s="79">
        <v>34</v>
      </c>
      <c r="AH117" s="79">
        <v>335</v>
      </c>
      <c r="AI117" s="79">
        <v>164</v>
      </c>
      <c r="AJ117" s="79"/>
      <c r="AK117" s="79" t="s">
        <v>1212</v>
      </c>
      <c r="AL117" s="79"/>
      <c r="AM117" s="79"/>
      <c r="AN117" s="79"/>
      <c r="AO117" s="81">
        <v>41690.724710648145</v>
      </c>
      <c r="AP117" s="83" t="str">
        <f>HYPERLINK("https://pbs.twimg.com/profile_banners/2353550132/1393220082")</f>
        <v>https://pbs.twimg.com/profile_banners/2353550132/1393220082</v>
      </c>
      <c r="AQ117" s="79" t="b">
        <v>1</v>
      </c>
      <c r="AR117" s="79" t="b">
        <v>0</v>
      </c>
      <c r="AS117" s="79" t="b">
        <v>1</v>
      </c>
      <c r="AT117" s="79"/>
      <c r="AU117" s="79">
        <v>0</v>
      </c>
      <c r="AV117" s="83" t="str">
        <f>HYPERLINK("https://abs.twimg.com/images/themes/theme1/bg.png")</f>
        <v>https://abs.twimg.com/images/themes/theme1/bg.png</v>
      </c>
      <c r="AW117" s="79" t="b">
        <v>0</v>
      </c>
      <c r="AX117" s="79" t="s">
        <v>1376</v>
      </c>
      <c r="AY117" s="83" t="str">
        <f>HYPERLINK("https://twitter.com/rondamclelland")</f>
        <v>https://twitter.com/rondamclelland</v>
      </c>
      <c r="AZ117" s="79" t="s">
        <v>66</v>
      </c>
      <c r="BA117" s="78" t="str">
        <f>REPLACE(INDEX(GroupVertices[Group], MATCH(Vertices[[#This Row],[Vertex]],GroupVertices[Vertex],0)),1,1,"")</f>
        <v>6</v>
      </c>
      <c r="BB117" s="49"/>
      <c r="BC117" s="49"/>
      <c r="BD117" s="49"/>
      <c r="BE117" s="49"/>
      <c r="BF117" s="49"/>
      <c r="BG117" s="49"/>
      <c r="BH117" s="49"/>
      <c r="BI117" s="49"/>
      <c r="BJ117" s="49"/>
      <c r="BK117" s="49"/>
      <c r="BL117" s="2"/>
      <c r="BM117" s="3"/>
      <c r="BN117" s="3"/>
      <c r="BO117" s="3"/>
      <c r="BP117" s="3"/>
    </row>
    <row r="118" spans="1:68" x14ac:dyDescent="0.25">
      <c r="A118" s="64" t="s">
        <v>263</v>
      </c>
      <c r="B118" s="65"/>
      <c r="C118" s="65"/>
      <c r="D118" s="66">
        <v>20</v>
      </c>
      <c r="E118" s="104"/>
      <c r="F118" s="96" t="str">
        <f>HYPERLINK("https://pbs.twimg.com/profile_images/1313285292128759808/nbKaaAhg_normal.jpg")</f>
        <v>https://pbs.twimg.com/profile_images/1313285292128759808/nbKaaAhg_normal.jpg</v>
      </c>
      <c r="G118" s="105"/>
      <c r="H118" s="69" t="s">
        <v>263</v>
      </c>
      <c r="I118" s="70"/>
      <c r="J118" s="106"/>
      <c r="K118" s="69" t="s">
        <v>1448</v>
      </c>
      <c r="L118" s="107">
        <v>1</v>
      </c>
      <c r="M118" s="74">
        <v>1108.053466796875</v>
      </c>
      <c r="N118" s="74">
        <v>1280.8192138671875</v>
      </c>
      <c r="O118" s="75"/>
      <c r="P118" s="76"/>
      <c r="Q118" s="76"/>
      <c r="R118" s="88"/>
      <c r="S118" s="49">
        <v>0</v>
      </c>
      <c r="T118" s="49">
        <v>2</v>
      </c>
      <c r="U118" s="50">
        <v>0</v>
      </c>
      <c r="V118" s="50">
        <v>7.2989999999999999E-3</v>
      </c>
      <c r="W118" s="50">
        <v>1.7802999999999999E-2</v>
      </c>
      <c r="X118" s="50">
        <v>0.58245199999999997</v>
      </c>
      <c r="Y118" s="50">
        <v>0.5</v>
      </c>
      <c r="Z118" s="50">
        <v>0</v>
      </c>
      <c r="AA118" s="71">
        <v>118</v>
      </c>
      <c r="AB118"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18" s="72"/>
      <c r="AD118" s="79" t="s">
        <v>1025</v>
      </c>
      <c r="AE118" s="85" t="s">
        <v>1144</v>
      </c>
      <c r="AF118" s="79">
        <v>139</v>
      </c>
      <c r="AG118" s="79">
        <v>23</v>
      </c>
      <c r="AH118" s="79">
        <v>23</v>
      </c>
      <c r="AI118" s="79">
        <v>39</v>
      </c>
      <c r="AJ118" s="79"/>
      <c r="AK118" s="79" t="s">
        <v>1261</v>
      </c>
      <c r="AL118" s="79" t="s">
        <v>1350</v>
      </c>
      <c r="AM118" s="83" t="str">
        <f>HYPERLINK("https://t.co/hY7w6C5D72")</f>
        <v>https://t.co/hY7w6C5D72</v>
      </c>
      <c r="AN118" s="79"/>
      <c r="AO118" s="81">
        <v>42183.981724537036</v>
      </c>
      <c r="AP118" s="79"/>
      <c r="AQ118" s="79" t="b">
        <v>1</v>
      </c>
      <c r="AR118" s="79" t="b">
        <v>0</v>
      </c>
      <c r="AS118" s="79" t="b">
        <v>0</v>
      </c>
      <c r="AT118" s="79"/>
      <c r="AU118" s="79">
        <v>0</v>
      </c>
      <c r="AV118" s="83" t="str">
        <f>HYPERLINK("https://abs.twimg.com/images/themes/theme1/bg.png")</f>
        <v>https://abs.twimg.com/images/themes/theme1/bg.png</v>
      </c>
      <c r="AW118" s="79" t="b">
        <v>0</v>
      </c>
      <c r="AX118" s="79" t="s">
        <v>1376</v>
      </c>
      <c r="AY118" s="83" t="str">
        <f>HYPERLINK("https://twitter.com/cory_lemay")</f>
        <v>https://twitter.com/cory_lemay</v>
      </c>
      <c r="AZ118" s="79" t="s">
        <v>66</v>
      </c>
      <c r="BA118" s="78" t="str">
        <f>REPLACE(INDEX(GroupVertices[Group], MATCH(Vertices[[#This Row],[Vertex]],GroupVertices[Vertex],0)),1,1,"")</f>
        <v>1</v>
      </c>
      <c r="BB118" s="49"/>
      <c r="BC118" s="49"/>
      <c r="BD118" s="49"/>
      <c r="BE118" s="49"/>
      <c r="BF118" s="49" t="s">
        <v>461</v>
      </c>
      <c r="BG118" s="49" t="s">
        <v>461</v>
      </c>
      <c r="BH118" s="137" t="s">
        <v>1994</v>
      </c>
      <c r="BI118" s="137" t="s">
        <v>1994</v>
      </c>
      <c r="BJ118" s="137" t="s">
        <v>2049</v>
      </c>
      <c r="BK118" s="137" t="s">
        <v>2049</v>
      </c>
      <c r="BL118" s="2"/>
      <c r="BM118" s="3"/>
      <c r="BN118" s="3"/>
      <c r="BO118" s="3"/>
      <c r="BP118" s="3"/>
    </row>
    <row r="119" spans="1:68" x14ac:dyDescent="0.25">
      <c r="A119" s="64" t="s">
        <v>333</v>
      </c>
      <c r="B119" s="65"/>
      <c r="C119" s="65"/>
      <c r="D119" s="66">
        <v>20</v>
      </c>
      <c r="E119" s="104"/>
      <c r="F119" s="96" t="str">
        <f>HYPERLINK("https://pbs.twimg.com/profile_images/830120319566360577/y_VtW_-8_normal.jpg")</f>
        <v>https://pbs.twimg.com/profile_images/830120319566360577/y_VtW_-8_normal.jpg</v>
      </c>
      <c r="G119" s="105"/>
      <c r="H119" s="69" t="s">
        <v>333</v>
      </c>
      <c r="I119" s="70"/>
      <c r="J119" s="106"/>
      <c r="K119" s="69" t="s">
        <v>1492</v>
      </c>
      <c r="L119" s="107">
        <v>1</v>
      </c>
      <c r="M119" s="74">
        <v>9776.49609375</v>
      </c>
      <c r="N119" s="74">
        <v>4249.576171875</v>
      </c>
      <c r="O119" s="75"/>
      <c r="P119" s="76"/>
      <c r="Q119" s="76"/>
      <c r="R119" s="88"/>
      <c r="S119" s="49">
        <v>1</v>
      </c>
      <c r="T119" s="49">
        <v>0</v>
      </c>
      <c r="U119" s="50">
        <v>0</v>
      </c>
      <c r="V119" s="50">
        <v>1</v>
      </c>
      <c r="W119" s="50">
        <v>0</v>
      </c>
      <c r="X119" s="50">
        <v>0.70175200000000004</v>
      </c>
      <c r="Y119" s="50">
        <v>0</v>
      </c>
      <c r="Z119" s="50">
        <v>0</v>
      </c>
      <c r="AA119" s="71">
        <v>119</v>
      </c>
      <c r="AB119"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19" s="72"/>
      <c r="AD119" s="79" t="s">
        <v>1069</v>
      </c>
      <c r="AE119" s="85" t="s">
        <v>1185</v>
      </c>
      <c r="AF119" s="79">
        <v>2</v>
      </c>
      <c r="AG119" s="79">
        <v>23</v>
      </c>
      <c r="AH119" s="79">
        <v>14</v>
      </c>
      <c r="AI119" s="79">
        <v>1</v>
      </c>
      <c r="AJ119" s="79"/>
      <c r="AK119" s="79" t="s">
        <v>1302</v>
      </c>
      <c r="AL119" s="79" t="s">
        <v>1374</v>
      </c>
      <c r="AM119" s="83" t="str">
        <f>HYPERLINK("https://t.co/8scwkKIsFk")</f>
        <v>https://t.co/8scwkKIsFk</v>
      </c>
      <c r="AN119" s="79"/>
      <c r="AO119" s="81">
        <v>42776.751018518517</v>
      </c>
      <c r="AP119" s="83" t="str">
        <f>HYPERLINK("https://pbs.twimg.com/profile_banners/830114474694672384/1486840622")</f>
        <v>https://pbs.twimg.com/profile_banners/830114474694672384/1486840622</v>
      </c>
      <c r="AQ119" s="79" t="b">
        <v>1</v>
      </c>
      <c r="AR119" s="79" t="b">
        <v>0</v>
      </c>
      <c r="AS119" s="79" t="b">
        <v>0</v>
      </c>
      <c r="AT119" s="79"/>
      <c r="AU119" s="79">
        <v>1</v>
      </c>
      <c r="AV119" s="79"/>
      <c r="AW119" s="79" t="b">
        <v>0</v>
      </c>
      <c r="AX119" s="79" t="s">
        <v>1376</v>
      </c>
      <c r="AY119" s="83" t="str">
        <f>HYPERLINK("https://twitter.com/ekumcnair")</f>
        <v>https://twitter.com/ekumcnair</v>
      </c>
      <c r="AZ119" s="79" t="s">
        <v>65</v>
      </c>
      <c r="BA119" s="78" t="str">
        <f>REPLACE(INDEX(GroupVertices[Group], MATCH(Vertices[[#This Row],[Vertex]],GroupVertices[Vertex],0)),1,1,"")</f>
        <v>11</v>
      </c>
      <c r="BB119" s="49"/>
      <c r="BC119" s="49"/>
      <c r="BD119" s="49"/>
      <c r="BE119" s="49"/>
      <c r="BF119" s="49"/>
      <c r="BG119" s="49"/>
      <c r="BH119" s="49"/>
      <c r="BI119" s="49"/>
      <c r="BJ119" s="49"/>
      <c r="BK119" s="49"/>
      <c r="BL119" s="2"/>
      <c r="BM119" s="3"/>
      <c r="BN119" s="3"/>
      <c r="BO119" s="3"/>
      <c r="BP119" s="3"/>
    </row>
    <row r="120" spans="1:68" x14ac:dyDescent="0.25">
      <c r="A120" s="64" t="s">
        <v>291</v>
      </c>
      <c r="B120" s="65"/>
      <c r="C120" s="65"/>
      <c r="D120" s="66">
        <v>20</v>
      </c>
      <c r="E120" s="104"/>
      <c r="F120" s="96" t="str">
        <f>HYPERLINK("https://pbs.twimg.com/profile_images/1408530281024217088/yhsLYkZC_normal.jpg")</f>
        <v>https://pbs.twimg.com/profile_images/1408530281024217088/yhsLYkZC_normal.jpg</v>
      </c>
      <c r="G120" s="105"/>
      <c r="H120" s="69" t="s">
        <v>291</v>
      </c>
      <c r="I120" s="70"/>
      <c r="J120" s="106"/>
      <c r="K120" s="69" t="s">
        <v>1484</v>
      </c>
      <c r="L120" s="107">
        <v>1</v>
      </c>
      <c r="M120" s="74">
        <v>7047.3994140625</v>
      </c>
      <c r="N120" s="74">
        <v>6922.166015625</v>
      </c>
      <c r="O120" s="75"/>
      <c r="P120" s="76"/>
      <c r="Q120" s="76"/>
      <c r="R120" s="88"/>
      <c r="S120" s="49">
        <v>1</v>
      </c>
      <c r="T120" s="49">
        <v>1</v>
      </c>
      <c r="U120" s="50">
        <v>0</v>
      </c>
      <c r="V120" s="50">
        <v>0</v>
      </c>
      <c r="W120" s="50">
        <v>0</v>
      </c>
      <c r="X120" s="50">
        <v>0.999996</v>
      </c>
      <c r="Y120" s="50">
        <v>0</v>
      </c>
      <c r="Z120" s="50">
        <v>0</v>
      </c>
      <c r="AA120" s="71">
        <v>120</v>
      </c>
      <c r="AB120"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20" s="72"/>
      <c r="AD120" s="79" t="s">
        <v>1061</v>
      </c>
      <c r="AE120" s="85" t="s">
        <v>1178</v>
      </c>
      <c r="AF120" s="79">
        <v>59</v>
      </c>
      <c r="AG120" s="79">
        <v>21</v>
      </c>
      <c r="AH120" s="79">
        <v>118</v>
      </c>
      <c r="AI120" s="79">
        <v>77</v>
      </c>
      <c r="AJ120" s="79"/>
      <c r="AK120" s="79" t="s">
        <v>1294</v>
      </c>
      <c r="AL120" s="79" t="s">
        <v>1369</v>
      </c>
      <c r="AM120" s="83" t="str">
        <f>HYPERLINK("https://t.co/jsyXgoFTfV")</f>
        <v>https://t.co/jsyXgoFTfV</v>
      </c>
      <c r="AN120" s="79"/>
      <c r="AO120" s="81">
        <v>41326.030856481484</v>
      </c>
      <c r="AP120" s="83" t="str">
        <f>HYPERLINK("https://pbs.twimg.com/profile_banners/1202560784/1624651544")</f>
        <v>https://pbs.twimg.com/profile_banners/1202560784/1624651544</v>
      </c>
      <c r="AQ120" s="79" t="b">
        <v>0</v>
      </c>
      <c r="AR120" s="79" t="b">
        <v>0</v>
      </c>
      <c r="AS120" s="79" t="b">
        <v>0</v>
      </c>
      <c r="AT120" s="79"/>
      <c r="AU120" s="79">
        <v>0</v>
      </c>
      <c r="AV120" s="83" t="str">
        <f>HYPERLINK("https://abs.twimg.com/images/themes/theme1/bg.png")</f>
        <v>https://abs.twimg.com/images/themes/theme1/bg.png</v>
      </c>
      <c r="AW120" s="79" t="b">
        <v>0</v>
      </c>
      <c r="AX120" s="79" t="s">
        <v>1376</v>
      </c>
      <c r="AY120" s="83" t="str">
        <f>HYPERLINK("https://twitter.com/uwtalentsearch")</f>
        <v>https://twitter.com/uwtalentsearch</v>
      </c>
      <c r="AZ120" s="79" t="s">
        <v>66</v>
      </c>
      <c r="BA120" s="78" t="str">
        <f>REPLACE(INDEX(GroupVertices[Group], MATCH(Vertices[[#This Row],[Vertex]],GroupVertices[Vertex],0)),1,1,"")</f>
        <v>5</v>
      </c>
      <c r="BB120" s="49"/>
      <c r="BC120" s="49"/>
      <c r="BD120" s="49"/>
      <c r="BE120" s="49"/>
      <c r="BF120" s="49" t="s">
        <v>1976</v>
      </c>
      <c r="BG120" s="49" t="s">
        <v>1988</v>
      </c>
      <c r="BH120" s="137" t="s">
        <v>2024</v>
      </c>
      <c r="BI120" s="137" t="s">
        <v>2043</v>
      </c>
      <c r="BJ120" s="137" t="s">
        <v>2077</v>
      </c>
      <c r="BK120" s="137" t="s">
        <v>2077</v>
      </c>
      <c r="BL120" s="2"/>
      <c r="BM120" s="3"/>
      <c r="BN120" s="3"/>
      <c r="BO120" s="3"/>
      <c r="BP120" s="3"/>
    </row>
    <row r="121" spans="1:68" x14ac:dyDescent="0.25">
      <c r="A121" s="64" t="s">
        <v>222</v>
      </c>
      <c r="B121" s="65"/>
      <c r="C121" s="65"/>
      <c r="D121" s="66">
        <v>20</v>
      </c>
      <c r="E121" s="104"/>
      <c r="F121" s="96" t="str">
        <f>HYPERLINK("https://pbs.twimg.com/profile_images/1405200020698062855/D8a8HDbE_normal.jpg")</f>
        <v>https://pbs.twimg.com/profile_images/1405200020698062855/D8a8HDbE_normal.jpg</v>
      </c>
      <c r="G121" s="105"/>
      <c r="H121" s="69" t="s">
        <v>222</v>
      </c>
      <c r="I121" s="70"/>
      <c r="J121" s="106"/>
      <c r="K121" s="69" t="s">
        <v>1385</v>
      </c>
      <c r="L121" s="107">
        <v>1</v>
      </c>
      <c r="M121" s="74">
        <v>9115.8876953125</v>
      </c>
      <c r="N121" s="74">
        <v>2110.91357421875</v>
      </c>
      <c r="O121" s="75"/>
      <c r="P121" s="76"/>
      <c r="Q121" s="76"/>
      <c r="R121" s="88"/>
      <c r="S121" s="49">
        <v>0</v>
      </c>
      <c r="T121" s="49">
        <v>1</v>
      </c>
      <c r="U121" s="50">
        <v>0</v>
      </c>
      <c r="V121" s="50">
        <v>1</v>
      </c>
      <c r="W121" s="50">
        <v>0</v>
      </c>
      <c r="X121" s="50">
        <v>0.999996</v>
      </c>
      <c r="Y121" s="50">
        <v>0</v>
      </c>
      <c r="Z121" s="50">
        <v>0</v>
      </c>
      <c r="AA121" s="71">
        <v>121</v>
      </c>
      <c r="AB121"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21" s="72"/>
      <c r="AD121" s="79" t="s">
        <v>962</v>
      </c>
      <c r="AE121" s="85" t="s">
        <v>1084</v>
      </c>
      <c r="AF121" s="79">
        <v>32</v>
      </c>
      <c r="AG121" s="79">
        <v>13</v>
      </c>
      <c r="AH121" s="79">
        <v>18</v>
      </c>
      <c r="AI121" s="79">
        <v>24</v>
      </c>
      <c r="AJ121" s="79"/>
      <c r="AK121" s="79" t="s">
        <v>1199</v>
      </c>
      <c r="AL121" s="79" t="s">
        <v>1311</v>
      </c>
      <c r="AM121" s="83" t="str">
        <f>HYPERLINK("https://t.co/TJUFZD9cGq")</f>
        <v>https://t.co/TJUFZD9cGq</v>
      </c>
      <c r="AN121" s="79"/>
      <c r="AO121" s="81">
        <v>44356.618981481479</v>
      </c>
      <c r="AP121" s="83" t="str">
        <f>HYPERLINK("https://pbs.twimg.com/profile_banners/1402639396231335941/1623860736")</f>
        <v>https://pbs.twimg.com/profile_banners/1402639396231335941/1623860736</v>
      </c>
      <c r="AQ121" s="79" t="b">
        <v>1</v>
      </c>
      <c r="AR121" s="79" t="b">
        <v>0</v>
      </c>
      <c r="AS121" s="79" t="b">
        <v>1</v>
      </c>
      <c r="AT121" s="79"/>
      <c r="AU121" s="79">
        <v>4</v>
      </c>
      <c r="AV121" s="79"/>
      <c r="AW121" s="79" t="b">
        <v>0</v>
      </c>
      <c r="AX121" s="79" t="s">
        <v>1376</v>
      </c>
      <c r="AY121" s="83" t="str">
        <f>HYPERLINK("https://twitter.com/fiuferre")</f>
        <v>https://twitter.com/fiuferre</v>
      </c>
      <c r="AZ121" s="79" t="s">
        <v>66</v>
      </c>
      <c r="BA121" s="78" t="str">
        <f>REPLACE(INDEX(GroupVertices[Group], MATCH(Vertices[[#This Row],[Vertex]],GroupVertices[Vertex],0)),1,1,"")</f>
        <v>12</v>
      </c>
      <c r="BB121" s="49" t="s">
        <v>1591</v>
      </c>
      <c r="BC121" s="49" t="s">
        <v>1591</v>
      </c>
      <c r="BD121" s="49" t="s">
        <v>447</v>
      </c>
      <c r="BE121" s="49" t="s">
        <v>447</v>
      </c>
      <c r="BF121" s="49" t="s">
        <v>463</v>
      </c>
      <c r="BG121" s="49" t="s">
        <v>463</v>
      </c>
      <c r="BH121" s="137" t="s">
        <v>2025</v>
      </c>
      <c r="BI121" s="137" t="s">
        <v>2025</v>
      </c>
      <c r="BJ121" s="137" t="s">
        <v>2078</v>
      </c>
      <c r="BK121" s="137" t="s">
        <v>2078</v>
      </c>
      <c r="BL121" s="2"/>
      <c r="BM121" s="3"/>
      <c r="BN121" s="3"/>
      <c r="BO121" s="3"/>
      <c r="BP121" s="3"/>
    </row>
    <row r="122" spans="1:68" x14ac:dyDescent="0.25">
      <c r="A122" s="64" t="s">
        <v>235</v>
      </c>
      <c r="B122" s="65"/>
      <c r="C122" s="65"/>
      <c r="D122" s="66">
        <v>20</v>
      </c>
      <c r="E122" s="104"/>
      <c r="F122" s="96" t="str">
        <f>HYPERLINK("https://pbs.twimg.com/profile_images/1179485591911706624/xBbZZ0ZG_normal.jpg")</f>
        <v>https://pbs.twimg.com/profile_images/1179485591911706624/xBbZZ0ZG_normal.jpg</v>
      </c>
      <c r="G122" s="105"/>
      <c r="H122" s="69" t="s">
        <v>235</v>
      </c>
      <c r="I122" s="70"/>
      <c r="J122" s="106"/>
      <c r="K122" s="69" t="s">
        <v>1408</v>
      </c>
      <c r="L122" s="107">
        <v>1</v>
      </c>
      <c r="M122" s="74">
        <v>6845.27490234375</v>
      </c>
      <c r="N122" s="74">
        <v>9565.1171875</v>
      </c>
      <c r="O122" s="75"/>
      <c r="P122" s="76"/>
      <c r="Q122" s="76"/>
      <c r="R122" s="88"/>
      <c r="S122" s="49">
        <v>1</v>
      </c>
      <c r="T122" s="49">
        <v>1</v>
      </c>
      <c r="U122" s="50">
        <v>0</v>
      </c>
      <c r="V122" s="50">
        <v>0</v>
      </c>
      <c r="W122" s="50">
        <v>0</v>
      </c>
      <c r="X122" s="50">
        <v>0.999996</v>
      </c>
      <c r="Y122" s="50">
        <v>0</v>
      </c>
      <c r="Z122" s="50">
        <v>0</v>
      </c>
      <c r="AA122" s="71">
        <v>122</v>
      </c>
      <c r="AB122"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22" s="72"/>
      <c r="AD122" s="79" t="s">
        <v>985</v>
      </c>
      <c r="AE122" s="85" t="s">
        <v>1105</v>
      </c>
      <c r="AF122" s="79">
        <v>41</v>
      </c>
      <c r="AG122" s="79">
        <v>8</v>
      </c>
      <c r="AH122" s="79">
        <v>64</v>
      </c>
      <c r="AI122" s="79">
        <v>21</v>
      </c>
      <c r="AJ122" s="79"/>
      <c r="AK122" s="79" t="s">
        <v>1222</v>
      </c>
      <c r="AL122" s="79"/>
      <c r="AM122" s="79"/>
      <c r="AN122" s="79"/>
      <c r="AO122" s="81">
        <v>43740.828182870369</v>
      </c>
      <c r="AP122" s="83" t="str">
        <f>HYPERLINK("https://pbs.twimg.com/profile_banners/1179484289089638401/1570116164")</f>
        <v>https://pbs.twimg.com/profile_banners/1179484289089638401/1570116164</v>
      </c>
      <c r="AQ122" s="79" t="b">
        <v>1</v>
      </c>
      <c r="AR122" s="79" t="b">
        <v>0</v>
      </c>
      <c r="AS122" s="79" t="b">
        <v>0</v>
      </c>
      <c r="AT122" s="79"/>
      <c r="AU122" s="79">
        <v>0</v>
      </c>
      <c r="AV122" s="79"/>
      <c r="AW122" s="79" t="b">
        <v>0</v>
      </c>
      <c r="AX122" s="79" t="s">
        <v>1376</v>
      </c>
      <c r="AY122" s="83" t="str">
        <f>HYPERLINK("https://twitter.com/txwesub")</f>
        <v>https://twitter.com/txwesub</v>
      </c>
      <c r="AZ122" s="79" t="s">
        <v>66</v>
      </c>
      <c r="BA122" s="78" t="str">
        <f>REPLACE(INDEX(GroupVertices[Group], MATCH(Vertices[[#This Row],[Vertex]],GroupVertices[Vertex],0)),1,1,"")</f>
        <v>5</v>
      </c>
      <c r="BB122" s="49"/>
      <c r="BC122" s="49"/>
      <c r="BD122" s="49"/>
      <c r="BE122" s="49"/>
      <c r="BF122" s="49" t="s">
        <v>472</v>
      </c>
      <c r="BG122" s="49" t="s">
        <v>472</v>
      </c>
      <c r="BH122" s="137" t="s">
        <v>2026</v>
      </c>
      <c r="BI122" s="137" t="s">
        <v>2026</v>
      </c>
      <c r="BJ122" s="137" t="s">
        <v>2079</v>
      </c>
      <c r="BK122" s="137" t="s">
        <v>2079</v>
      </c>
      <c r="BL122" s="2"/>
      <c r="BM122" s="3"/>
      <c r="BN122" s="3"/>
      <c r="BO122" s="3"/>
      <c r="BP122" s="3"/>
    </row>
    <row r="123" spans="1:68" x14ac:dyDescent="0.25">
      <c r="A123" s="64" t="s">
        <v>294</v>
      </c>
      <c r="B123" s="65"/>
      <c r="C123" s="65"/>
      <c r="D123" s="66">
        <v>20</v>
      </c>
      <c r="E123" s="104"/>
      <c r="F123" s="96" t="str">
        <f>HYPERLINK("https://pbs.twimg.com/profile_images/1248751533803679745/Vlw4QWWe_normal.jpg")</f>
        <v>https://pbs.twimg.com/profile_images/1248751533803679745/Vlw4QWWe_normal.jpg</v>
      </c>
      <c r="G123" s="105"/>
      <c r="H123" s="69" t="s">
        <v>294</v>
      </c>
      <c r="I123" s="70"/>
      <c r="J123" s="106"/>
      <c r="K123" s="69" t="s">
        <v>1487</v>
      </c>
      <c r="L123" s="107">
        <v>1</v>
      </c>
      <c r="M123" s="74">
        <v>5907.90087890625</v>
      </c>
      <c r="N123" s="74">
        <v>9372.62109375</v>
      </c>
      <c r="O123" s="75"/>
      <c r="P123" s="76"/>
      <c r="Q123" s="76"/>
      <c r="R123" s="88"/>
      <c r="S123" s="49">
        <v>1</v>
      </c>
      <c r="T123" s="49">
        <v>1</v>
      </c>
      <c r="U123" s="50">
        <v>0</v>
      </c>
      <c r="V123" s="50">
        <v>0</v>
      </c>
      <c r="W123" s="50">
        <v>0</v>
      </c>
      <c r="X123" s="50">
        <v>0.999996</v>
      </c>
      <c r="Y123" s="50">
        <v>0</v>
      </c>
      <c r="Z123" s="50">
        <v>0</v>
      </c>
      <c r="AA123" s="71">
        <v>123</v>
      </c>
      <c r="AB123"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23" s="72"/>
      <c r="AD123" s="79" t="s">
        <v>1064</v>
      </c>
      <c r="AE123" s="85" t="s">
        <v>1180</v>
      </c>
      <c r="AF123" s="79">
        <v>1</v>
      </c>
      <c r="AG123" s="79">
        <v>7</v>
      </c>
      <c r="AH123" s="79">
        <v>125</v>
      </c>
      <c r="AI123" s="79">
        <v>50</v>
      </c>
      <c r="AJ123" s="79"/>
      <c r="AK123" s="79" t="s">
        <v>1297</v>
      </c>
      <c r="AL123" s="79"/>
      <c r="AM123" s="79"/>
      <c r="AN123" s="79"/>
      <c r="AO123" s="81">
        <v>43931.968993055554</v>
      </c>
      <c r="AP123" s="83" t="str">
        <f>HYPERLINK("https://pbs.twimg.com/profile_banners/1248751244321198080/1586561495")</f>
        <v>https://pbs.twimg.com/profile_banners/1248751244321198080/1586561495</v>
      </c>
      <c r="AQ123" s="79" t="b">
        <v>1</v>
      </c>
      <c r="AR123" s="79" t="b">
        <v>0</v>
      </c>
      <c r="AS123" s="79" t="b">
        <v>1</v>
      </c>
      <c r="AT123" s="79"/>
      <c r="AU123" s="79">
        <v>0</v>
      </c>
      <c r="AV123" s="79"/>
      <c r="AW123" s="79" t="b">
        <v>0</v>
      </c>
      <c r="AX123" s="79" t="s">
        <v>1376</v>
      </c>
      <c r="AY123" s="83" t="str">
        <f>HYPERLINK("https://twitter.com/irbound")</f>
        <v>https://twitter.com/irbound</v>
      </c>
      <c r="AZ123" s="79" t="s">
        <v>66</v>
      </c>
      <c r="BA123" s="78" t="str">
        <f>REPLACE(INDEX(GroupVertices[Group], MATCH(Vertices[[#This Row],[Vertex]],GroupVertices[Vertex],0)),1,1,"")</f>
        <v>5</v>
      </c>
      <c r="BB123" s="49"/>
      <c r="BC123" s="49"/>
      <c r="BD123" s="49"/>
      <c r="BE123" s="49"/>
      <c r="BF123" s="49" t="s">
        <v>1977</v>
      </c>
      <c r="BG123" s="49" t="s">
        <v>1989</v>
      </c>
      <c r="BH123" s="137" t="s">
        <v>2027</v>
      </c>
      <c r="BI123" s="137" t="s">
        <v>2044</v>
      </c>
      <c r="BJ123" s="137" t="s">
        <v>2080</v>
      </c>
      <c r="BK123" s="137" t="s">
        <v>2091</v>
      </c>
      <c r="BL123" s="2"/>
      <c r="BM123" s="3"/>
      <c r="BN123" s="3"/>
      <c r="BO123" s="3"/>
      <c r="BP123" s="3"/>
    </row>
    <row r="124" spans="1:68" x14ac:dyDescent="0.25">
      <c r="A124" s="64" t="s">
        <v>330</v>
      </c>
      <c r="B124" s="65"/>
      <c r="C124" s="65"/>
      <c r="D124" s="66">
        <v>20</v>
      </c>
      <c r="E124" s="104"/>
      <c r="F124" s="96" t="str">
        <f>HYPERLINK("https://pbs.twimg.com/profile_images/1195898099727847425/_e9LsUuw_normal.jpg")</f>
        <v>https://pbs.twimg.com/profile_images/1195898099727847425/_e9LsUuw_normal.jpg</v>
      </c>
      <c r="G124" s="105"/>
      <c r="H124" s="69" t="s">
        <v>330</v>
      </c>
      <c r="I124" s="70"/>
      <c r="J124" s="106"/>
      <c r="K124" s="69" t="s">
        <v>1482</v>
      </c>
      <c r="L124" s="107">
        <v>1</v>
      </c>
      <c r="M124" s="74">
        <v>4824.123046875</v>
      </c>
      <c r="N124" s="74">
        <v>3249.67626953125</v>
      </c>
      <c r="O124" s="75"/>
      <c r="P124" s="76"/>
      <c r="Q124" s="76"/>
      <c r="R124" s="88"/>
      <c r="S124" s="49">
        <v>1</v>
      </c>
      <c r="T124" s="49">
        <v>0</v>
      </c>
      <c r="U124" s="50">
        <v>0</v>
      </c>
      <c r="V124" s="50">
        <v>5.6820000000000004E-3</v>
      </c>
      <c r="W124" s="50">
        <v>4.8589999999999996E-3</v>
      </c>
      <c r="X124" s="50">
        <v>0.31792599999999999</v>
      </c>
      <c r="Y124" s="50">
        <v>0</v>
      </c>
      <c r="Z124" s="50">
        <v>0</v>
      </c>
      <c r="AA124" s="71">
        <v>124</v>
      </c>
      <c r="AB124" s="71" t="b">
        <f xml:space="preserve"> IF(AND(OR(NOT(ISNUMBER(Vertices[Size])), Vertices[Size] &gt;= Misc!$O$10), OR(NOT(ISNUMBER(Vertices[Size])), Vertices[Size] &lt;= Misc!$P$10),OR(NOT(ISNUMBER(Vertices[Layout Order])), Vertices[Layout Order] &gt;= Misc!$O$11), OR(NOT(ISNUMBER(Vertices[Layout Order])), Vertices[Layout Order] &lt;= Misc!$P$11),OR(NOT(ISNUMBER(Vertices[X])), Vertices[X] &gt;= Misc!$O$12), OR(NOT(ISNUMBER(Vertices[X])), Vertices[X] &lt;= Misc!$P$12),OR(NOT(ISNUMBER(Vertices[Y])), Vertices[Y] &gt;= Misc!$O$13), OR(NOT(ISNUMBER(Vertices[Y])), Vertices[Y] &lt;= Misc!$P$13),OR(NOT(ISNUMBER(Vertices[In-Degree])), Vertices[In-Degree] &gt;= Misc!$O$14), OR(NOT(ISNUMBER(Vertices[In-Degree])), Vertices[In-Degree] &lt;= Misc!$P$14),OR(NOT(ISNUMBER(Vertices[Out-Degree])), Vertices[Out-Degree] &gt;= Misc!$O$15), OR(NOT(ISNUMBER(Vertices[Out-Degree])), Vertices[Out-Degree] &lt;= Misc!$P$15),OR(NOT(ISNUMBER(Vertices[Betweenness Centrality])), Vertices[Betweenness Centrality] &gt;= Misc!$O$16), OR(NOT(ISNUMBER(Vertices[Betweenness Centrality])), Vertices[Betweenness Centrality] &lt;= Misc!$P$16),OR(NOT(ISNUMBER(Vertices[Closeness Centrality])), Vertices[Closeness Centrality] &gt;= Misc!$O$17), OR(NOT(ISNUMBER(Vertices[Closeness Centrality])), Vertices[Closeness Centrality] &lt;= Misc!$P$17),OR(NOT(ISNUMBER(Vertices[Eigenvector Centrality])), Vertices[Eigenvector Centrality] &gt;= Misc!$O$18), OR(NOT(ISNUMBER(Vertices[Eigenvector Centrality])), Vertices[Eigenvector Centrality] &lt;= Misc!$P$18),OR(NOT(ISNUMBER(Vertices[PageRank])), Vertices[PageRank] &gt;= Misc!$O$19), OR(NOT(ISNUMBER(Vertices[PageRank])), Vertices[PageRank] &lt;= Misc!$P$19),OR(NOT(ISNUMBER(Vertices[Clustering Coefficient])), Vertices[Clustering Coefficient] &gt;= Misc!$O$20), OR(NOT(ISNUMBER(Vertices[Clustering Coefficient])), Vertices[Clustering Coefficient] &lt;= Misc!$P$20),OR(NOT(ISNUMBER(Vertices[Reciprocated Vertex Pair Ratio])), Vertices[Reciprocated Vertex Pair Ratio] &gt;= Misc!$O$21), OR(NOT(ISNUMBER(Vertices[Reciprocated Vertex Pair Ratio])), Vertices[Reciprocated Vertex Pair Ratio] &lt;= Misc!$P$21),OR(NOT(ISNUMBER(Vertices[Followed])), Vertices[Followed] &gt;= Misc!$O$22), OR(NOT(ISNUMBER(Vertices[Followed])), Vertices[Followed] &lt;= Misc!$P$22),OR(NOT(ISNUMBER(Vertices[Followers])), Vertices[Followers] &gt;= Misc!$O$23), OR(NOT(ISNUMBER(Vertices[Followers])), Vertices[Followers] &lt;= Misc!$P$23),OR(NOT(ISNUMBER(Vertices[Tweets])), Vertices[Tweets] &gt;= Misc!$O$24), OR(NOT(ISNUMBER(Vertices[Tweets])), Vertices[Tweets] &lt;= Misc!$P$24),OR(NOT(ISNUMBER(Vertices[Favorites])), Vertices[Favorites] &gt;= Misc!$O$25), OR(NOT(ISNUMBER(Vertices[Favorites])), Vertices[Favorites] &lt;= Misc!$P$25),OR(NOT(ISNUMBER(Vertices[Joined Twitter Date (UTC)])), Vertices[Joined Twitter Date (UTC)] &gt;= Misc!$O$26), OR(NOT(ISNUMBER(Vertices[Joined Twitter Date (UTC)])), Vertices[Joined Twitter Date (UTC)] &lt;= Misc!$P$26),OR(NOT(ISNUMBER(Vertices[Listed Count])), Vertices[Listed Count] &gt;= Misc!$O$27), OR(NOT(ISNUMBER(Vertices[Listed Count])), Vertices[Listed Count] &lt;= Misc!$P$27),TRUE), TRUE, FALSE)</f>
        <v>1</v>
      </c>
      <c r="AC124" s="72"/>
      <c r="AD124" s="79" t="s">
        <v>1059</v>
      </c>
      <c r="AE124" s="85" t="s">
        <v>1176</v>
      </c>
      <c r="AF124" s="79">
        <v>7</v>
      </c>
      <c r="AG124" s="79">
        <v>0</v>
      </c>
      <c r="AH124" s="79">
        <v>3</v>
      </c>
      <c r="AI124" s="79">
        <v>0</v>
      </c>
      <c r="AJ124" s="79"/>
      <c r="AK124" s="79" t="s">
        <v>1292</v>
      </c>
      <c r="AL124" s="79"/>
      <c r="AM124" s="79"/>
      <c r="AN124" s="79"/>
      <c r="AO124" s="81">
        <v>43647.939143518517</v>
      </c>
      <c r="AP124" s="79"/>
      <c r="AQ124" s="79" t="b">
        <v>1</v>
      </c>
      <c r="AR124" s="79" t="b">
        <v>0</v>
      </c>
      <c r="AS124" s="79" t="b">
        <v>0</v>
      </c>
      <c r="AT124" s="79"/>
      <c r="AU124" s="79">
        <v>0</v>
      </c>
      <c r="AV124" s="79"/>
      <c r="AW124" s="79" t="b">
        <v>0</v>
      </c>
      <c r="AX124" s="79" t="s">
        <v>1376</v>
      </c>
      <c r="AY124" s="83" t="str">
        <f>HYPERLINK("https://twitter.com/americansignl")</f>
        <v>https://twitter.com/americansignl</v>
      </c>
      <c r="AZ124" s="79" t="s">
        <v>65</v>
      </c>
      <c r="BA124" s="78" t="str">
        <f>REPLACE(INDEX(GroupVertices[Group], MATCH(Vertices[[#This Row],[Vertex]],GroupVertices[Vertex],0)),1,1,"")</f>
        <v>3</v>
      </c>
      <c r="BB124" s="49"/>
      <c r="BC124" s="49"/>
      <c r="BD124" s="49"/>
      <c r="BE124" s="49"/>
      <c r="BF124" s="49"/>
      <c r="BG124" s="49"/>
      <c r="BH124" s="49"/>
      <c r="BI124" s="49"/>
      <c r="BJ124" s="49"/>
      <c r="BK124" s="49"/>
      <c r="BL124" s="2"/>
      <c r="BM124" s="3"/>
      <c r="BN124" s="3"/>
      <c r="BO124" s="3"/>
      <c r="BP124" s="3"/>
    </row>
  </sheetData>
  <dataConsolidate/>
  <dataValidations xWindow="96" yWindow="513"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24" xr:uid="{00000000-0002-0000-0100-000000000000}"/>
    <dataValidation allowBlank="1" errorTitle="Invalid Vertex Visibility" error="You have entered an unrecognized vertex visibility.  Try selecting from the drop-down list instead." sqref="BL3" xr:uid="{00000000-0002-0000-0100-000001000000}"/>
    <dataValidation allowBlank="1" showErrorMessage="1" sqref="BL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24"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24"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24"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24"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24" xr:uid="{00000000-0002-0000-0100-000007000000}"/>
    <dataValidation allowBlank="1" showInputMessage="1" errorTitle="Invalid Vertex Image Key" promptTitle="Vertex Tooltip" prompt="Enter optional text that will pop up when the mouse is hovered over the vertex." sqref="K3:K124"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24"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24"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24" xr:uid="{00000000-0002-0000-0100-00000B000000}"/>
    <dataValidation allowBlank="1" showInputMessage="1" promptTitle="Vertex Label Fill Color" prompt="To select an optional fill color for the Label shape, right-click and select Select Color on the right-click menu." sqref="I3:I124" xr:uid="{00000000-0002-0000-0100-00000C000000}"/>
    <dataValidation allowBlank="1" showInputMessage="1" errorTitle="Invalid Vertex Image Key" promptTitle="Vertex Image File" prompt="Enter the path to an image file.  Hover over the column header for examples." sqref="F3:F124" xr:uid="{00000000-0002-0000-0100-00000D000000}"/>
    <dataValidation allowBlank="1" showInputMessage="1" promptTitle="Vertex Color" prompt="To select an optional vertex color, right-click and select Select Color on the right-click menu." sqref="B3:B124"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124"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124"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24"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24" xr:uid="{00000000-0002-0000-0100-000012000000}">
      <formula1>ValidVertexLabelPositions</formula1>
    </dataValidation>
    <dataValidation allowBlank="1" showInputMessage="1" showErrorMessage="1" promptTitle="Vertex Name" prompt="Enter the name of the vertex." sqref="A3:A124"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1" t="s">
        <v>50</v>
      </c>
    </row>
    <row r="21" spans="4:4" x14ac:dyDescent="0.25">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AF27"/>
  <sheetViews>
    <sheetView zoomScaleNormal="100" workbookViewId="0">
      <pane ySplit="2" topLeftCell="A3" activePane="bottomLeft" state="frozen"/>
      <selection pane="bottomLeft" activeCell="A2" sqref="A2:Y2"/>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customWidth="1"/>
    <col min="12" max="12" width="9.7109375" customWidth="1"/>
    <col min="13" max="13" width="13.140625" customWidth="1"/>
    <col min="14" max="15" width="8.42578125" customWidth="1"/>
    <col min="16" max="16" width="18.28515625" customWidth="1"/>
    <col min="17" max="17" width="14.85546875" customWidth="1"/>
    <col min="18" max="18" width="14.5703125" customWidth="1"/>
    <col min="19" max="21" width="24.140625" customWidth="1"/>
    <col min="22" max="22" width="21.28515625" customWidth="1"/>
    <col min="23" max="23" width="19.28515625" customWidth="1"/>
    <col min="24" max="24" width="10" customWidth="1"/>
    <col min="25" max="25" width="13.28515625" bestFit="1" customWidth="1"/>
    <col min="26" max="26" width="14.7109375" bestFit="1" customWidth="1"/>
    <col min="27" max="27" width="14.85546875" bestFit="1" customWidth="1"/>
    <col min="28" max="28" width="12.7109375" bestFit="1" customWidth="1"/>
    <col min="29" max="29" width="15.85546875" bestFit="1" customWidth="1"/>
    <col min="30" max="30" width="13.85546875" bestFit="1" customWidth="1"/>
    <col min="31" max="31" width="17" bestFit="1" customWidth="1"/>
    <col min="32" max="32" width="11.5703125" bestFit="1" customWidth="1"/>
  </cols>
  <sheetData>
    <row r="1" spans="1:32" x14ac:dyDescent="0.25">
      <c r="B1" s="54" t="s">
        <v>39</v>
      </c>
      <c r="C1" s="55"/>
      <c r="D1" s="55"/>
      <c r="E1" s="56"/>
      <c r="F1" s="53" t="s">
        <v>43</v>
      </c>
      <c r="G1" s="57" t="s">
        <v>44</v>
      </c>
      <c r="H1" s="58"/>
      <c r="I1" s="59" t="s">
        <v>40</v>
      </c>
      <c r="J1" s="60"/>
      <c r="K1" s="61" t="s">
        <v>42</v>
      </c>
      <c r="L1" s="62"/>
      <c r="M1" s="62"/>
      <c r="N1" s="62"/>
      <c r="O1" s="62"/>
      <c r="P1" s="62"/>
      <c r="Q1" s="62"/>
      <c r="R1" s="62"/>
      <c r="S1" s="62"/>
      <c r="T1" s="62"/>
      <c r="U1" s="62"/>
      <c r="V1" s="62"/>
      <c r="W1" s="62"/>
      <c r="X1" s="62"/>
    </row>
    <row r="2" spans="1:32" s="13" customFormat="1" ht="30" customHeight="1" x14ac:dyDescent="0.25">
      <c r="A2" s="11" t="s">
        <v>143</v>
      </c>
      <c r="B2" s="13" t="s">
        <v>21</v>
      </c>
      <c r="C2" s="13" t="s">
        <v>20</v>
      </c>
      <c r="D2" s="13" t="s">
        <v>11</v>
      </c>
      <c r="E2" s="13" t="s">
        <v>144</v>
      </c>
      <c r="F2" s="13" t="s">
        <v>46</v>
      </c>
      <c r="G2" s="13" t="s">
        <v>166</v>
      </c>
      <c r="H2" s="13" t="s">
        <v>167</v>
      </c>
      <c r="I2" s="13" t="s">
        <v>12</v>
      </c>
      <c r="J2" s="13" t="s">
        <v>165</v>
      </c>
      <c r="K2" s="13" t="s">
        <v>145</v>
      </c>
      <c r="L2" s="13" t="s">
        <v>147</v>
      </c>
      <c r="M2" s="13" t="s">
        <v>148</v>
      </c>
      <c r="N2" s="13" t="s">
        <v>149</v>
      </c>
      <c r="O2" s="13" t="s">
        <v>150</v>
      </c>
      <c r="P2" s="13" t="s">
        <v>169</v>
      </c>
      <c r="Q2" s="13" t="s">
        <v>170</v>
      </c>
      <c r="R2" s="13" t="s">
        <v>151</v>
      </c>
      <c r="S2" s="13" t="s">
        <v>152</v>
      </c>
      <c r="T2" s="13" t="s">
        <v>153</v>
      </c>
      <c r="U2" s="13" t="s">
        <v>154</v>
      </c>
      <c r="V2" s="13" t="s">
        <v>155</v>
      </c>
      <c r="W2" s="13" t="s">
        <v>156</v>
      </c>
      <c r="X2" s="13" t="s">
        <v>157</v>
      </c>
      <c r="Y2" s="13" t="s">
        <v>1620</v>
      </c>
      <c r="Z2" s="13" t="s">
        <v>1637</v>
      </c>
      <c r="AA2" s="13" t="s">
        <v>1701</v>
      </c>
      <c r="AB2" s="13" t="s">
        <v>1784</v>
      </c>
      <c r="AC2" s="13" t="s">
        <v>1882</v>
      </c>
      <c r="AD2" s="13" t="s">
        <v>1916</v>
      </c>
      <c r="AE2" s="13" t="s">
        <v>1917</v>
      </c>
      <c r="AF2" s="13" t="s">
        <v>1937</v>
      </c>
    </row>
    <row r="3" spans="1:32" x14ac:dyDescent="0.25">
      <c r="A3" s="64" t="s">
        <v>1501</v>
      </c>
      <c r="B3" s="65" t="s">
        <v>1518</v>
      </c>
      <c r="C3" s="65" t="s">
        <v>56</v>
      </c>
      <c r="D3" s="109"/>
      <c r="E3" s="14"/>
      <c r="F3" s="15" t="s">
        <v>2102</v>
      </c>
      <c r="G3" s="63"/>
      <c r="H3" s="63"/>
      <c r="I3" s="110">
        <v>3</v>
      </c>
      <c r="J3" s="51"/>
      <c r="K3" s="49">
        <v>32</v>
      </c>
      <c r="L3" s="49">
        <v>57</v>
      </c>
      <c r="M3" s="49">
        <v>16</v>
      </c>
      <c r="N3" s="49">
        <v>73</v>
      </c>
      <c r="O3" s="49">
        <v>9</v>
      </c>
      <c r="P3" s="50">
        <v>7.1428571428571425E-2</v>
      </c>
      <c r="Q3" s="50">
        <v>0.13333333333333333</v>
      </c>
      <c r="R3" s="49">
        <v>1</v>
      </c>
      <c r="S3" s="49">
        <v>0</v>
      </c>
      <c r="T3" s="49">
        <v>32</v>
      </c>
      <c r="U3" s="49">
        <v>73</v>
      </c>
      <c r="V3" s="49">
        <v>4</v>
      </c>
      <c r="W3" s="50">
        <v>1.9765630000000001</v>
      </c>
      <c r="X3" s="50">
        <v>6.0483870967741937E-2</v>
      </c>
      <c r="Y3" s="78" t="s">
        <v>1621</v>
      </c>
      <c r="Z3" s="78" t="s">
        <v>1638</v>
      </c>
      <c r="AA3" s="78" t="s">
        <v>1702</v>
      </c>
      <c r="AB3" s="84" t="s">
        <v>1785</v>
      </c>
      <c r="AC3" s="84" t="s">
        <v>1883</v>
      </c>
      <c r="AD3" s="84" t="s">
        <v>287</v>
      </c>
      <c r="AE3" s="84" t="s">
        <v>1918</v>
      </c>
      <c r="AF3" s="84" t="s">
        <v>1938</v>
      </c>
    </row>
    <row r="4" spans="1:32" x14ac:dyDescent="0.25">
      <c r="A4" s="111" t="s">
        <v>1502</v>
      </c>
      <c r="B4" s="65" t="s">
        <v>1519</v>
      </c>
      <c r="C4" s="65" t="s">
        <v>56</v>
      </c>
      <c r="D4" s="112"/>
      <c r="E4" s="14"/>
      <c r="F4" s="15" t="s">
        <v>2103</v>
      </c>
      <c r="G4" s="63"/>
      <c r="H4" s="63"/>
      <c r="I4" s="110">
        <v>4</v>
      </c>
      <c r="J4" s="127"/>
      <c r="K4" s="49">
        <v>24</v>
      </c>
      <c r="L4" s="49">
        <v>46</v>
      </c>
      <c r="M4" s="49">
        <v>6</v>
      </c>
      <c r="N4" s="49">
        <v>52</v>
      </c>
      <c r="O4" s="49">
        <v>0</v>
      </c>
      <c r="P4" s="50">
        <v>2.0833333333333332E-2</v>
      </c>
      <c r="Q4" s="50">
        <v>4.0816326530612242E-2</v>
      </c>
      <c r="R4" s="49">
        <v>1</v>
      </c>
      <c r="S4" s="49">
        <v>0</v>
      </c>
      <c r="T4" s="49">
        <v>24</v>
      </c>
      <c r="U4" s="49">
        <v>52</v>
      </c>
      <c r="V4" s="49">
        <v>2</v>
      </c>
      <c r="W4" s="50">
        <v>1.75</v>
      </c>
      <c r="X4" s="50">
        <v>8.8768115942028991E-2</v>
      </c>
      <c r="Y4" s="78" t="s">
        <v>1582</v>
      </c>
      <c r="Z4" s="78" t="s">
        <v>449</v>
      </c>
      <c r="AA4" s="78" t="s">
        <v>461</v>
      </c>
      <c r="AB4" s="84" t="s">
        <v>1786</v>
      </c>
      <c r="AC4" s="84" t="s">
        <v>1884</v>
      </c>
      <c r="AD4" s="84" t="s">
        <v>257</v>
      </c>
      <c r="AE4" s="84" t="s">
        <v>1919</v>
      </c>
      <c r="AF4" s="84" t="s">
        <v>1939</v>
      </c>
    </row>
    <row r="5" spans="1:32" x14ac:dyDescent="0.25">
      <c r="A5" s="111" t="s">
        <v>1503</v>
      </c>
      <c r="B5" s="65" t="s">
        <v>1520</v>
      </c>
      <c r="C5" s="65" t="s">
        <v>56</v>
      </c>
      <c r="D5" s="112"/>
      <c r="E5" s="14"/>
      <c r="F5" s="15" t="s">
        <v>2104</v>
      </c>
      <c r="G5" s="63"/>
      <c r="H5" s="63"/>
      <c r="I5" s="110">
        <v>5</v>
      </c>
      <c r="J5" s="127"/>
      <c r="K5" s="49">
        <v>12</v>
      </c>
      <c r="L5" s="49">
        <v>9</v>
      </c>
      <c r="M5" s="49">
        <v>121</v>
      </c>
      <c r="N5" s="49">
        <v>130</v>
      </c>
      <c r="O5" s="49">
        <v>0</v>
      </c>
      <c r="P5" s="50">
        <v>0</v>
      </c>
      <c r="Q5" s="50">
        <v>0</v>
      </c>
      <c r="R5" s="49">
        <v>1</v>
      </c>
      <c r="S5" s="49">
        <v>0</v>
      </c>
      <c r="T5" s="49">
        <v>12</v>
      </c>
      <c r="U5" s="49">
        <v>130</v>
      </c>
      <c r="V5" s="49">
        <v>2</v>
      </c>
      <c r="W5" s="50">
        <v>1.4166669999999999</v>
      </c>
      <c r="X5" s="50">
        <v>0.22727272727272727</v>
      </c>
      <c r="Y5" s="78" t="s">
        <v>1622</v>
      </c>
      <c r="Z5" s="78" t="s">
        <v>1639</v>
      </c>
      <c r="AA5" s="78" t="s">
        <v>1703</v>
      </c>
      <c r="AB5" s="84" t="s">
        <v>1787</v>
      </c>
      <c r="AC5" s="84" t="s">
        <v>1885</v>
      </c>
      <c r="AD5" s="84" t="s">
        <v>322</v>
      </c>
      <c r="AE5" s="84" t="s">
        <v>1920</v>
      </c>
      <c r="AF5" s="84" t="s">
        <v>1940</v>
      </c>
    </row>
    <row r="6" spans="1:32" x14ac:dyDescent="0.25">
      <c r="A6" s="111" t="s">
        <v>1504</v>
      </c>
      <c r="B6" s="65" t="s">
        <v>1521</v>
      </c>
      <c r="C6" s="65" t="s">
        <v>56</v>
      </c>
      <c r="D6" s="112"/>
      <c r="E6" s="14"/>
      <c r="F6" s="15" t="s">
        <v>2105</v>
      </c>
      <c r="G6" s="63"/>
      <c r="H6" s="63"/>
      <c r="I6" s="110">
        <v>6</v>
      </c>
      <c r="J6" s="127"/>
      <c r="K6" s="49">
        <v>9</v>
      </c>
      <c r="L6" s="49">
        <v>4</v>
      </c>
      <c r="M6" s="49">
        <v>10</v>
      </c>
      <c r="N6" s="49">
        <v>14</v>
      </c>
      <c r="O6" s="49">
        <v>2</v>
      </c>
      <c r="P6" s="50">
        <v>0</v>
      </c>
      <c r="Q6" s="50">
        <v>0</v>
      </c>
      <c r="R6" s="49">
        <v>1</v>
      </c>
      <c r="S6" s="49">
        <v>0</v>
      </c>
      <c r="T6" s="49">
        <v>9</v>
      </c>
      <c r="U6" s="49">
        <v>14</v>
      </c>
      <c r="V6" s="49">
        <v>2</v>
      </c>
      <c r="W6" s="50">
        <v>1.580247</v>
      </c>
      <c r="X6" s="50">
        <v>0.1111111111111111</v>
      </c>
      <c r="Y6" s="78"/>
      <c r="Z6" s="78"/>
      <c r="AA6" s="78" t="s">
        <v>1704</v>
      </c>
      <c r="AB6" s="84" t="s">
        <v>1788</v>
      </c>
      <c r="AC6" s="84" t="s">
        <v>867</v>
      </c>
      <c r="AD6" s="84"/>
      <c r="AE6" s="84" t="s">
        <v>1921</v>
      </c>
      <c r="AF6" s="84" t="s">
        <v>1941</v>
      </c>
    </row>
    <row r="7" spans="1:32" x14ac:dyDescent="0.25">
      <c r="A7" s="111" t="s">
        <v>1505</v>
      </c>
      <c r="B7" s="65" t="s">
        <v>1522</v>
      </c>
      <c r="C7" s="65" t="s">
        <v>56</v>
      </c>
      <c r="D7" s="112"/>
      <c r="E7" s="14"/>
      <c r="F7" s="15" t="s">
        <v>2106</v>
      </c>
      <c r="G7" s="63"/>
      <c r="H7" s="63"/>
      <c r="I7" s="110">
        <v>7</v>
      </c>
      <c r="J7" s="127"/>
      <c r="K7" s="49">
        <v>9</v>
      </c>
      <c r="L7" s="49">
        <v>6</v>
      </c>
      <c r="M7" s="49">
        <v>29</v>
      </c>
      <c r="N7" s="49">
        <v>35</v>
      </c>
      <c r="O7" s="49">
        <v>35</v>
      </c>
      <c r="P7" s="50" t="s">
        <v>1535</v>
      </c>
      <c r="Q7" s="50" t="s">
        <v>1535</v>
      </c>
      <c r="R7" s="49">
        <v>9</v>
      </c>
      <c r="S7" s="49">
        <v>9</v>
      </c>
      <c r="T7" s="49">
        <v>1</v>
      </c>
      <c r="U7" s="49">
        <v>22</v>
      </c>
      <c r="V7" s="49">
        <v>0</v>
      </c>
      <c r="W7" s="50">
        <v>0</v>
      </c>
      <c r="X7" s="50">
        <v>0</v>
      </c>
      <c r="Y7" s="78" t="s">
        <v>1623</v>
      </c>
      <c r="Z7" s="78" t="s">
        <v>1640</v>
      </c>
      <c r="AA7" s="78" t="s">
        <v>1705</v>
      </c>
      <c r="AB7" s="84" t="s">
        <v>1789</v>
      </c>
      <c r="AC7" s="84" t="s">
        <v>1886</v>
      </c>
      <c r="AD7" s="84"/>
      <c r="AE7" s="84"/>
      <c r="AF7" s="84" t="s">
        <v>1942</v>
      </c>
    </row>
    <row r="8" spans="1:32" x14ac:dyDescent="0.25">
      <c r="A8" s="111" t="s">
        <v>1506</v>
      </c>
      <c r="B8" s="65" t="s">
        <v>1523</v>
      </c>
      <c r="C8" s="65" t="s">
        <v>56</v>
      </c>
      <c r="D8" s="112"/>
      <c r="E8" s="14"/>
      <c r="F8" s="15" t="s">
        <v>2107</v>
      </c>
      <c r="G8" s="63"/>
      <c r="H8" s="63"/>
      <c r="I8" s="110">
        <v>8</v>
      </c>
      <c r="J8" s="127"/>
      <c r="K8" s="49">
        <v>5</v>
      </c>
      <c r="L8" s="49">
        <v>4</v>
      </c>
      <c r="M8" s="49">
        <v>0</v>
      </c>
      <c r="N8" s="49">
        <v>4</v>
      </c>
      <c r="O8" s="49">
        <v>0</v>
      </c>
      <c r="P8" s="50">
        <v>0</v>
      </c>
      <c r="Q8" s="50">
        <v>0</v>
      </c>
      <c r="R8" s="49">
        <v>1</v>
      </c>
      <c r="S8" s="49">
        <v>0</v>
      </c>
      <c r="T8" s="49">
        <v>5</v>
      </c>
      <c r="U8" s="49">
        <v>4</v>
      </c>
      <c r="V8" s="49">
        <v>2</v>
      </c>
      <c r="W8" s="50">
        <v>1.28</v>
      </c>
      <c r="X8" s="50">
        <v>0.2</v>
      </c>
      <c r="Y8" s="78"/>
      <c r="Z8" s="78"/>
      <c r="AA8" s="78" t="s">
        <v>1706</v>
      </c>
      <c r="AB8" s="84" t="s">
        <v>1790</v>
      </c>
      <c r="AC8" s="84" t="s">
        <v>867</v>
      </c>
      <c r="AD8" s="84"/>
      <c r="AE8" s="84" t="s">
        <v>1922</v>
      </c>
      <c r="AF8" s="84" t="s">
        <v>1943</v>
      </c>
    </row>
    <row r="9" spans="1:32" x14ac:dyDescent="0.25">
      <c r="A9" s="111" t="s">
        <v>1507</v>
      </c>
      <c r="B9" s="65" t="s">
        <v>1524</v>
      </c>
      <c r="C9" s="65" t="s">
        <v>56</v>
      </c>
      <c r="D9" s="112"/>
      <c r="E9" s="14"/>
      <c r="F9" s="15" t="s">
        <v>2108</v>
      </c>
      <c r="G9" s="63"/>
      <c r="H9" s="63"/>
      <c r="I9" s="110">
        <v>9</v>
      </c>
      <c r="J9" s="127"/>
      <c r="K9" s="49">
        <v>5</v>
      </c>
      <c r="L9" s="49">
        <v>8</v>
      </c>
      <c r="M9" s="49">
        <v>0</v>
      </c>
      <c r="N9" s="49">
        <v>8</v>
      </c>
      <c r="O9" s="49">
        <v>0</v>
      </c>
      <c r="P9" s="50">
        <v>0</v>
      </c>
      <c r="Q9" s="50">
        <v>0</v>
      </c>
      <c r="R9" s="49">
        <v>1</v>
      </c>
      <c r="S9" s="49">
        <v>0</v>
      </c>
      <c r="T9" s="49">
        <v>5</v>
      </c>
      <c r="U9" s="49">
        <v>8</v>
      </c>
      <c r="V9" s="49">
        <v>2</v>
      </c>
      <c r="W9" s="50">
        <v>0.96</v>
      </c>
      <c r="X9" s="50">
        <v>0.4</v>
      </c>
      <c r="Y9" s="78" t="s">
        <v>1584</v>
      </c>
      <c r="Z9" s="78" t="s">
        <v>446</v>
      </c>
      <c r="AA9" s="78" t="s">
        <v>460</v>
      </c>
      <c r="AB9" s="84" t="s">
        <v>1791</v>
      </c>
      <c r="AC9" s="84" t="s">
        <v>1887</v>
      </c>
      <c r="AD9" s="84"/>
      <c r="AE9" s="84" t="s">
        <v>1923</v>
      </c>
      <c r="AF9" s="84" t="s">
        <v>1944</v>
      </c>
    </row>
    <row r="10" spans="1:32" ht="14.25" customHeight="1" x14ac:dyDescent="0.25">
      <c r="A10" s="111" t="s">
        <v>1508</v>
      </c>
      <c r="B10" s="65" t="s">
        <v>1525</v>
      </c>
      <c r="C10" s="65" t="s">
        <v>56</v>
      </c>
      <c r="D10" s="112"/>
      <c r="E10" s="14"/>
      <c r="F10" s="15" t="s">
        <v>2109</v>
      </c>
      <c r="G10" s="63"/>
      <c r="H10" s="63"/>
      <c r="I10" s="110">
        <v>10</v>
      </c>
      <c r="J10" s="127"/>
      <c r="K10" s="49">
        <v>5</v>
      </c>
      <c r="L10" s="49">
        <v>8</v>
      </c>
      <c r="M10" s="49">
        <v>0</v>
      </c>
      <c r="N10" s="49">
        <v>8</v>
      </c>
      <c r="O10" s="49">
        <v>1</v>
      </c>
      <c r="P10" s="50">
        <v>0.16666666666666666</v>
      </c>
      <c r="Q10" s="50">
        <v>0.2857142857142857</v>
      </c>
      <c r="R10" s="49">
        <v>1</v>
      </c>
      <c r="S10" s="49">
        <v>0</v>
      </c>
      <c r="T10" s="49">
        <v>5</v>
      </c>
      <c r="U10" s="49">
        <v>8</v>
      </c>
      <c r="V10" s="49">
        <v>2</v>
      </c>
      <c r="W10" s="50">
        <v>1.1200000000000001</v>
      </c>
      <c r="X10" s="50">
        <v>0.35</v>
      </c>
      <c r="Y10" s="78" t="s">
        <v>1614</v>
      </c>
      <c r="Z10" s="78" t="s">
        <v>450</v>
      </c>
      <c r="AA10" s="78" t="s">
        <v>1707</v>
      </c>
      <c r="AB10" s="84" t="s">
        <v>1792</v>
      </c>
      <c r="AC10" s="84" t="s">
        <v>1888</v>
      </c>
      <c r="AD10" s="84"/>
      <c r="AE10" s="84" t="s">
        <v>1924</v>
      </c>
      <c r="AF10" s="84" t="s">
        <v>1945</v>
      </c>
    </row>
    <row r="11" spans="1:32" x14ac:dyDescent="0.25">
      <c r="A11" s="111" t="s">
        <v>1509</v>
      </c>
      <c r="B11" s="65" t="s">
        <v>1526</v>
      </c>
      <c r="C11" s="65" t="s">
        <v>56</v>
      </c>
      <c r="D11" s="112"/>
      <c r="E11" s="14"/>
      <c r="F11" s="15" t="s">
        <v>2110</v>
      </c>
      <c r="G11" s="63"/>
      <c r="H11" s="63"/>
      <c r="I11" s="110">
        <v>11</v>
      </c>
      <c r="J11" s="127"/>
      <c r="K11" s="49">
        <v>4</v>
      </c>
      <c r="L11" s="49">
        <v>5</v>
      </c>
      <c r="M11" s="49">
        <v>0</v>
      </c>
      <c r="N11" s="49">
        <v>5</v>
      </c>
      <c r="O11" s="49">
        <v>0</v>
      </c>
      <c r="P11" s="50">
        <v>0</v>
      </c>
      <c r="Q11" s="50">
        <v>0</v>
      </c>
      <c r="R11" s="49">
        <v>1</v>
      </c>
      <c r="S11" s="49">
        <v>0</v>
      </c>
      <c r="T11" s="49">
        <v>4</v>
      </c>
      <c r="U11" s="49">
        <v>5</v>
      </c>
      <c r="V11" s="49">
        <v>2</v>
      </c>
      <c r="W11" s="50">
        <v>0.875</v>
      </c>
      <c r="X11" s="50">
        <v>0.41666666666666669</v>
      </c>
      <c r="Y11" s="78"/>
      <c r="Z11" s="78"/>
      <c r="AA11" s="78" t="s">
        <v>465</v>
      </c>
      <c r="AB11" s="84" t="s">
        <v>1793</v>
      </c>
      <c r="AC11" s="84" t="s">
        <v>1889</v>
      </c>
      <c r="AD11" s="84"/>
      <c r="AE11" s="84" t="s">
        <v>303</v>
      </c>
      <c r="AF11" s="84" t="s">
        <v>1946</v>
      </c>
    </row>
    <row r="12" spans="1:32" x14ac:dyDescent="0.25">
      <c r="A12" s="111" t="s">
        <v>1510</v>
      </c>
      <c r="B12" s="65" t="s">
        <v>1527</v>
      </c>
      <c r="C12" s="65" t="s">
        <v>56</v>
      </c>
      <c r="D12" s="112"/>
      <c r="E12" s="14"/>
      <c r="F12" s="15" t="s">
        <v>2111</v>
      </c>
      <c r="G12" s="63"/>
      <c r="H12" s="63"/>
      <c r="I12" s="110">
        <v>12</v>
      </c>
      <c r="J12" s="127"/>
      <c r="K12" s="49">
        <v>3</v>
      </c>
      <c r="L12" s="49">
        <v>2</v>
      </c>
      <c r="M12" s="49">
        <v>0</v>
      </c>
      <c r="N12" s="49">
        <v>2</v>
      </c>
      <c r="O12" s="49">
        <v>0</v>
      </c>
      <c r="P12" s="50">
        <v>0</v>
      </c>
      <c r="Q12" s="50">
        <v>0</v>
      </c>
      <c r="R12" s="49">
        <v>1</v>
      </c>
      <c r="S12" s="49">
        <v>0</v>
      </c>
      <c r="T12" s="49">
        <v>3</v>
      </c>
      <c r="U12" s="49">
        <v>2</v>
      </c>
      <c r="V12" s="49">
        <v>2</v>
      </c>
      <c r="W12" s="50">
        <v>0.88888900000000004</v>
      </c>
      <c r="X12" s="50">
        <v>0.33333333333333331</v>
      </c>
      <c r="Y12" s="78"/>
      <c r="Z12" s="78"/>
      <c r="AA12" s="78" t="s">
        <v>1708</v>
      </c>
      <c r="AB12" s="84" t="s">
        <v>1794</v>
      </c>
      <c r="AC12" s="84" t="s">
        <v>867</v>
      </c>
      <c r="AD12" s="84"/>
      <c r="AE12" s="84" t="s">
        <v>1925</v>
      </c>
      <c r="AF12" s="84" t="s">
        <v>1947</v>
      </c>
    </row>
    <row r="13" spans="1:32" x14ac:dyDescent="0.25">
      <c r="A13" s="111" t="s">
        <v>1511</v>
      </c>
      <c r="B13" s="65" t="s">
        <v>1528</v>
      </c>
      <c r="C13" s="65" t="s">
        <v>56</v>
      </c>
      <c r="D13" s="112"/>
      <c r="E13" s="14"/>
      <c r="F13" s="15" t="s">
        <v>2112</v>
      </c>
      <c r="G13" s="63"/>
      <c r="H13" s="63"/>
      <c r="I13" s="110">
        <v>13</v>
      </c>
      <c r="J13" s="127"/>
      <c r="K13" s="49">
        <v>2</v>
      </c>
      <c r="L13" s="49">
        <v>1</v>
      </c>
      <c r="M13" s="49">
        <v>6</v>
      </c>
      <c r="N13" s="49">
        <v>7</v>
      </c>
      <c r="O13" s="49">
        <v>6</v>
      </c>
      <c r="P13" s="50">
        <v>0</v>
      </c>
      <c r="Q13" s="50">
        <v>0</v>
      </c>
      <c r="R13" s="49">
        <v>1</v>
      </c>
      <c r="S13" s="49">
        <v>0</v>
      </c>
      <c r="T13" s="49">
        <v>2</v>
      </c>
      <c r="U13" s="49">
        <v>7</v>
      </c>
      <c r="V13" s="49">
        <v>1</v>
      </c>
      <c r="W13" s="50">
        <v>0.5</v>
      </c>
      <c r="X13" s="50">
        <v>0.5</v>
      </c>
      <c r="Y13" s="78"/>
      <c r="Z13" s="78"/>
      <c r="AA13" s="78" t="s">
        <v>1709</v>
      </c>
      <c r="AB13" s="84" t="s">
        <v>1795</v>
      </c>
      <c r="AC13" s="84" t="s">
        <v>1890</v>
      </c>
      <c r="AD13" s="84"/>
      <c r="AE13" s="84" t="s">
        <v>333</v>
      </c>
      <c r="AF13" s="84" t="s">
        <v>1948</v>
      </c>
    </row>
    <row r="14" spans="1:32" x14ac:dyDescent="0.25">
      <c r="A14" s="111" t="s">
        <v>1512</v>
      </c>
      <c r="B14" s="65" t="s">
        <v>1529</v>
      </c>
      <c r="C14" s="65" t="s">
        <v>56</v>
      </c>
      <c r="D14" s="112"/>
      <c r="E14" s="14"/>
      <c r="F14" s="15" t="s">
        <v>1512</v>
      </c>
      <c r="G14" s="63"/>
      <c r="H14" s="63"/>
      <c r="I14" s="110">
        <v>14</v>
      </c>
      <c r="J14" s="127"/>
      <c r="K14" s="49">
        <v>2</v>
      </c>
      <c r="L14" s="49">
        <v>1</v>
      </c>
      <c r="M14" s="49">
        <v>0</v>
      </c>
      <c r="N14" s="49">
        <v>1</v>
      </c>
      <c r="O14" s="49">
        <v>0</v>
      </c>
      <c r="P14" s="50">
        <v>0</v>
      </c>
      <c r="Q14" s="50">
        <v>0</v>
      </c>
      <c r="R14" s="49">
        <v>1</v>
      </c>
      <c r="S14" s="49">
        <v>0</v>
      </c>
      <c r="T14" s="49">
        <v>2</v>
      </c>
      <c r="U14" s="49">
        <v>1</v>
      </c>
      <c r="V14" s="49">
        <v>1</v>
      </c>
      <c r="W14" s="50">
        <v>0.5</v>
      </c>
      <c r="X14" s="50">
        <v>0.5</v>
      </c>
      <c r="Y14" s="78" t="s">
        <v>1591</v>
      </c>
      <c r="Z14" s="78" t="s">
        <v>447</v>
      </c>
      <c r="AA14" s="78" t="s">
        <v>463</v>
      </c>
      <c r="AB14" s="84" t="s">
        <v>867</v>
      </c>
      <c r="AC14" s="84" t="s">
        <v>867</v>
      </c>
      <c r="AD14" s="84" t="s">
        <v>302</v>
      </c>
      <c r="AE14" s="84"/>
      <c r="AF14" s="84" t="s">
        <v>1949</v>
      </c>
    </row>
    <row r="15" spans="1:32" x14ac:dyDescent="0.25">
      <c r="A15" s="111" t="s">
        <v>1513</v>
      </c>
      <c r="B15" s="65" t="s">
        <v>1518</v>
      </c>
      <c r="C15" s="65" t="s">
        <v>59</v>
      </c>
      <c r="D15" s="112"/>
      <c r="E15" s="14"/>
      <c r="F15" s="15" t="s">
        <v>2113</v>
      </c>
      <c r="G15" s="63"/>
      <c r="H15" s="63"/>
      <c r="I15" s="110">
        <v>15</v>
      </c>
      <c r="J15" s="127"/>
      <c r="K15" s="49">
        <v>2</v>
      </c>
      <c r="L15" s="49">
        <v>1</v>
      </c>
      <c r="M15" s="49">
        <v>0</v>
      </c>
      <c r="N15" s="49">
        <v>1</v>
      </c>
      <c r="O15" s="49">
        <v>0</v>
      </c>
      <c r="P15" s="50">
        <v>0</v>
      </c>
      <c r="Q15" s="50">
        <v>0</v>
      </c>
      <c r="R15" s="49">
        <v>1</v>
      </c>
      <c r="S15" s="49">
        <v>0</v>
      </c>
      <c r="T15" s="49">
        <v>2</v>
      </c>
      <c r="U15" s="49">
        <v>1</v>
      </c>
      <c r="V15" s="49">
        <v>1</v>
      </c>
      <c r="W15" s="50">
        <v>0.5</v>
      </c>
      <c r="X15" s="50">
        <v>0.5</v>
      </c>
      <c r="Y15" s="78"/>
      <c r="Z15" s="78"/>
      <c r="AA15" s="78" t="s">
        <v>479</v>
      </c>
      <c r="AB15" s="84" t="s">
        <v>1796</v>
      </c>
      <c r="AC15" s="84" t="s">
        <v>867</v>
      </c>
      <c r="AD15" s="84"/>
      <c r="AE15" s="84" t="s">
        <v>325</v>
      </c>
      <c r="AF15" s="84" t="s">
        <v>1950</v>
      </c>
    </row>
    <row r="16" spans="1:32" x14ac:dyDescent="0.25">
      <c r="A16" s="111" t="s">
        <v>1514</v>
      </c>
      <c r="B16" s="65" t="s">
        <v>1519</v>
      </c>
      <c r="C16" s="65" t="s">
        <v>59</v>
      </c>
      <c r="D16" s="112"/>
      <c r="E16" s="14"/>
      <c r="F16" s="15" t="s">
        <v>2114</v>
      </c>
      <c r="G16" s="63"/>
      <c r="H16" s="63"/>
      <c r="I16" s="110">
        <v>16</v>
      </c>
      <c r="J16" s="127"/>
      <c r="K16" s="49">
        <v>2</v>
      </c>
      <c r="L16" s="49">
        <v>2</v>
      </c>
      <c r="M16" s="49">
        <v>0</v>
      </c>
      <c r="N16" s="49">
        <v>2</v>
      </c>
      <c r="O16" s="49">
        <v>0</v>
      </c>
      <c r="P16" s="50">
        <v>1</v>
      </c>
      <c r="Q16" s="50">
        <v>1</v>
      </c>
      <c r="R16" s="49">
        <v>1</v>
      </c>
      <c r="S16" s="49">
        <v>0</v>
      </c>
      <c r="T16" s="49">
        <v>2</v>
      </c>
      <c r="U16" s="49">
        <v>2</v>
      </c>
      <c r="V16" s="49">
        <v>1</v>
      </c>
      <c r="W16" s="50">
        <v>0.5</v>
      </c>
      <c r="X16" s="50">
        <v>1</v>
      </c>
      <c r="Y16" s="78"/>
      <c r="Z16" s="78"/>
      <c r="AA16" s="78" t="s">
        <v>461</v>
      </c>
      <c r="AB16" s="84" t="s">
        <v>1797</v>
      </c>
      <c r="AC16" s="84" t="s">
        <v>1891</v>
      </c>
      <c r="AD16" s="84"/>
      <c r="AE16" s="84" t="s">
        <v>219</v>
      </c>
      <c r="AF16" s="84" t="s">
        <v>1951</v>
      </c>
    </row>
    <row r="17" spans="1:32" x14ac:dyDescent="0.25">
      <c r="A17" s="111" t="s">
        <v>1515</v>
      </c>
      <c r="B17" s="65" t="s">
        <v>1520</v>
      </c>
      <c r="C17" s="65" t="s">
        <v>59</v>
      </c>
      <c r="D17" s="112"/>
      <c r="E17" s="14"/>
      <c r="F17" s="15" t="s">
        <v>2115</v>
      </c>
      <c r="G17" s="63"/>
      <c r="H17" s="63"/>
      <c r="I17" s="110">
        <v>17</v>
      </c>
      <c r="J17" s="127"/>
      <c r="K17" s="49">
        <v>2</v>
      </c>
      <c r="L17" s="49">
        <v>2</v>
      </c>
      <c r="M17" s="49">
        <v>0</v>
      </c>
      <c r="N17" s="49">
        <v>2</v>
      </c>
      <c r="O17" s="49">
        <v>1</v>
      </c>
      <c r="P17" s="50">
        <v>0</v>
      </c>
      <c r="Q17" s="50">
        <v>0</v>
      </c>
      <c r="R17" s="49">
        <v>1</v>
      </c>
      <c r="S17" s="49">
        <v>0</v>
      </c>
      <c r="T17" s="49">
        <v>2</v>
      </c>
      <c r="U17" s="49">
        <v>2</v>
      </c>
      <c r="V17" s="49">
        <v>1</v>
      </c>
      <c r="W17" s="50">
        <v>0.5</v>
      </c>
      <c r="X17" s="50">
        <v>0.5</v>
      </c>
      <c r="Y17" s="78" t="s">
        <v>1624</v>
      </c>
      <c r="Z17" s="78" t="s">
        <v>451</v>
      </c>
      <c r="AA17" s="78" t="s">
        <v>1710</v>
      </c>
      <c r="AB17" s="84" t="s">
        <v>1798</v>
      </c>
      <c r="AC17" s="84" t="s">
        <v>867</v>
      </c>
      <c r="AD17" s="84" t="s">
        <v>328</v>
      </c>
      <c r="AE17" s="84"/>
      <c r="AF17" s="84" t="s">
        <v>1952</v>
      </c>
    </row>
    <row r="18" spans="1:32" x14ac:dyDescent="0.25">
      <c r="A18" s="111" t="s">
        <v>1516</v>
      </c>
      <c r="B18" s="65" t="s">
        <v>1521</v>
      </c>
      <c r="C18" s="65" t="s">
        <v>59</v>
      </c>
      <c r="D18" s="112"/>
      <c r="E18" s="14"/>
      <c r="F18" s="15" t="s">
        <v>2116</v>
      </c>
      <c r="G18" s="63"/>
      <c r="H18" s="63"/>
      <c r="I18" s="110">
        <v>18</v>
      </c>
      <c r="J18" s="127"/>
      <c r="K18" s="49">
        <v>2</v>
      </c>
      <c r="L18" s="49">
        <v>1</v>
      </c>
      <c r="M18" s="49">
        <v>4</v>
      </c>
      <c r="N18" s="49">
        <v>5</v>
      </c>
      <c r="O18" s="49">
        <v>4</v>
      </c>
      <c r="P18" s="50">
        <v>0</v>
      </c>
      <c r="Q18" s="50">
        <v>0</v>
      </c>
      <c r="R18" s="49">
        <v>1</v>
      </c>
      <c r="S18" s="49">
        <v>0</v>
      </c>
      <c r="T18" s="49">
        <v>2</v>
      </c>
      <c r="U18" s="49">
        <v>5</v>
      </c>
      <c r="V18" s="49">
        <v>1</v>
      </c>
      <c r="W18" s="50">
        <v>0.5</v>
      </c>
      <c r="X18" s="50">
        <v>0.5</v>
      </c>
      <c r="Y18" s="78" t="s">
        <v>1625</v>
      </c>
      <c r="Z18" s="78" t="s">
        <v>455</v>
      </c>
      <c r="AA18" s="78" t="s">
        <v>1711</v>
      </c>
      <c r="AB18" s="84" t="s">
        <v>1799</v>
      </c>
      <c r="AC18" s="84" t="s">
        <v>1892</v>
      </c>
      <c r="AD18" s="84"/>
      <c r="AE18" s="84" t="s">
        <v>334</v>
      </c>
      <c r="AF18" s="84" t="s">
        <v>1953</v>
      </c>
    </row>
    <row r="19" spans="1:32" x14ac:dyDescent="0.25">
      <c r="A19" s="111" t="s">
        <v>1517</v>
      </c>
      <c r="B19" s="65" t="s">
        <v>1522</v>
      </c>
      <c r="C19" s="65" t="s">
        <v>59</v>
      </c>
      <c r="D19" s="113"/>
      <c r="E19" s="114"/>
      <c r="F19" s="115" t="s">
        <v>2117</v>
      </c>
      <c r="G19" s="116"/>
      <c r="H19" s="116"/>
      <c r="I19" s="117">
        <v>19</v>
      </c>
      <c r="J19" s="118"/>
      <c r="K19" s="49">
        <v>2</v>
      </c>
      <c r="L19" s="49">
        <v>2</v>
      </c>
      <c r="M19" s="49">
        <v>0</v>
      </c>
      <c r="N19" s="49">
        <v>2</v>
      </c>
      <c r="O19" s="49">
        <v>1</v>
      </c>
      <c r="P19" s="50">
        <v>0</v>
      </c>
      <c r="Q19" s="50">
        <v>0</v>
      </c>
      <c r="R19" s="49">
        <v>1</v>
      </c>
      <c r="S19" s="49">
        <v>0</v>
      </c>
      <c r="T19" s="49">
        <v>2</v>
      </c>
      <c r="U19" s="49">
        <v>2</v>
      </c>
      <c r="V19" s="49">
        <v>1</v>
      </c>
      <c r="W19" s="50">
        <v>0.5</v>
      </c>
      <c r="X19" s="50">
        <v>0.5</v>
      </c>
      <c r="Y19" s="78"/>
      <c r="Z19" s="78"/>
      <c r="AA19" s="78" t="s">
        <v>467</v>
      </c>
      <c r="AB19" s="84" t="s">
        <v>1800</v>
      </c>
      <c r="AC19" s="84" t="s">
        <v>1893</v>
      </c>
      <c r="AD19" s="84"/>
      <c r="AE19" s="84"/>
      <c r="AF19" s="84" t="s">
        <v>1954</v>
      </c>
    </row>
    <row r="20" spans="1:32" x14ac:dyDescent="0.25">
      <c r="A20"/>
    </row>
    <row r="21" spans="1:32" x14ac:dyDescent="0.25">
      <c r="A21"/>
    </row>
    <row r="22" spans="1:32" x14ac:dyDescent="0.25">
      <c r="A22"/>
    </row>
    <row r="23" spans="1:32" x14ac:dyDescent="0.25">
      <c r="A23"/>
    </row>
    <row r="24" spans="1:32" x14ac:dyDescent="0.25">
      <c r="A24"/>
    </row>
    <row r="25" spans="1:32" x14ac:dyDescent="0.25">
      <c r="A25"/>
    </row>
    <row r="26" spans="1:32" x14ac:dyDescent="0.25">
      <c r="A26"/>
    </row>
    <row r="27" spans="1:32" x14ac:dyDescent="0.25">
      <c r="A27"/>
    </row>
  </sheetData>
  <dataConsolidate/>
  <dataValidations count="8">
    <dataValidation allowBlank="1" showInputMessage="1" promptTitle="Group Vertex Color" prompt="To select a color to use for all vertices in the group, right-click and select Select Color on the right-click menu." sqref="B3:B19"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C19" xr:uid="{00000000-0002-0000-0300-000001000000}">
      <formula1>ValidGroupShapes</formula1>
    </dataValidation>
    <dataValidation allowBlank="1" showInputMessage="1" showErrorMessage="1" promptTitle="Group Name" prompt="Enter the name of the group." sqref="A3:A19"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E19" xr:uid="{00000000-0002-0000-0300-000003000000}">
      <formula1>ValidBooleansDefaultFalse</formula1>
    </dataValidation>
    <dataValidation allowBlank="1" sqref="K3:K19"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F19"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19"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D19"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123"/>
  <sheetViews>
    <sheetView topLeftCell="A28" zoomScaleNormal="100" workbookViewId="0">
      <selection activeCell="B37" sqref="B37"/>
    </sheetView>
  </sheetViews>
  <sheetFormatPr defaultRowHeight="15" x14ac:dyDescent="0.25"/>
  <cols>
    <col min="1" max="1" width="20.140625" style="1" customWidth="1"/>
    <col min="2" max="2" width="24.5703125" style="1" customWidth="1"/>
    <col min="3" max="3" width="19.42578125" customWidth="1"/>
    <col min="4" max="4" width="9.140625" customWidth="1"/>
  </cols>
  <sheetData>
    <row r="1" spans="1:3" ht="15" customHeight="1" x14ac:dyDescent="0.25">
      <c r="A1" s="11" t="s">
        <v>143</v>
      </c>
      <c r="B1" s="11" t="s">
        <v>5</v>
      </c>
      <c r="C1" s="11" t="s">
        <v>146</v>
      </c>
    </row>
    <row r="2" spans="1:3" x14ac:dyDescent="0.25">
      <c r="A2" s="78" t="s">
        <v>1501</v>
      </c>
      <c r="B2" s="84" t="s">
        <v>295</v>
      </c>
      <c r="C2" s="78">
        <f>VLOOKUP(GroupVertices[[#This Row],[Vertex]], Vertices[], MATCH("ID", Vertices[#Headers], 0), FALSE)</f>
        <v>27</v>
      </c>
    </row>
    <row r="3" spans="1:3" x14ac:dyDescent="0.25">
      <c r="A3" s="79" t="s">
        <v>1501</v>
      </c>
      <c r="B3" s="84" t="s">
        <v>331</v>
      </c>
      <c r="C3" s="78">
        <f>VLOOKUP(GroupVertices[[#This Row],[Vertex]], Vertices[], MATCH("ID", Vertices[#Headers], 0), FALSE)</f>
        <v>43</v>
      </c>
    </row>
    <row r="4" spans="1:3" x14ac:dyDescent="0.25">
      <c r="A4" s="79" t="s">
        <v>1501</v>
      </c>
      <c r="B4" s="84" t="s">
        <v>287</v>
      </c>
      <c r="C4" s="78">
        <f>VLOOKUP(GroupVertices[[#This Row],[Vertex]], Vertices[], MATCH("ID", Vertices[#Headers], 0), FALSE)</f>
        <v>3</v>
      </c>
    </row>
    <row r="5" spans="1:3" x14ac:dyDescent="0.25">
      <c r="A5" s="79" t="s">
        <v>1501</v>
      </c>
      <c r="B5" s="84" t="s">
        <v>234</v>
      </c>
      <c r="C5" s="78">
        <f>VLOOKUP(GroupVertices[[#This Row],[Vertex]], Vertices[], MATCH("ID", Vertices[#Headers], 0), FALSE)</f>
        <v>16</v>
      </c>
    </row>
    <row r="6" spans="1:3" x14ac:dyDescent="0.25">
      <c r="A6" s="79" t="s">
        <v>1501</v>
      </c>
      <c r="B6" s="84" t="s">
        <v>307</v>
      </c>
      <c r="C6" s="78">
        <f>VLOOKUP(GroupVertices[[#This Row],[Vertex]], Vertices[], MATCH("ID", Vertices[#Headers], 0), FALSE)</f>
        <v>71</v>
      </c>
    </row>
    <row r="7" spans="1:3" x14ac:dyDescent="0.25">
      <c r="A7" s="79" t="s">
        <v>1501</v>
      </c>
      <c r="B7" s="84" t="s">
        <v>299</v>
      </c>
      <c r="C7" s="78">
        <f>VLOOKUP(GroupVertices[[#This Row],[Vertex]], Vertices[], MATCH("ID", Vertices[#Headers], 0), FALSE)</f>
        <v>15</v>
      </c>
    </row>
    <row r="8" spans="1:3" x14ac:dyDescent="0.25">
      <c r="A8" s="79" t="s">
        <v>1501</v>
      </c>
      <c r="B8" s="84" t="s">
        <v>336</v>
      </c>
      <c r="C8" s="78">
        <f>VLOOKUP(GroupVertices[[#This Row],[Vertex]], Vertices[], MATCH("ID", Vertices[#Headers], 0), FALSE)</f>
        <v>47</v>
      </c>
    </row>
    <row r="9" spans="1:3" x14ac:dyDescent="0.25">
      <c r="A9" s="79" t="s">
        <v>1501</v>
      </c>
      <c r="B9" s="84" t="s">
        <v>286</v>
      </c>
      <c r="C9" s="78">
        <f>VLOOKUP(GroupVertices[[#This Row],[Vertex]], Vertices[], MATCH("ID", Vertices[#Headers], 0), FALSE)</f>
        <v>54</v>
      </c>
    </row>
    <row r="10" spans="1:3" x14ac:dyDescent="0.25">
      <c r="A10" s="79" t="s">
        <v>1501</v>
      </c>
      <c r="B10" s="84" t="s">
        <v>332</v>
      </c>
      <c r="C10" s="78">
        <f>VLOOKUP(GroupVertices[[#This Row],[Vertex]], Vertices[], MATCH("ID", Vertices[#Headers], 0), FALSE)</f>
        <v>41</v>
      </c>
    </row>
    <row r="11" spans="1:3" x14ac:dyDescent="0.25">
      <c r="A11" s="79" t="s">
        <v>1501</v>
      </c>
      <c r="B11" s="84" t="s">
        <v>282</v>
      </c>
      <c r="C11" s="78">
        <f>VLOOKUP(GroupVertices[[#This Row],[Vertex]], Vertices[], MATCH("ID", Vertices[#Headers], 0), FALSE)</f>
        <v>94</v>
      </c>
    </row>
    <row r="12" spans="1:3" x14ac:dyDescent="0.25">
      <c r="A12" s="79" t="s">
        <v>1501</v>
      </c>
      <c r="B12" s="84" t="s">
        <v>304</v>
      </c>
      <c r="C12" s="78">
        <f>VLOOKUP(GroupVertices[[#This Row],[Vertex]], Vertices[], MATCH("ID", Vertices[#Headers], 0), FALSE)</f>
        <v>10</v>
      </c>
    </row>
    <row r="13" spans="1:3" x14ac:dyDescent="0.25">
      <c r="A13" s="79" t="s">
        <v>1501</v>
      </c>
      <c r="B13" s="84" t="s">
        <v>281</v>
      </c>
      <c r="C13" s="78">
        <f>VLOOKUP(GroupVertices[[#This Row],[Vertex]], Vertices[], MATCH("ID", Vertices[#Headers], 0), FALSE)</f>
        <v>92</v>
      </c>
    </row>
    <row r="14" spans="1:3" x14ac:dyDescent="0.25">
      <c r="A14" s="79" t="s">
        <v>1501</v>
      </c>
      <c r="B14" s="84" t="s">
        <v>278</v>
      </c>
      <c r="C14" s="78">
        <f>VLOOKUP(GroupVertices[[#This Row],[Vertex]], Vertices[], MATCH("ID", Vertices[#Headers], 0), FALSE)</f>
        <v>116</v>
      </c>
    </row>
    <row r="15" spans="1:3" x14ac:dyDescent="0.25">
      <c r="A15" s="79" t="s">
        <v>1501</v>
      </c>
      <c r="B15" s="84" t="s">
        <v>276</v>
      </c>
      <c r="C15" s="78">
        <f>VLOOKUP(GroupVertices[[#This Row],[Vertex]], Vertices[], MATCH("ID", Vertices[#Headers], 0), FALSE)</f>
        <v>110</v>
      </c>
    </row>
    <row r="16" spans="1:3" x14ac:dyDescent="0.25">
      <c r="A16" s="79" t="s">
        <v>1501</v>
      </c>
      <c r="B16" s="84" t="s">
        <v>264</v>
      </c>
      <c r="C16" s="78">
        <f>VLOOKUP(GroupVertices[[#This Row],[Vertex]], Vertices[], MATCH("ID", Vertices[#Headers], 0), FALSE)</f>
        <v>100</v>
      </c>
    </row>
    <row r="17" spans="1:3" x14ac:dyDescent="0.25">
      <c r="A17" s="79" t="s">
        <v>1501</v>
      </c>
      <c r="B17" s="84" t="s">
        <v>263</v>
      </c>
      <c r="C17" s="78">
        <f>VLOOKUP(GroupVertices[[#This Row],[Vertex]], Vertices[], MATCH("ID", Vertices[#Headers], 0), FALSE)</f>
        <v>118</v>
      </c>
    </row>
    <row r="18" spans="1:3" x14ac:dyDescent="0.25">
      <c r="A18" s="79" t="s">
        <v>1501</v>
      </c>
      <c r="B18" s="84" t="s">
        <v>262</v>
      </c>
      <c r="C18" s="78">
        <f>VLOOKUP(GroupVertices[[#This Row],[Vertex]], Vertices[], MATCH("ID", Vertices[#Headers], 0), FALSE)</f>
        <v>73</v>
      </c>
    </row>
    <row r="19" spans="1:3" x14ac:dyDescent="0.25">
      <c r="A19" s="79" t="s">
        <v>1501</v>
      </c>
      <c r="B19" s="84" t="s">
        <v>231</v>
      </c>
      <c r="C19" s="78">
        <f>VLOOKUP(GroupVertices[[#This Row],[Vertex]], Vertices[], MATCH("ID", Vertices[#Headers], 0), FALSE)</f>
        <v>114</v>
      </c>
    </row>
    <row r="20" spans="1:3" x14ac:dyDescent="0.25">
      <c r="A20" s="79" t="s">
        <v>1501</v>
      </c>
      <c r="B20" s="84" t="s">
        <v>293</v>
      </c>
      <c r="C20" s="78">
        <f>VLOOKUP(GroupVertices[[#This Row],[Vertex]], Vertices[], MATCH("ID", Vertices[#Headers], 0), FALSE)</f>
        <v>96</v>
      </c>
    </row>
    <row r="21" spans="1:3" x14ac:dyDescent="0.25">
      <c r="A21" s="79" t="s">
        <v>1501</v>
      </c>
      <c r="B21" s="84" t="s">
        <v>298</v>
      </c>
      <c r="C21" s="78">
        <f>VLOOKUP(GroupVertices[[#This Row],[Vertex]], Vertices[], MATCH("ID", Vertices[#Headers], 0), FALSE)</f>
        <v>14</v>
      </c>
    </row>
    <row r="22" spans="1:3" x14ac:dyDescent="0.25">
      <c r="A22" s="79" t="s">
        <v>1501</v>
      </c>
      <c r="B22" s="84" t="s">
        <v>290</v>
      </c>
      <c r="C22" s="78">
        <f>VLOOKUP(GroupVertices[[#This Row],[Vertex]], Vertices[], MATCH("ID", Vertices[#Headers], 0), FALSE)</f>
        <v>65</v>
      </c>
    </row>
    <row r="23" spans="1:3" x14ac:dyDescent="0.25">
      <c r="A23" s="79" t="s">
        <v>1501</v>
      </c>
      <c r="B23" s="84" t="s">
        <v>283</v>
      </c>
      <c r="C23" s="78">
        <f>VLOOKUP(GroupVertices[[#This Row],[Vertex]], Vertices[], MATCH("ID", Vertices[#Headers], 0), FALSE)</f>
        <v>103</v>
      </c>
    </row>
    <row r="24" spans="1:3" x14ac:dyDescent="0.25">
      <c r="A24" s="79" t="s">
        <v>1501</v>
      </c>
      <c r="B24" s="84" t="s">
        <v>280</v>
      </c>
      <c r="C24" s="78">
        <f>VLOOKUP(GroupVertices[[#This Row],[Vertex]], Vertices[], MATCH("ID", Vertices[#Headers], 0), FALSE)</f>
        <v>55</v>
      </c>
    </row>
    <row r="25" spans="1:3" x14ac:dyDescent="0.25">
      <c r="A25" s="79" t="s">
        <v>1501</v>
      </c>
      <c r="B25" s="84" t="s">
        <v>277</v>
      </c>
      <c r="C25" s="78">
        <f>VLOOKUP(GroupVertices[[#This Row],[Vertex]], Vertices[], MATCH("ID", Vertices[#Headers], 0), FALSE)</f>
        <v>74</v>
      </c>
    </row>
    <row r="26" spans="1:3" x14ac:dyDescent="0.25">
      <c r="A26" s="79" t="s">
        <v>1501</v>
      </c>
      <c r="B26" s="84" t="s">
        <v>275</v>
      </c>
      <c r="C26" s="78">
        <f>VLOOKUP(GroupVertices[[#This Row],[Vertex]], Vertices[], MATCH("ID", Vertices[#Headers], 0), FALSE)</f>
        <v>72</v>
      </c>
    </row>
    <row r="27" spans="1:3" x14ac:dyDescent="0.25">
      <c r="A27" s="79" t="s">
        <v>1501</v>
      </c>
      <c r="B27" s="84" t="s">
        <v>273</v>
      </c>
      <c r="C27" s="78">
        <f>VLOOKUP(GroupVertices[[#This Row],[Vertex]], Vertices[], MATCH("ID", Vertices[#Headers], 0), FALSE)</f>
        <v>106</v>
      </c>
    </row>
    <row r="28" spans="1:3" x14ac:dyDescent="0.25">
      <c r="A28" s="79" t="s">
        <v>1501</v>
      </c>
      <c r="B28" s="84" t="s">
        <v>272</v>
      </c>
      <c r="C28" s="78">
        <f>VLOOKUP(GroupVertices[[#This Row],[Vertex]], Vertices[], MATCH("ID", Vertices[#Headers], 0), FALSE)</f>
        <v>113</v>
      </c>
    </row>
    <row r="29" spans="1:3" x14ac:dyDescent="0.25">
      <c r="A29" s="79" t="s">
        <v>1501</v>
      </c>
      <c r="B29" s="84" t="s">
        <v>271</v>
      </c>
      <c r="C29" s="78">
        <f>VLOOKUP(GroupVertices[[#This Row],[Vertex]], Vertices[], MATCH("ID", Vertices[#Headers], 0), FALSE)</f>
        <v>88</v>
      </c>
    </row>
    <row r="30" spans="1:3" x14ac:dyDescent="0.25">
      <c r="A30" s="79" t="s">
        <v>1501</v>
      </c>
      <c r="B30" s="84" t="s">
        <v>270</v>
      </c>
      <c r="C30" s="78">
        <f>VLOOKUP(GroupVertices[[#This Row],[Vertex]], Vertices[], MATCH("ID", Vertices[#Headers], 0), FALSE)</f>
        <v>109</v>
      </c>
    </row>
    <row r="31" spans="1:3" x14ac:dyDescent="0.25">
      <c r="A31" s="79" t="s">
        <v>1501</v>
      </c>
      <c r="B31" s="84" t="s">
        <v>269</v>
      </c>
      <c r="C31" s="78">
        <f>VLOOKUP(GroupVertices[[#This Row],[Vertex]], Vertices[], MATCH("ID", Vertices[#Headers], 0), FALSE)</f>
        <v>115</v>
      </c>
    </row>
    <row r="32" spans="1:3" x14ac:dyDescent="0.25">
      <c r="A32" s="79" t="s">
        <v>1501</v>
      </c>
      <c r="B32" s="84" t="s">
        <v>288</v>
      </c>
      <c r="C32" s="78">
        <f>VLOOKUP(GroupVertices[[#This Row],[Vertex]], Vertices[], MATCH("ID", Vertices[#Headers], 0), FALSE)</f>
        <v>87</v>
      </c>
    </row>
    <row r="33" spans="1:3" x14ac:dyDescent="0.25">
      <c r="A33" s="79" t="s">
        <v>1501</v>
      </c>
      <c r="B33" s="84" t="s">
        <v>335</v>
      </c>
      <c r="C33" s="78">
        <f>VLOOKUP(GroupVertices[[#This Row],[Vertex]], Vertices[], MATCH("ID", Vertices[#Headers], 0), FALSE)</f>
        <v>69</v>
      </c>
    </row>
    <row r="34" spans="1:3" x14ac:dyDescent="0.25">
      <c r="A34" s="79" t="s">
        <v>1502</v>
      </c>
      <c r="B34" s="84" t="s">
        <v>237</v>
      </c>
      <c r="C34" s="78">
        <f>VLOOKUP(GroupVertices[[#This Row],[Vertex]], Vertices[], MATCH("ID", Vertices[#Headers], 0), FALSE)</f>
        <v>83</v>
      </c>
    </row>
    <row r="35" spans="1:3" x14ac:dyDescent="0.25">
      <c r="A35" s="79" t="s">
        <v>1502</v>
      </c>
      <c r="B35" s="84" t="s">
        <v>257</v>
      </c>
      <c r="C35" s="78">
        <f>VLOOKUP(GroupVertices[[#This Row],[Vertex]], Vertices[], MATCH("ID", Vertices[#Headers], 0), FALSE)</f>
        <v>8</v>
      </c>
    </row>
    <row r="36" spans="1:3" x14ac:dyDescent="0.25">
      <c r="A36" s="79" t="s">
        <v>1502</v>
      </c>
      <c r="B36" s="84" t="s">
        <v>258</v>
      </c>
      <c r="C36" s="78">
        <f>VLOOKUP(GroupVertices[[#This Row],[Vertex]], Vertices[], MATCH("ID", Vertices[#Headers], 0), FALSE)</f>
        <v>57</v>
      </c>
    </row>
    <row r="37" spans="1:3" x14ac:dyDescent="0.25">
      <c r="A37" s="79" t="s">
        <v>1502</v>
      </c>
      <c r="B37" s="84" t="s">
        <v>308</v>
      </c>
      <c r="C37" s="78">
        <f>VLOOKUP(GroupVertices[[#This Row],[Vertex]], Vertices[], MATCH("ID", Vertices[#Headers], 0), FALSE)</f>
        <v>19</v>
      </c>
    </row>
    <row r="38" spans="1:3" x14ac:dyDescent="0.25">
      <c r="A38" s="79" t="s">
        <v>1502</v>
      </c>
      <c r="B38" s="84" t="s">
        <v>254</v>
      </c>
      <c r="C38" s="78">
        <f>VLOOKUP(GroupVertices[[#This Row],[Vertex]], Vertices[], MATCH("ID", Vertices[#Headers], 0), FALSE)</f>
        <v>102</v>
      </c>
    </row>
    <row r="39" spans="1:3" x14ac:dyDescent="0.25">
      <c r="A39" s="79" t="s">
        <v>1502</v>
      </c>
      <c r="B39" s="84" t="s">
        <v>246</v>
      </c>
      <c r="C39" s="78">
        <f>VLOOKUP(GroupVertices[[#This Row],[Vertex]], Vertices[], MATCH("ID", Vertices[#Headers], 0), FALSE)</f>
        <v>59</v>
      </c>
    </row>
    <row r="40" spans="1:3" x14ac:dyDescent="0.25">
      <c r="A40" s="79" t="s">
        <v>1502</v>
      </c>
      <c r="B40" s="84" t="s">
        <v>243</v>
      </c>
      <c r="C40" s="78">
        <f>VLOOKUP(GroupVertices[[#This Row],[Vertex]], Vertices[], MATCH("ID", Vertices[#Headers], 0), FALSE)</f>
        <v>66</v>
      </c>
    </row>
    <row r="41" spans="1:3" x14ac:dyDescent="0.25">
      <c r="A41" s="79" t="s">
        <v>1502</v>
      </c>
      <c r="B41" s="84" t="s">
        <v>256</v>
      </c>
      <c r="C41" s="78">
        <f>VLOOKUP(GroupVertices[[#This Row],[Vertex]], Vertices[], MATCH("ID", Vertices[#Headers], 0), FALSE)</f>
        <v>9</v>
      </c>
    </row>
    <row r="42" spans="1:3" x14ac:dyDescent="0.25">
      <c r="A42" s="79" t="s">
        <v>1502</v>
      </c>
      <c r="B42" s="84" t="s">
        <v>260</v>
      </c>
      <c r="C42" s="78">
        <f>VLOOKUP(GroupVertices[[#This Row],[Vertex]], Vertices[], MATCH("ID", Vertices[#Headers], 0), FALSE)</f>
        <v>104</v>
      </c>
    </row>
    <row r="43" spans="1:3" x14ac:dyDescent="0.25">
      <c r="A43" s="79" t="s">
        <v>1502</v>
      </c>
      <c r="B43" s="84" t="s">
        <v>255</v>
      </c>
      <c r="C43" s="78">
        <f>VLOOKUP(GroupVertices[[#This Row],[Vertex]], Vertices[], MATCH("ID", Vertices[#Headers], 0), FALSE)</f>
        <v>52</v>
      </c>
    </row>
    <row r="44" spans="1:3" x14ac:dyDescent="0.25">
      <c r="A44" s="79" t="s">
        <v>1502</v>
      </c>
      <c r="B44" s="84" t="s">
        <v>253</v>
      </c>
      <c r="C44" s="78">
        <f>VLOOKUP(GroupVertices[[#This Row],[Vertex]], Vertices[], MATCH("ID", Vertices[#Headers], 0), FALSE)</f>
        <v>70</v>
      </c>
    </row>
    <row r="45" spans="1:3" x14ac:dyDescent="0.25">
      <c r="A45" s="79" t="s">
        <v>1502</v>
      </c>
      <c r="B45" s="84" t="s">
        <v>252</v>
      </c>
      <c r="C45" s="78">
        <f>VLOOKUP(GroupVertices[[#This Row],[Vertex]], Vertices[], MATCH("ID", Vertices[#Headers], 0), FALSE)</f>
        <v>53</v>
      </c>
    </row>
    <row r="46" spans="1:3" x14ac:dyDescent="0.25">
      <c r="A46" s="79" t="s">
        <v>1502</v>
      </c>
      <c r="B46" s="84" t="s">
        <v>251</v>
      </c>
      <c r="C46" s="78">
        <f>VLOOKUP(GroupVertices[[#This Row],[Vertex]], Vertices[], MATCH("ID", Vertices[#Headers], 0), FALSE)</f>
        <v>81</v>
      </c>
    </row>
    <row r="47" spans="1:3" x14ac:dyDescent="0.25">
      <c r="A47" s="79" t="s">
        <v>1502</v>
      </c>
      <c r="B47" s="84" t="s">
        <v>250</v>
      </c>
      <c r="C47" s="78">
        <f>VLOOKUP(GroupVertices[[#This Row],[Vertex]], Vertices[], MATCH("ID", Vertices[#Headers], 0), FALSE)</f>
        <v>75</v>
      </c>
    </row>
    <row r="48" spans="1:3" x14ac:dyDescent="0.25">
      <c r="A48" s="79" t="s">
        <v>1502</v>
      </c>
      <c r="B48" s="84" t="s">
        <v>249</v>
      </c>
      <c r="C48" s="78">
        <f>VLOOKUP(GroupVertices[[#This Row],[Vertex]], Vertices[], MATCH("ID", Vertices[#Headers], 0), FALSE)</f>
        <v>68</v>
      </c>
    </row>
    <row r="49" spans="1:3" x14ac:dyDescent="0.25">
      <c r="A49" s="79" t="s">
        <v>1502</v>
      </c>
      <c r="B49" s="84" t="s">
        <v>248</v>
      </c>
      <c r="C49" s="78">
        <f>VLOOKUP(GroupVertices[[#This Row],[Vertex]], Vertices[], MATCH("ID", Vertices[#Headers], 0), FALSE)</f>
        <v>63</v>
      </c>
    </row>
    <row r="50" spans="1:3" x14ac:dyDescent="0.25">
      <c r="A50" s="79" t="s">
        <v>1502</v>
      </c>
      <c r="B50" s="84" t="s">
        <v>247</v>
      </c>
      <c r="C50" s="78">
        <f>VLOOKUP(GroupVertices[[#This Row],[Vertex]], Vertices[], MATCH("ID", Vertices[#Headers], 0), FALSE)</f>
        <v>49</v>
      </c>
    </row>
    <row r="51" spans="1:3" x14ac:dyDescent="0.25">
      <c r="A51" s="79" t="s">
        <v>1502</v>
      </c>
      <c r="B51" s="84" t="s">
        <v>244</v>
      </c>
      <c r="C51" s="78">
        <f>VLOOKUP(GroupVertices[[#This Row],[Vertex]], Vertices[], MATCH("ID", Vertices[#Headers], 0), FALSE)</f>
        <v>58</v>
      </c>
    </row>
    <row r="52" spans="1:3" x14ac:dyDescent="0.25">
      <c r="A52" s="79" t="s">
        <v>1502</v>
      </c>
      <c r="B52" s="84" t="s">
        <v>242</v>
      </c>
      <c r="C52" s="78">
        <f>VLOOKUP(GroupVertices[[#This Row],[Vertex]], Vertices[], MATCH("ID", Vertices[#Headers], 0), FALSE)</f>
        <v>60</v>
      </c>
    </row>
    <row r="53" spans="1:3" x14ac:dyDescent="0.25">
      <c r="A53" s="79" t="s">
        <v>1502</v>
      </c>
      <c r="B53" s="84" t="s">
        <v>241</v>
      </c>
      <c r="C53" s="78">
        <f>VLOOKUP(GroupVertices[[#This Row],[Vertex]], Vertices[], MATCH("ID", Vertices[#Headers], 0), FALSE)</f>
        <v>77</v>
      </c>
    </row>
    <row r="54" spans="1:3" x14ac:dyDescent="0.25">
      <c r="A54" s="79" t="s">
        <v>1502</v>
      </c>
      <c r="B54" s="84" t="s">
        <v>240</v>
      </c>
      <c r="C54" s="78">
        <f>VLOOKUP(GroupVertices[[#This Row],[Vertex]], Vertices[], MATCH("ID", Vertices[#Headers], 0), FALSE)</f>
        <v>44</v>
      </c>
    </row>
    <row r="55" spans="1:3" x14ac:dyDescent="0.25">
      <c r="A55" s="79" t="s">
        <v>1502</v>
      </c>
      <c r="B55" s="84" t="s">
        <v>239</v>
      </c>
      <c r="C55" s="78">
        <f>VLOOKUP(GroupVertices[[#This Row],[Vertex]], Vertices[], MATCH("ID", Vertices[#Headers], 0), FALSE)</f>
        <v>45</v>
      </c>
    </row>
    <row r="56" spans="1:3" x14ac:dyDescent="0.25">
      <c r="A56" s="79" t="s">
        <v>1502</v>
      </c>
      <c r="B56" s="84" t="s">
        <v>238</v>
      </c>
      <c r="C56" s="78">
        <f>VLOOKUP(GroupVertices[[#This Row],[Vertex]], Vertices[], MATCH("ID", Vertices[#Headers], 0), FALSE)</f>
        <v>61</v>
      </c>
    </row>
    <row r="57" spans="1:3" x14ac:dyDescent="0.25">
      <c r="A57" s="79" t="s">
        <v>1502</v>
      </c>
      <c r="B57" s="84" t="s">
        <v>236</v>
      </c>
      <c r="C57" s="78">
        <f>VLOOKUP(GroupVertices[[#This Row],[Vertex]], Vertices[], MATCH("ID", Vertices[#Headers], 0), FALSE)</f>
        <v>62</v>
      </c>
    </row>
    <row r="58" spans="1:3" x14ac:dyDescent="0.25">
      <c r="A58" s="79" t="s">
        <v>1503</v>
      </c>
      <c r="B58" s="84" t="s">
        <v>266</v>
      </c>
      <c r="C58" s="78">
        <f>VLOOKUP(GroupVertices[[#This Row],[Vertex]], Vertices[], MATCH("ID", Vertices[#Headers], 0), FALSE)</f>
        <v>13</v>
      </c>
    </row>
    <row r="59" spans="1:3" x14ac:dyDescent="0.25">
      <c r="A59" s="79" t="s">
        <v>1503</v>
      </c>
      <c r="B59" s="84" t="s">
        <v>324</v>
      </c>
      <c r="C59" s="78">
        <f>VLOOKUP(GroupVertices[[#This Row],[Vertex]], Vertices[], MATCH("ID", Vertices[#Headers], 0), FALSE)</f>
        <v>30</v>
      </c>
    </row>
    <row r="60" spans="1:3" x14ac:dyDescent="0.25">
      <c r="A60" s="79" t="s">
        <v>1503</v>
      </c>
      <c r="B60" s="84" t="s">
        <v>265</v>
      </c>
      <c r="C60" s="78">
        <f>VLOOKUP(GroupVertices[[#This Row],[Vertex]], Vertices[], MATCH("ID", Vertices[#Headers], 0), FALSE)</f>
        <v>12</v>
      </c>
    </row>
    <row r="61" spans="1:3" x14ac:dyDescent="0.25">
      <c r="A61" s="79" t="s">
        <v>1503</v>
      </c>
      <c r="B61" s="84" t="s">
        <v>267</v>
      </c>
      <c r="C61" s="78">
        <f>VLOOKUP(GroupVertices[[#This Row],[Vertex]], Vertices[], MATCH("ID", Vertices[#Headers], 0), FALSE)</f>
        <v>11</v>
      </c>
    </row>
    <row r="62" spans="1:3" x14ac:dyDescent="0.25">
      <c r="A62" s="79" t="s">
        <v>1503</v>
      </c>
      <c r="B62" s="84" t="s">
        <v>289</v>
      </c>
      <c r="C62" s="78">
        <f>VLOOKUP(GroupVertices[[#This Row],[Vertex]], Vertices[], MATCH("ID", Vertices[#Headers], 0), FALSE)</f>
        <v>5</v>
      </c>
    </row>
    <row r="63" spans="1:3" x14ac:dyDescent="0.25">
      <c r="A63" s="79" t="s">
        <v>1503</v>
      </c>
      <c r="B63" s="84" t="s">
        <v>330</v>
      </c>
      <c r="C63" s="78">
        <f>VLOOKUP(GroupVertices[[#This Row],[Vertex]], Vertices[], MATCH("ID", Vertices[#Headers], 0), FALSE)</f>
        <v>124</v>
      </c>
    </row>
    <row r="64" spans="1:3" x14ac:dyDescent="0.25">
      <c r="A64" s="79" t="s">
        <v>1503</v>
      </c>
      <c r="B64" s="84" t="s">
        <v>285</v>
      </c>
      <c r="C64" s="78">
        <f>VLOOKUP(GroupVertices[[#This Row],[Vertex]], Vertices[], MATCH("ID", Vertices[#Headers], 0), FALSE)</f>
        <v>18</v>
      </c>
    </row>
    <row r="65" spans="1:3" x14ac:dyDescent="0.25">
      <c r="A65" s="79" t="s">
        <v>1503</v>
      </c>
      <c r="B65" s="84" t="s">
        <v>320</v>
      </c>
      <c r="C65" s="78">
        <f>VLOOKUP(GroupVertices[[#This Row],[Vertex]], Vertices[], MATCH("ID", Vertices[#Headers], 0), FALSE)</f>
        <v>21</v>
      </c>
    </row>
    <row r="66" spans="1:3" x14ac:dyDescent="0.25">
      <c r="A66" s="79" t="s">
        <v>1503</v>
      </c>
      <c r="B66" s="84" t="s">
        <v>322</v>
      </c>
      <c r="C66" s="78">
        <f>VLOOKUP(GroupVertices[[#This Row],[Vertex]], Vertices[], MATCH("ID", Vertices[#Headers], 0), FALSE)</f>
        <v>22</v>
      </c>
    </row>
    <row r="67" spans="1:3" x14ac:dyDescent="0.25">
      <c r="A67" s="79" t="s">
        <v>1503</v>
      </c>
      <c r="B67" s="84" t="s">
        <v>329</v>
      </c>
      <c r="C67" s="78">
        <f>VLOOKUP(GroupVertices[[#This Row],[Vertex]], Vertices[], MATCH("ID", Vertices[#Headers], 0), FALSE)</f>
        <v>42</v>
      </c>
    </row>
    <row r="68" spans="1:3" x14ac:dyDescent="0.25">
      <c r="A68" s="79" t="s">
        <v>1503</v>
      </c>
      <c r="B68" s="84" t="s">
        <v>321</v>
      </c>
      <c r="C68" s="78">
        <f>VLOOKUP(GroupVertices[[#This Row],[Vertex]], Vertices[], MATCH("ID", Vertices[#Headers], 0), FALSE)</f>
        <v>20</v>
      </c>
    </row>
    <row r="69" spans="1:3" x14ac:dyDescent="0.25">
      <c r="A69" s="79" t="s">
        <v>1503</v>
      </c>
      <c r="B69" s="84" t="s">
        <v>323</v>
      </c>
      <c r="C69" s="78">
        <f>VLOOKUP(GroupVertices[[#This Row],[Vertex]], Vertices[], MATCH("ID", Vertices[#Headers], 0), FALSE)</f>
        <v>29</v>
      </c>
    </row>
    <row r="70" spans="1:3" x14ac:dyDescent="0.25">
      <c r="A70" s="79" t="s">
        <v>1504</v>
      </c>
      <c r="B70" s="84" t="s">
        <v>245</v>
      </c>
      <c r="C70" s="78">
        <f>VLOOKUP(GroupVertices[[#This Row],[Vertex]], Vertices[], MATCH("ID", Vertices[#Headers], 0), FALSE)</f>
        <v>4</v>
      </c>
    </row>
    <row r="71" spans="1:3" x14ac:dyDescent="0.25">
      <c r="A71" s="79" t="s">
        <v>1504</v>
      </c>
      <c r="B71" s="84" t="s">
        <v>310</v>
      </c>
      <c r="C71" s="78">
        <f>VLOOKUP(GroupVertices[[#This Row],[Vertex]], Vertices[], MATCH("ID", Vertices[#Headers], 0), FALSE)</f>
        <v>35</v>
      </c>
    </row>
    <row r="72" spans="1:3" x14ac:dyDescent="0.25">
      <c r="A72" s="79" t="s">
        <v>1504</v>
      </c>
      <c r="B72" s="84" t="s">
        <v>312</v>
      </c>
      <c r="C72" s="78">
        <f>VLOOKUP(GroupVertices[[#This Row],[Vertex]], Vertices[], MATCH("ID", Vertices[#Headers], 0), FALSE)</f>
        <v>67</v>
      </c>
    </row>
    <row r="73" spans="1:3" x14ac:dyDescent="0.25">
      <c r="A73" s="79" t="s">
        <v>1504</v>
      </c>
      <c r="B73" s="84" t="s">
        <v>315</v>
      </c>
      <c r="C73" s="78">
        <f>VLOOKUP(GroupVertices[[#This Row],[Vertex]], Vertices[], MATCH("ID", Vertices[#Headers], 0), FALSE)</f>
        <v>40</v>
      </c>
    </row>
    <row r="74" spans="1:3" x14ac:dyDescent="0.25">
      <c r="A74" s="79" t="s">
        <v>1504</v>
      </c>
      <c r="B74" s="84" t="s">
        <v>313</v>
      </c>
      <c r="C74" s="78">
        <f>VLOOKUP(GroupVertices[[#This Row],[Vertex]], Vertices[], MATCH("ID", Vertices[#Headers], 0), FALSE)</f>
        <v>98</v>
      </c>
    </row>
    <row r="75" spans="1:3" x14ac:dyDescent="0.25">
      <c r="A75" s="79" t="s">
        <v>1504</v>
      </c>
      <c r="B75" s="84" t="s">
        <v>314</v>
      </c>
      <c r="C75" s="78">
        <f>VLOOKUP(GroupVertices[[#This Row],[Vertex]], Vertices[], MATCH("ID", Vertices[#Headers], 0), FALSE)</f>
        <v>48</v>
      </c>
    </row>
    <row r="76" spans="1:3" x14ac:dyDescent="0.25">
      <c r="A76" s="79" t="s">
        <v>1504</v>
      </c>
      <c r="B76" s="84" t="s">
        <v>311</v>
      </c>
      <c r="C76" s="78">
        <f>VLOOKUP(GroupVertices[[#This Row],[Vertex]], Vertices[], MATCH("ID", Vertices[#Headers], 0), FALSE)</f>
        <v>46</v>
      </c>
    </row>
    <row r="77" spans="1:3" x14ac:dyDescent="0.25">
      <c r="A77" s="79" t="s">
        <v>1504</v>
      </c>
      <c r="B77" s="84" t="s">
        <v>316</v>
      </c>
      <c r="C77" s="78">
        <f>VLOOKUP(GroupVertices[[#This Row],[Vertex]], Vertices[], MATCH("ID", Vertices[#Headers], 0), FALSE)</f>
        <v>89</v>
      </c>
    </row>
    <row r="78" spans="1:3" x14ac:dyDescent="0.25">
      <c r="A78" s="79" t="s">
        <v>1504</v>
      </c>
      <c r="B78" s="84" t="s">
        <v>309</v>
      </c>
      <c r="C78" s="78">
        <f>VLOOKUP(GroupVertices[[#This Row],[Vertex]], Vertices[], MATCH("ID", Vertices[#Headers], 0), FALSE)</f>
        <v>85</v>
      </c>
    </row>
    <row r="79" spans="1:3" x14ac:dyDescent="0.25">
      <c r="A79" s="79" t="s">
        <v>1505</v>
      </c>
      <c r="B79" s="84" t="s">
        <v>291</v>
      </c>
      <c r="C79" s="78">
        <f>VLOOKUP(GroupVertices[[#This Row],[Vertex]], Vertices[], MATCH("ID", Vertices[#Headers], 0), FALSE)</f>
        <v>120</v>
      </c>
    </row>
    <row r="80" spans="1:3" x14ac:dyDescent="0.25">
      <c r="A80" s="79" t="s">
        <v>1505</v>
      </c>
      <c r="B80" s="84" t="s">
        <v>235</v>
      </c>
      <c r="C80" s="78">
        <f>VLOOKUP(GroupVertices[[#This Row],[Vertex]], Vertices[], MATCH("ID", Vertices[#Headers], 0), FALSE)</f>
        <v>122</v>
      </c>
    </row>
    <row r="81" spans="1:3" x14ac:dyDescent="0.25">
      <c r="A81" s="79" t="s">
        <v>1505</v>
      </c>
      <c r="B81" s="84" t="s">
        <v>292</v>
      </c>
      <c r="C81" s="78">
        <f>VLOOKUP(GroupVertices[[#This Row],[Vertex]], Vertices[], MATCH("ID", Vertices[#Headers], 0), FALSE)</f>
        <v>95</v>
      </c>
    </row>
    <row r="82" spans="1:3" x14ac:dyDescent="0.25">
      <c r="A82" s="79" t="s">
        <v>1505</v>
      </c>
      <c r="B82" s="84" t="s">
        <v>223</v>
      </c>
      <c r="C82" s="78">
        <f>VLOOKUP(GroupVertices[[#This Row],[Vertex]], Vertices[], MATCH("ID", Vertices[#Headers], 0), FALSE)</f>
        <v>112</v>
      </c>
    </row>
    <row r="83" spans="1:3" x14ac:dyDescent="0.25">
      <c r="A83" s="79" t="s">
        <v>1505</v>
      </c>
      <c r="B83" s="84" t="s">
        <v>226</v>
      </c>
      <c r="C83" s="78">
        <f>VLOOKUP(GroupVertices[[#This Row],[Vertex]], Vertices[], MATCH("ID", Vertices[#Headers], 0), FALSE)</f>
        <v>108</v>
      </c>
    </row>
    <row r="84" spans="1:3" x14ac:dyDescent="0.25">
      <c r="A84" s="79" t="s">
        <v>1505</v>
      </c>
      <c r="B84" s="84" t="s">
        <v>220</v>
      </c>
      <c r="C84" s="78">
        <f>VLOOKUP(GroupVertices[[#This Row],[Vertex]], Vertices[], MATCH("ID", Vertices[#Headers], 0), FALSE)</f>
        <v>84</v>
      </c>
    </row>
    <row r="85" spans="1:3" x14ac:dyDescent="0.25">
      <c r="A85" s="79" t="s">
        <v>1505</v>
      </c>
      <c r="B85" s="84" t="s">
        <v>221</v>
      </c>
      <c r="C85" s="78">
        <f>VLOOKUP(GroupVertices[[#This Row],[Vertex]], Vertices[], MATCH("ID", Vertices[#Headers], 0), FALSE)</f>
        <v>51</v>
      </c>
    </row>
    <row r="86" spans="1:3" x14ac:dyDescent="0.25">
      <c r="A86" s="79" t="s">
        <v>1505</v>
      </c>
      <c r="B86" s="84" t="s">
        <v>294</v>
      </c>
      <c r="C86" s="78">
        <f>VLOOKUP(GroupVertices[[#This Row],[Vertex]], Vertices[], MATCH("ID", Vertices[#Headers], 0), FALSE)</f>
        <v>123</v>
      </c>
    </row>
    <row r="87" spans="1:3" x14ac:dyDescent="0.25">
      <c r="A87" s="79" t="s">
        <v>1505</v>
      </c>
      <c r="B87" s="84" t="s">
        <v>224</v>
      </c>
      <c r="C87" s="78">
        <f>VLOOKUP(GroupVertices[[#This Row],[Vertex]], Vertices[], MATCH("ID", Vertices[#Headers], 0), FALSE)</f>
        <v>99</v>
      </c>
    </row>
    <row r="88" spans="1:3" x14ac:dyDescent="0.25">
      <c r="A88" s="79" t="s">
        <v>1506</v>
      </c>
      <c r="B88" s="84" t="s">
        <v>233</v>
      </c>
      <c r="C88" s="78">
        <f>VLOOKUP(GroupVertices[[#This Row],[Vertex]], Vertices[], MATCH("ID", Vertices[#Headers], 0), FALSE)</f>
        <v>7</v>
      </c>
    </row>
    <row r="89" spans="1:3" x14ac:dyDescent="0.25">
      <c r="A89" s="79" t="s">
        <v>1506</v>
      </c>
      <c r="B89" s="84" t="s">
        <v>306</v>
      </c>
      <c r="C89" s="78">
        <f>VLOOKUP(GroupVertices[[#This Row],[Vertex]], Vertices[], MATCH("ID", Vertices[#Headers], 0), FALSE)</f>
        <v>37</v>
      </c>
    </row>
    <row r="90" spans="1:3" x14ac:dyDescent="0.25">
      <c r="A90" s="79" t="s">
        <v>1506</v>
      </c>
      <c r="B90" s="84" t="s">
        <v>274</v>
      </c>
      <c r="C90" s="78">
        <f>VLOOKUP(GroupVertices[[#This Row],[Vertex]], Vertices[], MATCH("ID", Vertices[#Headers], 0), FALSE)</f>
        <v>6</v>
      </c>
    </row>
    <row r="91" spans="1:3" x14ac:dyDescent="0.25">
      <c r="A91" s="79" t="s">
        <v>1506</v>
      </c>
      <c r="B91" s="84" t="s">
        <v>232</v>
      </c>
      <c r="C91" s="78">
        <f>VLOOKUP(GroupVertices[[#This Row],[Vertex]], Vertices[], MATCH("ID", Vertices[#Headers], 0), FALSE)</f>
        <v>117</v>
      </c>
    </row>
    <row r="92" spans="1:3" x14ac:dyDescent="0.25">
      <c r="A92" s="79" t="s">
        <v>1506</v>
      </c>
      <c r="B92" s="84" t="s">
        <v>305</v>
      </c>
      <c r="C92" s="78">
        <f>VLOOKUP(GroupVertices[[#This Row],[Vertex]], Vertices[], MATCH("ID", Vertices[#Headers], 0), FALSE)</f>
        <v>36</v>
      </c>
    </row>
    <row r="93" spans="1:3" x14ac:dyDescent="0.25">
      <c r="A93" s="79" t="s">
        <v>1507</v>
      </c>
      <c r="B93" s="84" t="s">
        <v>217</v>
      </c>
      <c r="C93" s="78">
        <f>VLOOKUP(GroupVertices[[#This Row],[Vertex]], Vertices[], MATCH("ID", Vertices[#Headers], 0), FALSE)</f>
        <v>32</v>
      </c>
    </row>
    <row r="94" spans="1:3" x14ac:dyDescent="0.25">
      <c r="A94" s="79" t="s">
        <v>1507</v>
      </c>
      <c r="B94" s="84" t="s">
        <v>300</v>
      </c>
      <c r="C94" s="78">
        <f>VLOOKUP(GroupVertices[[#This Row],[Vertex]], Vertices[], MATCH("ID", Vertices[#Headers], 0), FALSE)</f>
        <v>33</v>
      </c>
    </row>
    <row r="95" spans="1:3" x14ac:dyDescent="0.25">
      <c r="A95" s="79" t="s">
        <v>1507</v>
      </c>
      <c r="B95" s="84" t="s">
        <v>215</v>
      </c>
      <c r="C95" s="78">
        <f>VLOOKUP(GroupVertices[[#This Row],[Vertex]], Vertices[], MATCH("ID", Vertices[#Headers], 0), FALSE)</f>
        <v>31</v>
      </c>
    </row>
    <row r="96" spans="1:3" x14ac:dyDescent="0.25">
      <c r="A96" s="79" t="s">
        <v>1507</v>
      </c>
      <c r="B96" s="84" t="s">
        <v>216</v>
      </c>
      <c r="C96" s="78">
        <f>VLOOKUP(GroupVertices[[#This Row],[Vertex]], Vertices[], MATCH("ID", Vertices[#Headers], 0), FALSE)</f>
        <v>24</v>
      </c>
    </row>
    <row r="97" spans="1:3" x14ac:dyDescent="0.25">
      <c r="A97" s="79" t="s">
        <v>1507</v>
      </c>
      <c r="B97" s="84" t="s">
        <v>301</v>
      </c>
      <c r="C97" s="78">
        <f>VLOOKUP(GroupVertices[[#This Row],[Vertex]], Vertices[], MATCH("ID", Vertices[#Headers], 0), FALSE)</f>
        <v>34</v>
      </c>
    </row>
    <row r="98" spans="1:3" x14ac:dyDescent="0.25">
      <c r="A98" s="79" t="s">
        <v>1508</v>
      </c>
      <c r="B98" s="84" t="s">
        <v>279</v>
      </c>
      <c r="C98" s="78">
        <f>VLOOKUP(GroupVertices[[#This Row],[Vertex]], Vertices[], MATCH("ID", Vertices[#Headers], 0), FALSE)</f>
        <v>28</v>
      </c>
    </row>
    <row r="99" spans="1:3" x14ac:dyDescent="0.25">
      <c r="A99" s="79" t="s">
        <v>1508</v>
      </c>
      <c r="B99" s="84" t="s">
        <v>326</v>
      </c>
      <c r="C99" s="78">
        <f>VLOOKUP(GroupVertices[[#This Row],[Vertex]], Vertices[], MATCH("ID", Vertices[#Headers], 0), FALSE)</f>
        <v>38</v>
      </c>
    </row>
    <row r="100" spans="1:3" x14ac:dyDescent="0.25">
      <c r="A100" s="79" t="s">
        <v>1508</v>
      </c>
      <c r="B100" s="84" t="s">
        <v>261</v>
      </c>
      <c r="C100" s="78">
        <f>VLOOKUP(GroupVertices[[#This Row],[Vertex]], Vertices[], MATCH("ID", Vertices[#Headers], 0), FALSE)</f>
        <v>17</v>
      </c>
    </row>
    <row r="101" spans="1:3" x14ac:dyDescent="0.25">
      <c r="A101" s="79" t="s">
        <v>1508</v>
      </c>
      <c r="B101" s="84" t="s">
        <v>327</v>
      </c>
      <c r="C101" s="78">
        <f>VLOOKUP(GroupVertices[[#This Row],[Vertex]], Vertices[], MATCH("ID", Vertices[#Headers], 0), FALSE)</f>
        <v>39</v>
      </c>
    </row>
    <row r="102" spans="1:3" x14ac:dyDescent="0.25">
      <c r="A102" s="79" t="s">
        <v>1508</v>
      </c>
      <c r="B102" s="84" t="s">
        <v>319</v>
      </c>
      <c r="C102" s="78">
        <f>VLOOKUP(GroupVertices[[#This Row],[Vertex]], Vertices[], MATCH("ID", Vertices[#Headers], 0), FALSE)</f>
        <v>90</v>
      </c>
    </row>
    <row r="103" spans="1:3" x14ac:dyDescent="0.25">
      <c r="A103" s="79" t="s">
        <v>1509</v>
      </c>
      <c r="B103" s="84" t="s">
        <v>228</v>
      </c>
      <c r="C103" s="78">
        <f>VLOOKUP(GroupVertices[[#This Row],[Vertex]], Vertices[], MATCH("ID", Vertices[#Headers], 0), FALSE)</f>
        <v>82</v>
      </c>
    </row>
    <row r="104" spans="1:3" x14ac:dyDescent="0.25">
      <c r="A104" s="79" t="s">
        <v>1509</v>
      </c>
      <c r="B104" s="84" t="s">
        <v>227</v>
      </c>
      <c r="C104" s="78">
        <f>VLOOKUP(GroupVertices[[#This Row],[Vertex]], Vertices[], MATCH("ID", Vertices[#Headers], 0), FALSE)</f>
        <v>26</v>
      </c>
    </row>
    <row r="105" spans="1:3" x14ac:dyDescent="0.25">
      <c r="A105" s="79" t="s">
        <v>1509</v>
      </c>
      <c r="B105" s="84" t="s">
        <v>303</v>
      </c>
      <c r="C105" s="78">
        <f>VLOOKUP(GroupVertices[[#This Row],[Vertex]], Vertices[], MATCH("ID", Vertices[#Headers], 0), FALSE)</f>
        <v>25</v>
      </c>
    </row>
    <row r="106" spans="1:3" x14ac:dyDescent="0.25">
      <c r="A106" s="79" t="s">
        <v>1509</v>
      </c>
      <c r="B106" s="84" t="s">
        <v>225</v>
      </c>
      <c r="C106" s="78">
        <f>VLOOKUP(GroupVertices[[#This Row],[Vertex]], Vertices[], MATCH("ID", Vertices[#Headers], 0), FALSE)</f>
        <v>64</v>
      </c>
    </row>
    <row r="107" spans="1:3" x14ac:dyDescent="0.25">
      <c r="A107" s="79" t="s">
        <v>1510</v>
      </c>
      <c r="B107" s="84" t="s">
        <v>259</v>
      </c>
      <c r="C107" s="78">
        <f>VLOOKUP(GroupVertices[[#This Row],[Vertex]], Vertices[], MATCH("ID", Vertices[#Headers], 0), FALSE)</f>
        <v>23</v>
      </c>
    </row>
    <row r="108" spans="1:3" x14ac:dyDescent="0.25">
      <c r="A108" s="79" t="s">
        <v>1510</v>
      </c>
      <c r="B108" s="84" t="s">
        <v>317</v>
      </c>
      <c r="C108" s="78">
        <f>VLOOKUP(GroupVertices[[#This Row],[Vertex]], Vertices[], MATCH("ID", Vertices[#Headers], 0), FALSE)</f>
        <v>107</v>
      </c>
    </row>
    <row r="109" spans="1:3" x14ac:dyDescent="0.25">
      <c r="A109" s="79" t="s">
        <v>1510</v>
      </c>
      <c r="B109" s="84" t="s">
        <v>318</v>
      </c>
      <c r="C109" s="78">
        <f>VLOOKUP(GroupVertices[[#This Row],[Vertex]], Vertices[], MATCH("ID", Vertices[#Headers], 0), FALSE)</f>
        <v>101</v>
      </c>
    </row>
    <row r="110" spans="1:3" x14ac:dyDescent="0.25">
      <c r="A110" s="79" t="s">
        <v>1511</v>
      </c>
      <c r="B110" s="84" t="s">
        <v>296</v>
      </c>
      <c r="C110" s="78">
        <f>VLOOKUP(GroupVertices[[#This Row],[Vertex]], Vertices[], MATCH("ID", Vertices[#Headers], 0), FALSE)</f>
        <v>91</v>
      </c>
    </row>
    <row r="111" spans="1:3" x14ac:dyDescent="0.25">
      <c r="A111" s="79" t="s">
        <v>1511</v>
      </c>
      <c r="B111" s="84" t="s">
        <v>333</v>
      </c>
      <c r="C111" s="78">
        <f>VLOOKUP(GroupVertices[[#This Row],[Vertex]], Vertices[], MATCH("ID", Vertices[#Headers], 0), FALSE)</f>
        <v>119</v>
      </c>
    </row>
    <row r="112" spans="1:3" x14ac:dyDescent="0.25">
      <c r="A112" s="79" t="s">
        <v>1512</v>
      </c>
      <c r="B112" s="84" t="s">
        <v>222</v>
      </c>
      <c r="C112" s="78">
        <f>VLOOKUP(GroupVertices[[#This Row],[Vertex]], Vertices[], MATCH("ID", Vertices[#Headers], 0), FALSE)</f>
        <v>121</v>
      </c>
    </row>
    <row r="113" spans="1:3" x14ac:dyDescent="0.25">
      <c r="A113" s="79" t="s">
        <v>1512</v>
      </c>
      <c r="B113" s="84" t="s">
        <v>302</v>
      </c>
      <c r="C113" s="78">
        <f>VLOOKUP(GroupVertices[[#This Row],[Vertex]], Vertices[], MATCH("ID", Vertices[#Headers], 0), FALSE)</f>
        <v>80</v>
      </c>
    </row>
    <row r="114" spans="1:3" x14ac:dyDescent="0.25">
      <c r="A114" s="79" t="s">
        <v>1513</v>
      </c>
      <c r="B114" s="84" t="s">
        <v>268</v>
      </c>
      <c r="C114" s="78">
        <f>VLOOKUP(GroupVertices[[#This Row],[Vertex]], Vertices[], MATCH("ID", Vertices[#Headers], 0), FALSE)</f>
        <v>105</v>
      </c>
    </row>
    <row r="115" spans="1:3" x14ac:dyDescent="0.25">
      <c r="A115" s="79" t="s">
        <v>1513</v>
      </c>
      <c r="B115" s="84" t="s">
        <v>325</v>
      </c>
      <c r="C115" s="78">
        <f>VLOOKUP(GroupVertices[[#This Row],[Vertex]], Vertices[], MATCH("ID", Vertices[#Headers], 0), FALSE)</f>
        <v>56</v>
      </c>
    </row>
    <row r="116" spans="1:3" x14ac:dyDescent="0.25">
      <c r="A116" s="79" t="s">
        <v>1514</v>
      </c>
      <c r="B116" s="84" t="s">
        <v>219</v>
      </c>
      <c r="C116" s="78">
        <f>VLOOKUP(GroupVertices[[#This Row],[Vertex]], Vertices[], MATCH("ID", Vertices[#Headers], 0), FALSE)</f>
        <v>79</v>
      </c>
    </row>
    <row r="117" spans="1:3" x14ac:dyDescent="0.25">
      <c r="A117" s="79" t="s">
        <v>1514</v>
      </c>
      <c r="B117" s="84" t="s">
        <v>218</v>
      </c>
      <c r="C117" s="78">
        <f>VLOOKUP(GroupVertices[[#This Row],[Vertex]], Vertices[], MATCH("ID", Vertices[#Headers], 0), FALSE)</f>
        <v>76</v>
      </c>
    </row>
    <row r="118" spans="1:3" x14ac:dyDescent="0.25">
      <c r="A118" s="79" t="s">
        <v>1515</v>
      </c>
      <c r="B118" s="84" t="s">
        <v>284</v>
      </c>
      <c r="C118" s="78">
        <f>VLOOKUP(GroupVertices[[#This Row],[Vertex]], Vertices[], MATCH("ID", Vertices[#Headers], 0), FALSE)</f>
        <v>86</v>
      </c>
    </row>
    <row r="119" spans="1:3" x14ac:dyDescent="0.25">
      <c r="A119" s="79" t="s">
        <v>1515</v>
      </c>
      <c r="B119" s="84" t="s">
        <v>328</v>
      </c>
      <c r="C119" s="78">
        <f>VLOOKUP(GroupVertices[[#This Row],[Vertex]], Vertices[], MATCH("ID", Vertices[#Headers], 0), FALSE)</f>
        <v>78</v>
      </c>
    </row>
    <row r="120" spans="1:3" x14ac:dyDescent="0.25">
      <c r="A120" s="79" t="s">
        <v>1516</v>
      </c>
      <c r="B120" s="84" t="s">
        <v>297</v>
      </c>
      <c r="C120" s="78">
        <f>VLOOKUP(GroupVertices[[#This Row],[Vertex]], Vertices[], MATCH("ID", Vertices[#Headers], 0), FALSE)</f>
        <v>93</v>
      </c>
    </row>
    <row r="121" spans="1:3" x14ac:dyDescent="0.25">
      <c r="A121" s="79" t="s">
        <v>1516</v>
      </c>
      <c r="B121" s="84" t="s">
        <v>334</v>
      </c>
      <c r="C121" s="78">
        <f>VLOOKUP(GroupVertices[[#This Row],[Vertex]], Vertices[], MATCH("ID", Vertices[#Headers], 0), FALSE)</f>
        <v>50</v>
      </c>
    </row>
    <row r="122" spans="1:3" x14ac:dyDescent="0.25">
      <c r="A122" s="79" t="s">
        <v>1517</v>
      </c>
      <c r="B122" s="84" t="s">
        <v>230</v>
      </c>
      <c r="C122" s="78">
        <f>VLOOKUP(GroupVertices[[#This Row],[Vertex]], Vertices[], MATCH("ID", Vertices[#Headers], 0), FALSE)</f>
        <v>97</v>
      </c>
    </row>
    <row r="123" spans="1:3" x14ac:dyDescent="0.25">
      <c r="A123" s="79" t="s">
        <v>1517</v>
      </c>
      <c r="B123" s="84" t="s">
        <v>229</v>
      </c>
      <c r="C123" s="78">
        <f>VLOOKUP(GroupVertices[[#This Row],[Vertex]], Vertices[], MATCH("ID", Vertices[#Headers], 0), FALSE)</f>
        <v>111</v>
      </c>
    </row>
  </sheetData>
  <dataConsolidate/>
  <dataValidations xWindow="95" yWindow="268" count="3">
    <dataValidation allowBlank="1" showInputMessage="1" showErrorMessage="1" promptTitle="Group Name" prompt="Enter the name of the group.  The group name must also be entered on the Groups worksheet." sqref="A2:A123" xr:uid="{00000000-0002-0000-0400-000000000000}"/>
    <dataValidation allowBlank="1" showInputMessage="1" showErrorMessage="1" promptTitle="Vertex Name" prompt="Enter the name of a vertex to include in the group." sqref="B2:B123" xr:uid="{00000000-0002-0000-0400-000001000000}"/>
    <dataValidation allowBlank="1" showInputMessage="1" promptTitle="Vertex ID" prompt="This is the value of the hidden ID cell in the Vertices worksheet.  It gets filled in by the items on the NodeXL, Analysis, Groups menu." sqref="C2:C123"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68"/>
  <sheetViews>
    <sheetView workbookViewId="0">
      <selection activeCell="B24" sqref="B24"/>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161</v>
      </c>
      <c r="B1" s="13" t="s">
        <v>17</v>
      </c>
      <c r="D1" t="s">
        <v>79</v>
      </c>
      <c r="E1" t="s">
        <v>80</v>
      </c>
      <c r="F1" s="36" t="s">
        <v>86</v>
      </c>
      <c r="G1" s="37" t="s">
        <v>87</v>
      </c>
      <c r="H1" s="36" t="s">
        <v>92</v>
      </c>
      <c r="I1" s="37" t="s">
        <v>93</v>
      </c>
      <c r="J1" s="36" t="s">
        <v>98</v>
      </c>
      <c r="K1" s="37" t="s">
        <v>99</v>
      </c>
      <c r="L1" s="36" t="s">
        <v>104</v>
      </c>
      <c r="M1" s="37" t="s">
        <v>105</v>
      </c>
      <c r="N1" s="36" t="s">
        <v>110</v>
      </c>
      <c r="O1" s="37" t="s">
        <v>111</v>
      </c>
      <c r="P1" s="37" t="s">
        <v>137</v>
      </c>
      <c r="Q1" s="37" t="s">
        <v>138</v>
      </c>
      <c r="R1" s="36" t="s">
        <v>116</v>
      </c>
      <c r="S1" s="36" t="s">
        <v>117</v>
      </c>
      <c r="T1" s="36" t="s">
        <v>122</v>
      </c>
      <c r="U1" s="37" t="s">
        <v>123</v>
      </c>
      <c r="W1" t="s">
        <v>127</v>
      </c>
      <c r="X1" t="s">
        <v>17</v>
      </c>
    </row>
    <row r="2" spans="1:24" ht="15.75" thickTop="1" x14ac:dyDescent="0.25">
      <c r="A2" s="35" t="s">
        <v>1539</v>
      </c>
      <c r="B2" s="35" t="s">
        <v>1499</v>
      </c>
      <c r="D2" s="32">
        <f>MIN(Vertices[Degree])</f>
        <v>0</v>
      </c>
      <c r="E2" s="3">
        <f>COUNTIF(Vertices[Degree], "&gt;= " &amp; D2) - COUNTIF(Vertices[Degree], "&gt;=" &amp; D3)</f>
        <v>0</v>
      </c>
      <c r="F2" s="38">
        <f>MIN(Vertices[In-Degree])</f>
        <v>0</v>
      </c>
      <c r="G2" s="39">
        <f>COUNTIF(Vertices[In-Degree], "&gt;= " &amp; F2) - COUNTIF(Vertices[In-Degree], "&gt;=" &amp; F3)</f>
        <v>55</v>
      </c>
      <c r="H2" s="38">
        <f>MIN(Vertices[Out-Degree])</f>
        <v>0</v>
      </c>
      <c r="I2" s="39">
        <f>COUNTIF(Vertices[Out-Degree], "&gt;= " &amp; H2) - COUNTIF(Vertices[Out-Degree], "&gt;=" &amp; H3)</f>
        <v>38</v>
      </c>
      <c r="J2" s="38">
        <f>MIN(Vertices[Betweenness Centrality])</f>
        <v>0</v>
      </c>
      <c r="K2" s="39">
        <f>COUNTIF(Vertices[Betweenness Centrality], "&gt;= " &amp; J2) - COUNTIF(Vertices[Betweenness Centrality], "&gt;=" &amp; J3)</f>
        <v>108</v>
      </c>
      <c r="L2" s="38">
        <f>MIN(Vertices[Closeness Centrality])</f>
        <v>0</v>
      </c>
      <c r="M2" s="39">
        <f>COUNTIF(Vertices[Closeness Centrality], "&gt;= " &amp; L2) - COUNTIF(Vertices[Closeness Centrality], "&gt;=" &amp; L3)</f>
        <v>89</v>
      </c>
      <c r="N2" s="38">
        <f>MIN(Vertices[Eigenvector Centrality])</f>
        <v>0</v>
      </c>
      <c r="O2" s="39">
        <f>COUNTIF(Vertices[Eigenvector Centrality], "&gt;= " &amp; N2) - COUNTIF(Vertices[Eigenvector Centrality], "&gt;=" &amp; N3)</f>
        <v>77</v>
      </c>
      <c r="P2" s="38">
        <f>MIN(Vertices[PageRank])</f>
        <v>0.31792599999999999</v>
      </c>
      <c r="Q2" s="39">
        <f>COUNTIF(Vertices[PageRank], "&gt;= " &amp; P2) - COUNTIF(Vertices[PageRank], "&gt;=" &amp; P3)</f>
        <v>35</v>
      </c>
      <c r="R2" s="38">
        <f>MIN(Vertices[Clustering Coefficient])</f>
        <v>0</v>
      </c>
      <c r="S2" s="44">
        <f>COUNTIF(Vertices[Clustering Coefficient], "&gt;= " &amp; R2) - COUNTIF(Vertices[Clustering Coefficient], "&gt;=" &amp; R3)</f>
        <v>47</v>
      </c>
      <c r="T2" s="38">
        <f ca="1">MIN(INDIRECT(DynamicFilterSourceColumnRange))</f>
        <v>0</v>
      </c>
      <c r="U2" s="39">
        <f t="shared" ref="U2:U25" ca="1" si="0">COUNTIF(INDIRECT(DynamicFilterSourceColumnRange), "&gt;= " &amp; T2) - COUNTIF(INDIRECT(DynamicFilterSourceColumnRange), "&gt;=" &amp; T3)</f>
        <v>117</v>
      </c>
      <c r="W2" t="s">
        <v>124</v>
      </c>
      <c r="X2">
        <f>ROWS(HistogramBins[Degree Bin]) - 1</f>
        <v>34</v>
      </c>
    </row>
    <row r="3" spans="1:24" x14ac:dyDescent="0.25">
      <c r="A3" s="122"/>
      <c r="B3" s="122"/>
      <c r="D3" s="33">
        <f t="shared" ref="D3:D35" si="1">D2+($D$36-$D$2)/BinDivisor</f>
        <v>0</v>
      </c>
      <c r="E3" s="3">
        <f>COUNTIF(Vertices[Degree], "&gt;= " &amp; D3) - COUNTIF(Vertices[Degree], "&gt;=" &amp; D4)</f>
        <v>0</v>
      </c>
      <c r="F3" s="40">
        <f t="shared" ref="F3:F35" si="2">F2+($F$36-$F$2)/BinDivisor</f>
        <v>0.91176470588235292</v>
      </c>
      <c r="G3" s="41">
        <f>COUNTIF(Vertices[In-Degree], "&gt;= " &amp; F3) - COUNTIF(Vertices[In-Degree], "&gt;=" &amp; F4)</f>
        <v>40</v>
      </c>
      <c r="H3" s="40">
        <f t="shared" ref="H3:H35" si="3">H2+($H$36-$H$2)/BinDivisor</f>
        <v>0.29411764705882354</v>
      </c>
      <c r="I3" s="41">
        <f>COUNTIF(Vertices[Out-Degree], "&gt;= " &amp; H3) - COUNTIF(Vertices[Out-Degree], "&gt;=" &amp; H4)</f>
        <v>0</v>
      </c>
      <c r="J3" s="40">
        <f t="shared" ref="J3:J35" si="4">J2+($J$36-$J$2)/BinDivisor</f>
        <v>79.319327735294124</v>
      </c>
      <c r="K3" s="41">
        <f>COUNTIF(Vertices[Betweenness Centrality], "&gt;= " &amp; J3) - COUNTIF(Vertices[Betweenness Centrality], "&gt;=" &amp; J4)</f>
        <v>6</v>
      </c>
      <c r="L3" s="40">
        <f t="shared" ref="L3:L35" si="5">L2+($L$36-$L$2)/BinDivisor</f>
        <v>2.9411764705882353E-2</v>
      </c>
      <c r="M3" s="41">
        <f>COUNTIF(Vertices[Closeness Centrality], "&gt;= " &amp; L3) - COUNTIF(Vertices[Closeness Centrality], "&gt;=" &amp; L4)</f>
        <v>2</v>
      </c>
      <c r="N3" s="40">
        <f t="shared" ref="N3:N35" si="6">N2+($N$36-$N$2)/BinDivisor</f>
        <v>3.1945588235294119E-3</v>
      </c>
      <c r="O3" s="41">
        <f>COUNTIF(Vertices[Eigenvector Centrality], "&gt;= " &amp; N3) - COUNTIF(Vertices[Eigenvector Centrality], "&gt;=" &amp; N4)</f>
        <v>3</v>
      </c>
      <c r="P3" s="40">
        <f t="shared" ref="P3:P35" si="7">P2+($P$36-$P$2)/BinDivisor</f>
        <v>0.5565109117647058</v>
      </c>
      <c r="Q3" s="41">
        <f>COUNTIF(Vertices[PageRank], "&gt;= " &amp; P3) - COUNTIF(Vertices[PageRank], "&gt;=" &amp; P4)</f>
        <v>33</v>
      </c>
      <c r="R3" s="40">
        <f t="shared" ref="R3:R35" si="8">R2+($R$36-$R$2)/BinDivisor</f>
        <v>2.9411764705882353E-2</v>
      </c>
      <c r="S3" s="45">
        <f>COUNTIF(Vertices[Clustering Coefficient], "&gt;= " &amp; R3) - COUNTIF(Vertices[Clustering Coefficient], "&gt;=" &amp; R4)</f>
        <v>2</v>
      </c>
      <c r="T3" s="40">
        <f t="shared" ref="T3:T35" ca="1" si="9">T2+($T$36-$T$2)/BinDivisor</f>
        <v>2332.8529411764707</v>
      </c>
      <c r="U3" s="41">
        <f t="shared" ca="1" si="0"/>
        <v>3</v>
      </c>
      <c r="W3" t="s">
        <v>125</v>
      </c>
      <c r="X3" t="s">
        <v>85</v>
      </c>
    </row>
    <row r="4" spans="1:24" x14ac:dyDescent="0.25">
      <c r="A4" s="35" t="s">
        <v>145</v>
      </c>
      <c r="B4" s="35">
        <v>122</v>
      </c>
      <c r="D4" s="33">
        <f t="shared" si="1"/>
        <v>0</v>
      </c>
      <c r="E4" s="3">
        <f>COUNTIF(Vertices[Degree], "&gt;= " &amp; D4) - COUNTIF(Vertices[Degree], "&gt;=" &amp; D5)</f>
        <v>0</v>
      </c>
      <c r="F4" s="38">
        <f t="shared" si="2"/>
        <v>1.8235294117647058</v>
      </c>
      <c r="G4" s="39">
        <f>COUNTIF(Vertices[In-Degree], "&gt;= " &amp; F4) - COUNTIF(Vertices[In-Degree], "&gt;=" &amp; F5)</f>
        <v>11</v>
      </c>
      <c r="H4" s="38">
        <f t="shared" si="3"/>
        <v>0.58823529411764708</v>
      </c>
      <c r="I4" s="39">
        <f>COUNTIF(Vertices[Out-Degree], "&gt;= " &amp; H4) - COUNTIF(Vertices[Out-Degree], "&gt;=" &amp; H5)</f>
        <v>0</v>
      </c>
      <c r="J4" s="38">
        <f t="shared" si="4"/>
        <v>158.63865547058825</v>
      </c>
      <c r="K4" s="39">
        <f>COUNTIF(Vertices[Betweenness Centrality], "&gt;= " &amp; J4) - COUNTIF(Vertices[Betweenness Centrality], "&gt;=" &amp; J5)</f>
        <v>2</v>
      </c>
      <c r="L4" s="38">
        <f t="shared" si="5"/>
        <v>5.8823529411764705E-2</v>
      </c>
      <c r="M4" s="39">
        <f>COUNTIF(Vertices[Closeness Centrality], "&gt;= " &amp; L4) - COUNTIF(Vertices[Closeness Centrality], "&gt;=" &amp; L5)</f>
        <v>0</v>
      </c>
      <c r="N4" s="38">
        <f t="shared" si="6"/>
        <v>6.3891176470588238E-3</v>
      </c>
      <c r="O4" s="39">
        <f>COUNTIF(Vertices[Eigenvector Centrality], "&gt;= " &amp; N4) - COUNTIF(Vertices[Eigenvector Centrality], "&gt;=" &amp; N5)</f>
        <v>1</v>
      </c>
      <c r="P4" s="38">
        <f t="shared" si="7"/>
        <v>0.79509582352941166</v>
      </c>
      <c r="Q4" s="39">
        <f>COUNTIF(Vertices[PageRank], "&gt;= " &amp; P4) - COUNTIF(Vertices[PageRank], "&gt;=" &amp; P5)</f>
        <v>29</v>
      </c>
      <c r="R4" s="38">
        <f t="shared" si="8"/>
        <v>5.8823529411764705E-2</v>
      </c>
      <c r="S4" s="44">
        <f>COUNTIF(Vertices[Clustering Coefficient], "&gt;= " &amp; R4) - COUNTIF(Vertices[Clustering Coefficient], "&gt;=" &amp; R5)</f>
        <v>1</v>
      </c>
      <c r="T4" s="38">
        <f t="shared" ca="1" si="9"/>
        <v>4665.7058823529414</v>
      </c>
      <c r="U4" s="39">
        <f t="shared" ca="1" si="0"/>
        <v>1</v>
      </c>
      <c r="W4" s="12" t="s">
        <v>126</v>
      </c>
      <c r="X4" s="12" t="s">
        <v>2120</v>
      </c>
    </row>
    <row r="5" spans="1:24" x14ac:dyDescent="0.25">
      <c r="A5" s="122"/>
      <c r="B5" s="122"/>
      <c r="D5" s="33">
        <f t="shared" si="1"/>
        <v>0</v>
      </c>
      <c r="E5" s="3">
        <f>COUNTIF(Vertices[Degree], "&gt;= " &amp; D5) - COUNTIF(Vertices[Degree], "&gt;=" &amp; D6)</f>
        <v>0</v>
      </c>
      <c r="F5" s="40">
        <f t="shared" si="2"/>
        <v>2.7352941176470589</v>
      </c>
      <c r="G5" s="41">
        <f>COUNTIF(Vertices[In-Degree], "&gt;= " &amp; F5) - COUNTIF(Vertices[In-Degree], "&gt;=" &amp; F6)</f>
        <v>4</v>
      </c>
      <c r="H5" s="40">
        <f t="shared" si="3"/>
        <v>0.88235294117647056</v>
      </c>
      <c r="I5" s="41">
        <f>COUNTIF(Vertices[Out-Degree], "&gt;= " &amp; H5) - COUNTIF(Vertices[Out-Degree], "&gt;=" &amp; H6)</f>
        <v>20</v>
      </c>
      <c r="J5" s="40">
        <f t="shared" si="4"/>
        <v>237.95798320588239</v>
      </c>
      <c r="K5" s="41">
        <f>COUNTIF(Vertices[Betweenness Centrality], "&gt;= " &amp; J5) - COUNTIF(Vertices[Betweenness Centrality], "&gt;=" &amp; J6)</f>
        <v>1</v>
      </c>
      <c r="L5" s="40">
        <f t="shared" si="5"/>
        <v>8.8235294117647051E-2</v>
      </c>
      <c r="M5" s="41">
        <f>COUNTIF(Vertices[Closeness Centrality], "&gt;= " &amp; L5) - COUNTIF(Vertices[Closeness Centrality], "&gt;=" &amp; L6)</f>
        <v>0</v>
      </c>
      <c r="N5" s="40">
        <f t="shared" si="6"/>
        <v>9.5836764705882361E-3</v>
      </c>
      <c r="O5" s="41">
        <f>COUNTIF(Vertices[Eigenvector Centrality], "&gt;= " &amp; N5) - COUNTIF(Vertices[Eigenvector Centrality], "&gt;=" &amp; N6)</f>
        <v>1</v>
      </c>
      <c r="P5" s="40">
        <f t="shared" si="7"/>
        <v>1.0336807352941175</v>
      </c>
      <c r="Q5" s="41">
        <f>COUNTIF(Vertices[PageRank], "&gt;= " &amp; P5) - COUNTIF(Vertices[PageRank], "&gt;=" &amp; P6)</f>
        <v>6</v>
      </c>
      <c r="R5" s="40">
        <f t="shared" si="8"/>
        <v>8.8235294117647051E-2</v>
      </c>
      <c r="S5" s="45">
        <f>COUNTIF(Vertices[Clustering Coefficient], "&gt;= " &amp; R5) - COUNTIF(Vertices[Clustering Coefficient], "&gt;=" &amp; R6)</f>
        <v>1</v>
      </c>
      <c r="T5" s="40">
        <f t="shared" ca="1" si="9"/>
        <v>6998.5588235294126</v>
      </c>
      <c r="U5" s="41">
        <f t="shared" ca="1" si="0"/>
        <v>0</v>
      </c>
    </row>
    <row r="6" spans="1:24" x14ac:dyDescent="0.25">
      <c r="A6" s="35" t="s">
        <v>147</v>
      </c>
      <c r="B6" s="35">
        <v>164</v>
      </c>
      <c r="D6" s="33">
        <f t="shared" si="1"/>
        <v>0</v>
      </c>
      <c r="E6" s="3">
        <f>COUNTIF(Vertices[Degree], "&gt;= " &amp; D6) - COUNTIF(Vertices[Degree], "&gt;=" &amp; D7)</f>
        <v>0</v>
      </c>
      <c r="F6" s="38">
        <f t="shared" si="2"/>
        <v>3.6470588235294117</v>
      </c>
      <c r="G6" s="39">
        <f>COUNTIF(Vertices[In-Degree], "&gt;= " &amp; F6) - COUNTIF(Vertices[In-Degree], "&gt;=" &amp; F7)</f>
        <v>3</v>
      </c>
      <c r="H6" s="38">
        <f t="shared" si="3"/>
        <v>1.1764705882352942</v>
      </c>
      <c r="I6" s="39">
        <f>COUNTIF(Vertices[Out-Degree], "&gt;= " &amp; H6) - COUNTIF(Vertices[Out-Degree], "&gt;=" &amp; H7)</f>
        <v>0</v>
      </c>
      <c r="J6" s="38">
        <f t="shared" si="4"/>
        <v>317.27731094117649</v>
      </c>
      <c r="K6" s="39">
        <f>COUNTIF(Vertices[Betweenness Centrality], "&gt;= " &amp; J6) - COUNTIF(Vertices[Betweenness Centrality], "&gt;=" &amp; J7)</f>
        <v>1</v>
      </c>
      <c r="L6" s="38">
        <f t="shared" si="5"/>
        <v>0.11764705882352941</v>
      </c>
      <c r="M6" s="39">
        <f>COUNTIF(Vertices[Closeness Centrality], "&gt;= " &amp; L6) - COUNTIF(Vertices[Closeness Centrality], "&gt;=" &amp; L7)</f>
        <v>1</v>
      </c>
      <c r="N6" s="38">
        <f t="shared" si="6"/>
        <v>1.2778235294117648E-2</v>
      </c>
      <c r="O6" s="39">
        <f>COUNTIF(Vertices[Eigenvector Centrality], "&gt;= " &amp; N6) - COUNTIF(Vertices[Eigenvector Centrality], "&gt;=" &amp; N7)</f>
        <v>5</v>
      </c>
      <c r="P6" s="38">
        <f t="shared" si="7"/>
        <v>1.2722656470588234</v>
      </c>
      <c r="Q6" s="39">
        <f>COUNTIF(Vertices[PageRank], "&gt;= " &amp; P6) - COUNTIF(Vertices[PageRank], "&gt;=" &amp; P7)</f>
        <v>10</v>
      </c>
      <c r="R6" s="38">
        <f t="shared" si="8"/>
        <v>0.11764705882352941</v>
      </c>
      <c r="S6" s="44">
        <f>COUNTIF(Vertices[Clustering Coefficient], "&gt;= " &amp; R6) - COUNTIF(Vertices[Clustering Coefficient], "&gt;=" &amp; R7)</f>
        <v>3</v>
      </c>
      <c r="T6" s="38">
        <f t="shared" ca="1" si="9"/>
        <v>9331.4117647058829</v>
      </c>
      <c r="U6" s="39">
        <f t="shared" ca="1" si="0"/>
        <v>0</v>
      </c>
    </row>
    <row r="7" spans="1:24" x14ac:dyDescent="0.25">
      <c r="A7" s="35" t="s">
        <v>148</v>
      </c>
      <c r="B7" s="35">
        <v>196</v>
      </c>
      <c r="D7" s="33">
        <f t="shared" si="1"/>
        <v>0</v>
      </c>
      <c r="E7" s="3">
        <f>COUNTIF(Vertices[Degree], "&gt;= " &amp; D7) - COUNTIF(Vertices[Degree], "&gt;=" &amp; D8)</f>
        <v>0</v>
      </c>
      <c r="F7" s="40">
        <f t="shared" si="2"/>
        <v>4.5588235294117645</v>
      </c>
      <c r="G7" s="41">
        <f>COUNTIF(Vertices[In-Degree], "&gt;= " &amp; F7) - COUNTIF(Vertices[In-Degree], "&gt;=" &amp; F8)</f>
        <v>3</v>
      </c>
      <c r="H7" s="40">
        <f t="shared" si="3"/>
        <v>1.4705882352941178</v>
      </c>
      <c r="I7" s="41">
        <f>COUNTIF(Vertices[Out-Degree], "&gt;= " &amp; H7) - COUNTIF(Vertices[Out-Degree], "&gt;=" &amp; H8)</f>
        <v>0</v>
      </c>
      <c r="J7" s="40">
        <f t="shared" si="4"/>
        <v>396.5966386764706</v>
      </c>
      <c r="K7" s="41">
        <f>COUNTIF(Vertices[Betweenness Centrality], "&gt;= " &amp; J7) - COUNTIF(Vertices[Betweenness Centrality], "&gt;=" &amp; J8)</f>
        <v>2</v>
      </c>
      <c r="L7" s="40">
        <f t="shared" si="5"/>
        <v>0.14705882352941177</v>
      </c>
      <c r="M7" s="41">
        <f>COUNTIF(Vertices[Closeness Centrality], "&gt;= " &amp; L7) - COUNTIF(Vertices[Closeness Centrality], "&gt;=" &amp; L8)</f>
        <v>2</v>
      </c>
      <c r="N7" s="40">
        <f t="shared" si="6"/>
        <v>1.5972794117647061E-2</v>
      </c>
      <c r="O7" s="41">
        <f>COUNTIF(Vertices[Eigenvector Centrality], "&gt;= " &amp; N7) - COUNTIF(Vertices[Eigenvector Centrality], "&gt;=" &amp; N8)</f>
        <v>14</v>
      </c>
      <c r="P7" s="40">
        <f t="shared" si="7"/>
        <v>1.5108505588235293</v>
      </c>
      <c r="Q7" s="41">
        <f>COUNTIF(Vertices[PageRank], "&gt;= " &amp; P7) - COUNTIF(Vertices[PageRank], "&gt;=" &amp; P8)</f>
        <v>0</v>
      </c>
      <c r="R7" s="40">
        <f t="shared" si="8"/>
        <v>0.14705882352941177</v>
      </c>
      <c r="S7" s="45">
        <f>COUNTIF(Vertices[Clustering Coefficient], "&gt;= " &amp; R7) - COUNTIF(Vertices[Clustering Coefficient], "&gt;=" &amp; R8)</f>
        <v>3</v>
      </c>
      <c r="T7" s="40">
        <f t="shared" ca="1" si="9"/>
        <v>11664.264705882353</v>
      </c>
      <c r="U7" s="41">
        <f t="shared" ca="1" si="0"/>
        <v>0</v>
      </c>
    </row>
    <row r="8" spans="1:24" x14ac:dyDescent="0.25">
      <c r="A8" s="35" t="s">
        <v>149</v>
      </c>
      <c r="B8" s="35">
        <v>360</v>
      </c>
      <c r="D8" s="33">
        <f t="shared" si="1"/>
        <v>0</v>
      </c>
      <c r="E8" s="3">
        <f>COUNTIF(Vertices[Degree], "&gt;= " &amp; D8) - COUNTIF(Vertices[Degree], "&gt;=" &amp; D9)</f>
        <v>0</v>
      </c>
      <c r="F8" s="38">
        <f t="shared" si="2"/>
        <v>5.4705882352941178</v>
      </c>
      <c r="G8" s="39">
        <f>COUNTIF(Vertices[In-Degree], "&gt;= " &amp; F8) - COUNTIF(Vertices[In-Degree], "&gt;=" &amp; F9)</f>
        <v>1</v>
      </c>
      <c r="H8" s="38">
        <f t="shared" si="3"/>
        <v>1.7647058823529413</v>
      </c>
      <c r="I8" s="39">
        <f>COUNTIF(Vertices[Out-Degree], "&gt;= " &amp; H8) - COUNTIF(Vertices[Out-Degree], "&gt;=" &amp; H9)</f>
        <v>44</v>
      </c>
      <c r="J8" s="38">
        <f t="shared" si="4"/>
        <v>475.91596641176471</v>
      </c>
      <c r="K8" s="39">
        <f>COUNTIF(Vertices[Betweenness Centrality], "&gt;= " &amp; J8) - COUNTIF(Vertices[Betweenness Centrality], "&gt;=" &amp; J9)</f>
        <v>0</v>
      </c>
      <c r="L8" s="38">
        <f t="shared" si="5"/>
        <v>0.17647058823529413</v>
      </c>
      <c r="M8" s="39">
        <f>COUNTIF(Vertices[Closeness Centrality], "&gt;= " &amp; L8) - COUNTIF(Vertices[Closeness Centrality], "&gt;=" &amp; L9)</f>
        <v>5</v>
      </c>
      <c r="N8" s="38">
        <f t="shared" si="6"/>
        <v>1.9167352941176472E-2</v>
      </c>
      <c r="O8" s="39">
        <f>COUNTIF(Vertices[Eigenvector Centrality], "&gt;= " &amp; N8) - COUNTIF(Vertices[Eigenvector Centrality], "&gt;=" &amp; N9)</f>
        <v>11</v>
      </c>
      <c r="P8" s="38">
        <f t="shared" si="7"/>
        <v>1.7494354705882351</v>
      </c>
      <c r="Q8" s="39">
        <f>COUNTIF(Vertices[PageRank], "&gt;= " &amp; P8) - COUNTIF(Vertices[PageRank], "&gt;=" &amp; P9)</f>
        <v>2</v>
      </c>
      <c r="R8" s="38">
        <f t="shared" si="8"/>
        <v>0.17647058823529413</v>
      </c>
      <c r="S8" s="44">
        <f>COUNTIF(Vertices[Clustering Coefficient], "&gt;= " &amp; R8) - COUNTIF(Vertices[Clustering Coefficient], "&gt;=" &amp; R9)</f>
        <v>4</v>
      </c>
      <c r="T8" s="38">
        <f t="shared" ca="1" si="9"/>
        <v>13997.117647058823</v>
      </c>
      <c r="U8" s="39">
        <f t="shared" ca="1" si="0"/>
        <v>0</v>
      </c>
    </row>
    <row r="9" spans="1:24" x14ac:dyDescent="0.25">
      <c r="A9" s="122"/>
      <c r="B9" s="122"/>
      <c r="D9" s="33">
        <f t="shared" si="1"/>
        <v>0</v>
      </c>
      <c r="E9" s="3">
        <f>COUNTIF(Vertices[Degree], "&gt;= " &amp; D9) - COUNTIF(Vertices[Degree], "&gt;=" &amp; D10)</f>
        <v>0</v>
      </c>
      <c r="F9" s="40">
        <f t="shared" si="2"/>
        <v>6.382352941176471</v>
      </c>
      <c r="G9" s="41">
        <f>COUNTIF(Vertices[In-Degree], "&gt;= " &amp; F9) - COUNTIF(Vertices[In-Degree], "&gt;=" &amp; F10)</f>
        <v>0</v>
      </c>
      <c r="H9" s="40">
        <f t="shared" si="3"/>
        <v>2.0588235294117649</v>
      </c>
      <c r="I9" s="41">
        <f>COUNTIF(Vertices[Out-Degree], "&gt;= " &amp; H9) - COUNTIF(Vertices[Out-Degree], "&gt;=" &amp; H10)</f>
        <v>0</v>
      </c>
      <c r="J9" s="40">
        <f t="shared" si="4"/>
        <v>555.23529414705888</v>
      </c>
      <c r="K9" s="41">
        <f>COUNTIF(Vertices[Betweenness Centrality], "&gt;= " &amp; J9) - COUNTIF(Vertices[Betweenness Centrality], "&gt;=" &amp; J10)</f>
        <v>0</v>
      </c>
      <c r="L9" s="40">
        <f t="shared" si="5"/>
        <v>0.20588235294117649</v>
      </c>
      <c r="M9" s="41">
        <f>COUNTIF(Vertices[Closeness Centrality], "&gt;= " &amp; L9) - COUNTIF(Vertices[Closeness Centrality], "&gt;=" &amp; L10)</f>
        <v>0</v>
      </c>
      <c r="N9" s="40">
        <f t="shared" si="6"/>
        <v>2.2361911764705884E-2</v>
      </c>
      <c r="O9" s="41">
        <f>COUNTIF(Vertices[Eigenvector Centrality], "&gt;= " &amp; N9) - COUNTIF(Vertices[Eigenvector Centrality], "&gt;=" &amp; N10)</f>
        <v>1</v>
      </c>
      <c r="P9" s="40">
        <f t="shared" si="7"/>
        <v>1.988020382352941</v>
      </c>
      <c r="Q9" s="41">
        <f>COUNTIF(Vertices[PageRank], "&gt;= " &amp; P9) - COUNTIF(Vertices[PageRank], "&gt;=" &amp; P10)</f>
        <v>0</v>
      </c>
      <c r="R9" s="40">
        <f t="shared" si="8"/>
        <v>0.20588235294117649</v>
      </c>
      <c r="S9" s="45">
        <f>COUNTIF(Vertices[Clustering Coefficient], "&gt;= " &amp; R9) - COUNTIF(Vertices[Clustering Coefficient], "&gt;=" &amp; R10)</f>
        <v>0</v>
      </c>
      <c r="T9" s="40">
        <f t="shared" ca="1" si="9"/>
        <v>16329.970588235294</v>
      </c>
      <c r="U9" s="41">
        <f t="shared" ca="1" si="0"/>
        <v>0</v>
      </c>
    </row>
    <row r="10" spans="1:24" x14ac:dyDescent="0.25">
      <c r="A10" s="35" t="s">
        <v>150</v>
      </c>
      <c r="B10" s="35">
        <v>59</v>
      </c>
      <c r="D10" s="33">
        <f t="shared" si="1"/>
        <v>0</v>
      </c>
      <c r="E10" s="3">
        <f>COUNTIF(Vertices[Degree], "&gt;= " &amp; D10) - COUNTIF(Vertices[Degree], "&gt;=" &amp; D11)</f>
        <v>0</v>
      </c>
      <c r="F10" s="38">
        <f t="shared" si="2"/>
        <v>7.2941176470588243</v>
      </c>
      <c r="G10" s="39">
        <f>COUNTIF(Vertices[In-Degree], "&gt;= " &amp; F10) - COUNTIF(Vertices[In-Degree], "&gt;=" &amp; F11)</f>
        <v>0</v>
      </c>
      <c r="H10" s="38">
        <f t="shared" si="3"/>
        <v>2.3529411764705883</v>
      </c>
      <c r="I10" s="39">
        <f>COUNTIF(Vertices[Out-Degree], "&gt;= " &amp; H10) - COUNTIF(Vertices[Out-Degree], "&gt;=" &amp; H11)</f>
        <v>0</v>
      </c>
      <c r="J10" s="38">
        <f t="shared" si="4"/>
        <v>634.55462188235299</v>
      </c>
      <c r="K10" s="39">
        <f>COUNTIF(Vertices[Betweenness Centrality], "&gt;= " &amp; J10) - COUNTIF(Vertices[Betweenness Centrality], "&gt;=" &amp; J11)</f>
        <v>0</v>
      </c>
      <c r="L10" s="38">
        <f t="shared" si="5"/>
        <v>0.23529411764705885</v>
      </c>
      <c r="M10" s="39">
        <f>COUNTIF(Vertices[Closeness Centrality], "&gt;= " &amp; L10) - COUNTIF(Vertices[Closeness Centrality], "&gt;=" &amp; L11)</f>
        <v>4</v>
      </c>
      <c r="N10" s="38">
        <f t="shared" si="6"/>
        <v>2.5556470588235295E-2</v>
      </c>
      <c r="O10" s="39">
        <f>COUNTIF(Vertices[Eigenvector Centrality], "&gt;= " &amp; N10) - COUNTIF(Vertices[Eigenvector Centrality], "&gt;=" &amp; N11)</f>
        <v>2</v>
      </c>
      <c r="P10" s="38">
        <f t="shared" si="7"/>
        <v>2.2266052941176468</v>
      </c>
      <c r="Q10" s="39">
        <f>COUNTIF(Vertices[PageRank], "&gt;= " &amp; P10) - COUNTIF(Vertices[PageRank], "&gt;=" &amp; P11)</f>
        <v>1</v>
      </c>
      <c r="R10" s="38">
        <f t="shared" si="8"/>
        <v>0.23529411764705885</v>
      </c>
      <c r="S10" s="44">
        <f>COUNTIF(Vertices[Clustering Coefficient], "&gt;= " &amp; R10) - COUNTIF(Vertices[Clustering Coefficient], "&gt;=" &amp; R11)</f>
        <v>3</v>
      </c>
      <c r="T10" s="38">
        <f t="shared" ca="1" si="9"/>
        <v>18662.823529411766</v>
      </c>
      <c r="U10" s="39">
        <f t="shared" ca="1" si="0"/>
        <v>0</v>
      </c>
    </row>
    <row r="11" spans="1:24" x14ac:dyDescent="0.25">
      <c r="A11" s="122"/>
      <c r="B11" s="122"/>
      <c r="D11" s="33">
        <f t="shared" si="1"/>
        <v>0</v>
      </c>
      <c r="E11" s="3">
        <f>COUNTIF(Vertices[Degree], "&gt;= " &amp; D11) - COUNTIF(Vertices[Degree], "&gt;=" &amp; D12)</f>
        <v>0</v>
      </c>
      <c r="F11" s="40">
        <f t="shared" si="2"/>
        <v>8.2058823529411775</v>
      </c>
      <c r="G11" s="41">
        <f>COUNTIF(Vertices[In-Degree], "&gt;= " &amp; F11) - COUNTIF(Vertices[In-Degree], "&gt;=" &amp; F12)</f>
        <v>0</v>
      </c>
      <c r="H11" s="40">
        <f t="shared" si="3"/>
        <v>2.6470588235294117</v>
      </c>
      <c r="I11" s="41">
        <f>COUNTIF(Vertices[Out-Degree], "&gt;= " &amp; H11) - COUNTIF(Vertices[Out-Degree], "&gt;=" &amp; H12)</f>
        <v>0</v>
      </c>
      <c r="J11" s="40">
        <f t="shared" si="4"/>
        <v>713.8739496176471</v>
      </c>
      <c r="K11" s="41">
        <f>COUNTIF(Vertices[Betweenness Centrality], "&gt;= " &amp; J11) - COUNTIF(Vertices[Betweenness Centrality], "&gt;=" &amp; J12)</f>
        <v>0</v>
      </c>
      <c r="L11" s="40">
        <f t="shared" si="5"/>
        <v>0.26470588235294118</v>
      </c>
      <c r="M11" s="41">
        <f>COUNTIF(Vertices[Closeness Centrality], "&gt;= " &amp; L11) - COUNTIF(Vertices[Closeness Centrality], "&gt;=" &amp; L12)</f>
        <v>0</v>
      </c>
      <c r="N11" s="40">
        <f t="shared" si="6"/>
        <v>2.8751029411764707E-2</v>
      </c>
      <c r="O11" s="41">
        <f>COUNTIF(Vertices[Eigenvector Centrality], "&gt;= " &amp; N11) - COUNTIF(Vertices[Eigenvector Centrality], "&gt;=" &amp; N12)</f>
        <v>3</v>
      </c>
      <c r="P11" s="40">
        <f t="shared" si="7"/>
        <v>2.4651902058823527</v>
      </c>
      <c r="Q11" s="41">
        <f>COUNTIF(Vertices[PageRank], "&gt;= " &amp; P11) - COUNTIF(Vertices[PageRank], "&gt;=" &amp; P12)</f>
        <v>1</v>
      </c>
      <c r="R11" s="40">
        <f t="shared" si="8"/>
        <v>0.26470588235294118</v>
      </c>
      <c r="S11" s="45">
        <f>COUNTIF(Vertices[Clustering Coefficient], "&gt;= " &amp; R11) - COUNTIF(Vertices[Clustering Coefficient], "&gt;=" &amp; R12)</f>
        <v>0</v>
      </c>
      <c r="T11" s="40">
        <f t="shared" ca="1" si="9"/>
        <v>20995.676470588238</v>
      </c>
      <c r="U11" s="41">
        <f t="shared" ca="1" si="0"/>
        <v>0</v>
      </c>
    </row>
    <row r="12" spans="1:24" x14ac:dyDescent="0.25">
      <c r="A12" s="35" t="s">
        <v>169</v>
      </c>
      <c r="B12" s="35">
        <v>3.8674033149171269E-2</v>
      </c>
      <c r="D12" s="33">
        <f t="shared" si="1"/>
        <v>0</v>
      </c>
      <c r="E12" s="3">
        <f>COUNTIF(Vertices[Degree], "&gt;= " &amp; D12) - COUNTIF(Vertices[Degree], "&gt;=" &amp; D13)</f>
        <v>0</v>
      </c>
      <c r="F12" s="38">
        <f t="shared" si="2"/>
        <v>9.1176470588235308</v>
      </c>
      <c r="G12" s="39">
        <f>COUNTIF(Vertices[In-Degree], "&gt;= " &amp; F12) - COUNTIF(Vertices[In-Degree], "&gt;=" &amp; F13)</f>
        <v>1</v>
      </c>
      <c r="H12" s="38">
        <f t="shared" si="3"/>
        <v>2.9411764705882351</v>
      </c>
      <c r="I12" s="39">
        <f>COUNTIF(Vertices[Out-Degree], "&gt;= " &amp; H12) - COUNTIF(Vertices[Out-Degree], "&gt;=" &amp; H13)</f>
        <v>9</v>
      </c>
      <c r="J12" s="38">
        <f t="shared" si="4"/>
        <v>793.19327735294121</v>
      </c>
      <c r="K12" s="39">
        <f>COUNTIF(Vertices[Betweenness Centrality], "&gt;= " &amp; J12) - COUNTIF(Vertices[Betweenness Centrality], "&gt;=" &amp; J13)</f>
        <v>1</v>
      </c>
      <c r="L12" s="38">
        <f t="shared" si="5"/>
        <v>0.29411764705882354</v>
      </c>
      <c r="M12" s="39">
        <f>COUNTIF(Vertices[Closeness Centrality], "&gt;= " &amp; L12) - COUNTIF(Vertices[Closeness Centrality], "&gt;=" &amp; L13)</f>
        <v>0</v>
      </c>
      <c r="N12" s="38">
        <f t="shared" si="6"/>
        <v>3.1945588235294121E-2</v>
      </c>
      <c r="O12" s="39">
        <f>COUNTIF(Vertices[Eigenvector Centrality], "&gt;= " &amp; N12) - COUNTIF(Vertices[Eigenvector Centrality], "&gt;=" &amp; N13)</f>
        <v>1</v>
      </c>
      <c r="P12" s="38">
        <f t="shared" si="7"/>
        <v>2.7037751176470586</v>
      </c>
      <c r="Q12" s="39">
        <f>COUNTIF(Vertices[PageRank], "&gt;= " &amp; P12) - COUNTIF(Vertices[PageRank], "&gt;=" &amp; P13)</f>
        <v>0</v>
      </c>
      <c r="R12" s="38">
        <f t="shared" si="8"/>
        <v>0.29411764705882354</v>
      </c>
      <c r="S12" s="44">
        <f>COUNTIF(Vertices[Clustering Coefficient], "&gt;= " &amp; R12) - COUNTIF(Vertices[Clustering Coefficient], "&gt;=" &amp; R13)</f>
        <v>0</v>
      </c>
      <c r="T12" s="38">
        <f t="shared" ca="1" si="9"/>
        <v>23328.52941176471</v>
      </c>
      <c r="U12" s="39">
        <f t="shared" ca="1" si="0"/>
        <v>0</v>
      </c>
    </row>
    <row r="13" spans="1:24" x14ac:dyDescent="0.25">
      <c r="A13" s="35" t="s">
        <v>170</v>
      </c>
      <c r="B13" s="35">
        <v>7.4468085106382975E-2</v>
      </c>
      <c r="D13" s="33">
        <f t="shared" si="1"/>
        <v>0</v>
      </c>
      <c r="E13" s="3">
        <f>COUNTIF(Vertices[Degree], "&gt;= " &amp; D13) - COUNTIF(Vertices[Degree], "&gt;=" &amp; D14)</f>
        <v>0</v>
      </c>
      <c r="F13" s="40">
        <f t="shared" si="2"/>
        <v>10.029411764705884</v>
      </c>
      <c r="G13" s="41">
        <f>COUNTIF(Vertices[In-Degree], "&gt;= " &amp; F13) - COUNTIF(Vertices[In-Degree], "&gt;=" &amp; F14)</f>
        <v>0</v>
      </c>
      <c r="H13" s="40">
        <f t="shared" si="3"/>
        <v>3.2352941176470584</v>
      </c>
      <c r="I13" s="41">
        <f>COUNTIF(Vertices[Out-Degree], "&gt;= " &amp; H13) - COUNTIF(Vertices[Out-Degree], "&gt;=" &amp; H14)</f>
        <v>0</v>
      </c>
      <c r="J13" s="40">
        <f t="shared" si="4"/>
        <v>872.51260508823532</v>
      </c>
      <c r="K13" s="41">
        <f>COUNTIF(Vertices[Betweenness Centrality], "&gt;= " &amp; J13) - COUNTIF(Vertices[Betweenness Centrality], "&gt;=" &amp; J14)</f>
        <v>0</v>
      </c>
      <c r="L13" s="40">
        <f t="shared" si="5"/>
        <v>0.3235294117647059</v>
      </c>
      <c r="M13" s="41">
        <f>COUNTIF(Vertices[Closeness Centrality], "&gt;= " &amp; L13) - COUNTIF(Vertices[Closeness Centrality], "&gt;=" &amp; L14)</f>
        <v>4</v>
      </c>
      <c r="N13" s="40">
        <f t="shared" si="6"/>
        <v>3.5140147058823533E-2</v>
      </c>
      <c r="O13" s="41">
        <f>COUNTIF(Vertices[Eigenvector Centrality], "&gt;= " &amp; N13) - COUNTIF(Vertices[Eigenvector Centrality], "&gt;=" &amp; N14)</f>
        <v>0</v>
      </c>
      <c r="P13" s="40">
        <f t="shared" si="7"/>
        <v>2.9423600294117644</v>
      </c>
      <c r="Q13" s="41">
        <f>COUNTIF(Vertices[PageRank], "&gt;= " &amp; P13) - COUNTIF(Vertices[PageRank], "&gt;=" &amp; P14)</f>
        <v>0</v>
      </c>
      <c r="R13" s="40">
        <f t="shared" si="8"/>
        <v>0.3235294117647059</v>
      </c>
      <c r="S13" s="45">
        <f>COUNTIF(Vertices[Clustering Coefficient], "&gt;= " &amp; R13) - COUNTIF(Vertices[Clustering Coefficient], "&gt;=" &amp; R14)</f>
        <v>10</v>
      </c>
      <c r="T13" s="40">
        <f t="shared" ca="1" si="9"/>
        <v>25661.382352941182</v>
      </c>
      <c r="U13" s="41">
        <f t="shared" ca="1" si="0"/>
        <v>0</v>
      </c>
    </row>
    <row r="14" spans="1:24" x14ac:dyDescent="0.25">
      <c r="A14" s="122"/>
      <c r="B14" s="122"/>
      <c r="D14" s="33">
        <f t="shared" si="1"/>
        <v>0</v>
      </c>
      <c r="E14" s="3">
        <f>COUNTIF(Vertices[Degree], "&gt;= " &amp; D14) - COUNTIF(Vertices[Degree], "&gt;=" &amp; D15)</f>
        <v>0</v>
      </c>
      <c r="F14" s="38">
        <f t="shared" si="2"/>
        <v>10.941176470588237</v>
      </c>
      <c r="G14" s="39">
        <f>COUNTIF(Vertices[In-Degree], "&gt;= " &amp; F14) - COUNTIF(Vertices[In-Degree], "&gt;=" &amp; F15)</f>
        <v>0</v>
      </c>
      <c r="H14" s="38">
        <f t="shared" si="3"/>
        <v>3.5294117647058818</v>
      </c>
      <c r="I14" s="39">
        <f>COUNTIF(Vertices[Out-Degree], "&gt;= " &amp; H14) - COUNTIF(Vertices[Out-Degree], "&gt;=" &amp; H15)</f>
        <v>0</v>
      </c>
      <c r="J14" s="38">
        <f t="shared" si="4"/>
        <v>951.83193282352943</v>
      </c>
      <c r="K14" s="39">
        <f>COUNTIF(Vertices[Betweenness Centrality], "&gt;= " &amp; J14) - COUNTIF(Vertices[Betweenness Centrality], "&gt;=" &amp; J15)</f>
        <v>0</v>
      </c>
      <c r="L14" s="38">
        <f t="shared" si="5"/>
        <v>0.35294117647058826</v>
      </c>
      <c r="M14" s="39">
        <f>COUNTIF(Vertices[Closeness Centrality], "&gt;= " &amp; L14) - COUNTIF(Vertices[Closeness Centrality], "&gt;=" &amp; L15)</f>
        <v>0</v>
      </c>
      <c r="N14" s="38">
        <f t="shared" si="6"/>
        <v>3.8334705882352944E-2</v>
      </c>
      <c r="O14" s="39">
        <f>COUNTIF(Vertices[Eigenvector Centrality], "&gt;= " &amp; N14) - COUNTIF(Vertices[Eigenvector Centrality], "&gt;=" &amp; N15)</f>
        <v>1</v>
      </c>
      <c r="P14" s="38">
        <f t="shared" si="7"/>
        <v>3.1809449411764703</v>
      </c>
      <c r="Q14" s="39">
        <f>COUNTIF(Vertices[PageRank], "&gt;= " &amp; P14) - COUNTIF(Vertices[PageRank], "&gt;=" &amp; P15)</f>
        <v>0</v>
      </c>
      <c r="R14" s="38">
        <f t="shared" si="8"/>
        <v>0.35294117647058826</v>
      </c>
      <c r="S14" s="44">
        <f>COUNTIF(Vertices[Clustering Coefficient], "&gt;= " &amp; R14) - COUNTIF(Vertices[Clustering Coefficient], "&gt;=" &amp; R15)</f>
        <v>0</v>
      </c>
      <c r="T14" s="38">
        <f t="shared" ca="1" si="9"/>
        <v>27994.235294117654</v>
      </c>
      <c r="U14" s="39">
        <f t="shared" ca="1" si="0"/>
        <v>0</v>
      </c>
    </row>
    <row r="15" spans="1:24" x14ac:dyDescent="0.25">
      <c r="A15" s="35" t="s">
        <v>151</v>
      </c>
      <c r="B15" s="35">
        <v>22</v>
      </c>
      <c r="D15" s="33">
        <f t="shared" si="1"/>
        <v>0</v>
      </c>
      <c r="E15" s="3">
        <f>COUNTIF(Vertices[Degree], "&gt;= " &amp; D15) - COUNTIF(Vertices[Degree], "&gt;=" &amp; D16)</f>
        <v>0</v>
      </c>
      <c r="F15" s="40">
        <f t="shared" si="2"/>
        <v>11.852941176470591</v>
      </c>
      <c r="G15" s="41">
        <f>COUNTIF(Vertices[In-Degree], "&gt;= " &amp; F15) - COUNTIF(Vertices[In-Degree], "&gt;=" &amp; F16)</f>
        <v>0</v>
      </c>
      <c r="H15" s="40">
        <f t="shared" si="3"/>
        <v>3.8235294117647052</v>
      </c>
      <c r="I15" s="41">
        <f>COUNTIF(Vertices[Out-Degree], "&gt;= " &amp; H15) - COUNTIF(Vertices[Out-Degree], "&gt;=" &amp; H16)</f>
        <v>2</v>
      </c>
      <c r="J15" s="40">
        <f t="shared" si="4"/>
        <v>1031.1512605588237</v>
      </c>
      <c r="K15" s="41">
        <f>COUNTIF(Vertices[Betweenness Centrality], "&gt;= " &amp; J15) - COUNTIF(Vertices[Betweenness Centrality], "&gt;=" &amp; J16)</f>
        <v>0</v>
      </c>
      <c r="L15" s="40">
        <f t="shared" si="5"/>
        <v>0.38235294117647062</v>
      </c>
      <c r="M15" s="41">
        <f>COUNTIF(Vertices[Closeness Centrality], "&gt;= " &amp; L15) - COUNTIF(Vertices[Closeness Centrality], "&gt;=" &amp; L16)</f>
        <v>0</v>
      </c>
      <c r="N15" s="40">
        <f t="shared" si="6"/>
        <v>4.1529264705882356E-2</v>
      </c>
      <c r="O15" s="41">
        <f>COUNTIF(Vertices[Eigenvector Centrality], "&gt;= " &amp; N15) - COUNTIF(Vertices[Eigenvector Centrality], "&gt;=" &amp; N16)</f>
        <v>0</v>
      </c>
      <c r="P15" s="40">
        <f t="shared" si="7"/>
        <v>3.4195298529411762</v>
      </c>
      <c r="Q15" s="41">
        <f>COUNTIF(Vertices[PageRank], "&gt;= " &amp; P15) - COUNTIF(Vertices[PageRank], "&gt;=" &amp; P16)</f>
        <v>0</v>
      </c>
      <c r="R15" s="40">
        <f t="shared" si="8"/>
        <v>0.38235294117647062</v>
      </c>
      <c r="S15" s="45">
        <f>COUNTIF(Vertices[Clustering Coefficient], "&gt;= " &amp; R15) - COUNTIF(Vertices[Clustering Coefficient], "&gt;=" &amp; R16)</f>
        <v>0</v>
      </c>
      <c r="T15" s="40">
        <f t="shared" ca="1" si="9"/>
        <v>30327.088235294126</v>
      </c>
      <c r="U15" s="41">
        <f t="shared" ca="1" si="0"/>
        <v>0</v>
      </c>
    </row>
    <row r="16" spans="1:24" x14ac:dyDescent="0.25">
      <c r="A16" s="35" t="s">
        <v>152</v>
      </c>
      <c r="B16" s="35">
        <v>9</v>
      </c>
      <c r="D16" s="33">
        <f t="shared" si="1"/>
        <v>0</v>
      </c>
      <c r="E16" s="3">
        <f>COUNTIF(Vertices[Degree], "&gt;= " &amp; D16) - COUNTIF(Vertices[Degree], "&gt;=" &amp; D17)</f>
        <v>0</v>
      </c>
      <c r="F16" s="38">
        <f t="shared" si="2"/>
        <v>12.764705882352944</v>
      </c>
      <c r="G16" s="39">
        <f>COUNTIF(Vertices[In-Degree], "&gt;= " &amp; F16) - COUNTIF(Vertices[In-Degree], "&gt;=" &amp; F17)</f>
        <v>0</v>
      </c>
      <c r="H16" s="38">
        <f t="shared" si="3"/>
        <v>4.117647058823529</v>
      </c>
      <c r="I16" s="39">
        <f>COUNTIF(Vertices[Out-Degree], "&gt;= " &amp; H16) - COUNTIF(Vertices[Out-Degree], "&gt;=" &amp; H17)</f>
        <v>0</v>
      </c>
      <c r="J16" s="38">
        <f t="shared" si="4"/>
        <v>1110.4705882941178</v>
      </c>
      <c r="K16" s="39">
        <f>COUNTIF(Vertices[Betweenness Centrality], "&gt;= " &amp; J16) - COUNTIF(Vertices[Betweenness Centrality], "&gt;=" &amp; J17)</f>
        <v>0</v>
      </c>
      <c r="L16" s="38">
        <f t="shared" si="5"/>
        <v>0.41176470588235298</v>
      </c>
      <c r="M16" s="39">
        <f>COUNTIF(Vertices[Closeness Centrality], "&gt;= " &amp; L16) - COUNTIF(Vertices[Closeness Centrality], "&gt;=" &amp; L17)</f>
        <v>0</v>
      </c>
      <c r="N16" s="38">
        <f t="shared" si="6"/>
        <v>4.4723823529411767E-2</v>
      </c>
      <c r="O16" s="39">
        <f>COUNTIF(Vertices[Eigenvector Centrality], "&gt;= " &amp; N16) - COUNTIF(Vertices[Eigenvector Centrality], "&gt;=" &amp; N17)</f>
        <v>0</v>
      </c>
      <c r="P16" s="38">
        <f t="shared" si="7"/>
        <v>3.658114764705882</v>
      </c>
      <c r="Q16" s="39">
        <f>COUNTIF(Vertices[PageRank], "&gt;= " &amp; P16) - COUNTIF(Vertices[PageRank], "&gt;=" &amp; P17)</f>
        <v>1</v>
      </c>
      <c r="R16" s="38">
        <f t="shared" si="8"/>
        <v>0.41176470588235298</v>
      </c>
      <c r="S16" s="44">
        <f>COUNTIF(Vertices[Clustering Coefficient], "&gt;= " &amp; R16) - COUNTIF(Vertices[Clustering Coefficient], "&gt;=" &amp; R17)</f>
        <v>1</v>
      </c>
      <c r="T16" s="38">
        <f t="shared" ca="1" si="9"/>
        <v>32659.941176470598</v>
      </c>
      <c r="U16" s="39">
        <f t="shared" ca="1" si="0"/>
        <v>0</v>
      </c>
    </row>
    <row r="17" spans="1:21" x14ac:dyDescent="0.25">
      <c r="A17" s="35" t="s">
        <v>153</v>
      </c>
      <c r="B17" s="35">
        <v>58</v>
      </c>
      <c r="D17" s="33">
        <f t="shared" si="1"/>
        <v>0</v>
      </c>
      <c r="E17" s="3">
        <f>COUNTIF(Vertices[Degree], "&gt;= " &amp; D17) - COUNTIF(Vertices[Degree], "&gt;=" &amp; D18)</f>
        <v>0</v>
      </c>
      <c r="F17" s="40">
        <f t="shared" si="2"/>
        <v>13.676470588235297</v>
      </c>
      <c r="G17" s="41">
        <f>COUNTIF(Vertices[In-Degree], "&gt;= " &amp; F17) - COUNTIF(Vertices[In-Degree], "&gt;=" &amp; F18)</f>
        <v>0</v>
      </c>
      <c r="H17" s="40">
        <f t="shared" si="3"/>
        <v>4.4117647058823524</v>
      </c>
      <c r="I17" s="41">
        <f>COUNTIF(Vertices[Out-Degree], "&gt;= " &amp; H17) - COUNTIF(Vertices[Out-Degree], "&gt;=" &amp; H18)</f>
        <v>0</v>
      </c>
      <c r="J17" s="40">
        <f t="shared" si="4"/>
        <v>1189.7899160294119</v>
      </c>
      <c r="K17" s="41">
        <f>COUNTIF(Vertices[Betweenness Centrality], "&gt;= " &amp; J17) - COUNTIF(Vertices[Betweenness Centrality], "&gt;=" &amp; J18)</f>
        <v>0</v>
      </c>
      <c r="L17" s="40">
        <f t="shared" si="5"/>
        <v>0.44117647058823534</v>
      </c>
      <c r="M17" s="41">
        <f>COUNTIF(Vertices[Closeness Centrality], "&gt;= " &amp; L17) - COUNTIF(Vertices[Closeness Centrality], "&gt;=" &amp; L18)</f>
        <v>0</v>
      </c>
      <c r="N17" s="40">
        <f t="shared" si="6"/>
        <v>4.7918382352941179E-2</v>
      </c>
      <c r="O17" s="41">
        <f>COUNTIF(Vertices[Eigenvector Centrality], "&gt;= " &amp; N17) - COUNTIF(Vertices[Eigenvector Centrality], "&gt;=" &amp; N18)</f>
        <v>0</v>
      </c>
      <c r="P17" s="40">
        <f t="shared" si="7"/>
        <v>3.8966996764705879</v>
      </c>
      <c r="Q17" s="41">
        <f>COUNTIF(Vertices[PageRank], "&gt;= " &amp; P17) - COUNTIF(Vertices[PageRank], "&gt;=" &amp; P18)</f>
        <v>1</v>
      </c>
      <c r="R17" s="40">
        <f t="shared" si="8"/>
        <v>0.44117647058823534</v>
      </c>
      <c r="S17" s="45">
        <f>COUNTIF(Vertices[Clustering Coefficient], "&gt;= " &amp; R17) - COUNTIF(Vertices[Clustering Coefficient], "&gt;=" &amp; R18)</f>
        <v>0</v>
      </c>
      <c r="T17" s="40">
        <f t="shared" ca="1" si="9"/>
        <v>34992.79411764707</v>
      </c>
      <c r="U17" s="41">
        <f t="shared" ca="1" si="0"/>
        <v>0</v>
      </c>
    </row>
    <row r="18" spans="1:21" x14ac:dyDescent="0.25">
      <c r="A18" s="35" t="s">
        <v>154</v>
      </c>
      <c r="B18" s="35">
        <v>230</v>
      </c>
      <c r="D18" s="33">
        <f t="shared" si="1"/>
        <v>0</v>
      </c>
      <c r="E18" s="3">
        <f>COUNTIF(Vertices[Degree], "&gt;= " &amp; D18) - COUNTIF(Vertices[Degree], "&gt;=" &amp; D19)</f>
        <v>0</v>
      </c>
      <c r="F18" s="38">
        <f t="shared" si="2"/>
        <v>14.58823529411765</v>
      </c>
      <c r="G18" s="39">
        <f>COUNTIF(Vertices[In-Degree], "&gt;= " &amp; F18) - COUNTIF(Vertices[In-Degree], "&gt;=" &amp; F19)</f>
        <v>1</v>
      </c>
      <c r="H18" s="38">
        <f t="shared" si="3"/>
        <v>4.7058823529411757</v>
      </c>
      <c r="I18" s="39">
        <f>COUNTIF(Vertices[Out-Degree], "&gt;= " &amp; H18) - COUNTIF(Vertices[Out-Degree], "&gt;=" &amp; H19)</f>
        <v>0</v>
      </c>
      <c r="J18" s="38">
        <f t="shared" si="4"/>
        <v>1269.109243764706</v>
      </c>
      <c r="K18" s="39">
        <f>COUNTIF(Vertices[Betweenness Centrality], "&gt;= " &amp; J18) - COUNTIF(Vertices[Betweenness Centrality], "&gt;=" &amp; J19)</f>
        <v>0</v>
      </c>
      <c r="L18" s="38">
        <f t="shared" si="5"/>
        <v>0.4705882352941177</v>
      </c>
      <c r="M18" s="39">
        <f>COUNTIF(Vertices[Closeness Centrality], "&gt;= " &amp; L18) - COUNTIF(Vertices[Closeness Centrality], "&gt;=" &amp; L19)</f>
        <v>0</v>
      </c>
      <c r="N18" s="38">
        <f t="shared" si="6"/>
        <v>5.111294117647059E-2</v>
      </c>
      <c r="O18" s="39">
        <f>COUNTIF(Vertices[Eigenvector Centrality], "&gt;= " &amp; N18) - COUNTIF(Vertices[Eigenvector Centrality], "&gt;=" &amp; N19)</f>
        <v>1</v>
      </c>
      <c r="P18" s="38">
        <f t="shared" si="7"/>
        <v>4.1352845882352938</v>
      </c>
      <c r="Q18" s="39">
        <f>COUNTIF(Vertices[PageRank], "&gt;= " &amp; P18) - COUNTIF(Vertices[PageRank], "&gt;=" &amp; P19)</f>
        <v>0</v>
      </c>
      <c r="R18" s="38">
        <f t="shared" si="8"/>
        <v>0.4705882352941177</v>
      </c>
      <c r="S18" s="44">
        <f>COUNTIF(Vertices[Clustering Coefficient], "&gt;= " &amp; R18) - COUNTIF(Vertices[Clustering Coefficient], "&gt;=" &amp; R19)</f>
        <v>0</v>
      </c>
      <c r="T18" s="38">
        <f t="shared" ca="1" si="9"/>
        <v>37325.647058823539</v>
      </c>
      <c r="U18" s="39">
        <f t="shared" ca="1" si="0"/>
        <v>0</v>
      </c>
    </row>
    <row r="19" spans="1:21" x14ac:dyDescent="0.25">
      <c r="A19" s="122"/>
      <c r="B19" s="122"/>
      <c r="D19" s="33">
        <f t="shared" si="1"/>
        <v>0</v>
      </c>
      <c r="E19" s="3">
        <f>COUNTIF(Vertices[Degree], "&gt;= " &amp; D19) - COUNTIF(Vertices[Degree], "&gt;=" &amp; D20)</f>
        <v>0</v>
      </c>
      <c r="F19" s="40">
        <f t="shared" si="2"/>
        <v>15.500000000000004</v>
      </c>
      <c r="G19" s="41">
        <f>COUNTIF(Vertices[In-Degree], "&gt;= " &amp; F19) - COUNTIF(Vertices[In-Degree], "&gt;=" &amp; F20)</f>
        <v>0</v>
      </c>
      <c r="H19" s="40">
        <f t="shared" si="3"/>
        <v>4.9999999999999991</v>
      </c>
      <c r="I19" s="41">
        <f>COUNTIF(Vertices[Out-Degree], "&gt;= " &amp; H19) - COUNTIF(Vertices[Out-Degree], "&gt;=" &amp; H20)</f>
        <v>3</v>
      </c>
      <c r="J19" s="40">
        <f t="shared" si="4"/>
        <v>1348.4285715000001</v>
      </c>
      <c r="K19" s="41">
        <f>COUNTIF(Vertices[Betweenness Centrality], "&gt;= " &amp; J19) - COUNTIF(Vertices[Betweenness Centrality], "&gt;=" &amp; J20)</f>
        <v>0</v>
      </c>
      <c r="L19" s="40">
        <f t="shared" si="5"/>
        <v>0.5</v>
      </c>
      <c r="M19" s="41">
        <f>COUNTIF(Vertices[Closeness Centrality], "&gt;= " &amp; L19) - COUNTIF(Vertices[Closeness Centrality], "&gt;=" &amp; L20)</f>
        <v>1</v>
      </c>
      <c r="N19" s="40">
        <f t="shared" si="6"/>
        <v>5.4307500000000002E-2</v>
      </c>
      <c r="O19" s="41">
        <f>COUNTIF(Vertices[Eigenvector Centrality], "&gt;= " &amp; N19) - COUNTIF(Vertices[Eigenvector Centrality], "&gt;=" &amp; N20)</f>
        <v>0</v>
      </c>
      <c r="P19" s="40">
        <f t="shared" si="7"/>
        <v>4.3738694999999996</v>
      </c>
      <c r="Q19" s="41">
        <f>COUNTIF(Vertices[PageRank], "&gt;= " &amp; P19) - COUNTIF(Vertices[PageRank], "&gt;=" &amp; P20)</f>
        <v>0</v>
      </c>
      <c r="R19" s="40">
        <f t="shared" si="8"/>
        <v>0.5</v>
      </c>
      <c r="S19" s="45">
        <f>COUNTIF(Vertices[Clustering Coefficient], "&gt;= " &amp; R19) - COUNTIF(Vertices[Clustering Coefficient], "&gt;=" &amp; R20)</f>
        <v>12</v>
      </c>
      <c r="T19" s="40">
        <f t="shared" ca="1" si="9"/>
        <v>39658.500000000007</v>
      </c>
      <c r="U19" s="41">
        <f t="shared" ca="1" si="0"/>
        <v>0</v>
      </c>
    </row>
    <row r="20" spans="1:21" x14ac:dyDescent="0.25">
      <c r="A20" s="35" t="s">
        <v>155</v>
      </c>
      <c r="B20" s="35">
        <v>5</v>
      </c>
      <c r="D20" s="33">
        <f t="shared" si="1"/>
        <v>0</v>
      </c>
      <c r="E20" s="3">
        <f>COUNTIF(Vertices[Degree], "&gt;= " &amp; D20) - COUNTIF(Vertices[Degree], "&gt;=" &amp; D21)</f>
        <v>0</v>
      </c>
      <c r="F20" s="38">
        <f t="shared" si="2"/>
        <v>16.411764705882355</v>
      </c>
      <c r="G20" s="39">
        <f>COUNTIF(Vertices[In-Degree], "&gt;= " &amp; F20) - COUNTIF(Vertices[In-Degree], "&gt;=" &amp; F21)</f>
        <v>0</v>
      </c>
      <c r="H20" s="38">
        <f t="shared" si="3"/>
        <v>5.2941176470588225</v>
      </c>
      <c r="I20" s="39">
        <f>COUNTIF(Vertices[Out-Degree], "&gt;= " &amp; H20) - COUNTIF(Vertices[Out-Degree], "&gt;=" &amp; H21)</f>
        <v>0</v>
      </c>
      <c r="J20" s="38">
        <f t="shared" si="4"/>
        <v>1427.7478992352942</v>
      </c>
      <c r="K20" s="39">
        <f>COUNTIF(Vertices[Betweenness Centrality], "&gt;= " &amp; J20) - COUNTIF(Vertices[Betweenness Centrality], "&gt;=" &amp; J21)</f>
        <v>0</v>
      </c>
      <c r="L20" s="38">
        <f t="shared" si="5"/>
        <v>0.52941176470588236</v>
      </c>
      <c r="M20" s="39">
        <f>COUNTIF(Vertices[Closeness Centrality], "&gt;= " &amp; L20) - COUNTIF(Vertices[Closeness Centrality], "&gt;=" &amp; L21)</f>
        <v>0</v>
      </c>
      <c r="N20" s="38">
        <f t="shared" si="6"/>
        <v>5.7502058823529413E-2</v>
      </c>
      <c r="O20" s="39">
        <f>COUNTIF(Vertices[Eigenvector Centrality], "&gt;= " &amp; N20) - COUNTIF(Vertices[Eigenvector Centrality], "&gt;=" &amp; N21)</f>
        <v>0</v>
      </c>
      <c r="P20" s="38">
        <f t="shared" si="7"/>
        <v>4.6124544117647055</v>
      </c>
      <c r="Q20" s="39">
        <f>COUNTIF(Vertices[PageRank], "&gt;= " &amp; P20) - COUNTIF(Vertices[PageRank], "&gt;=" &amp; P21)</f>
        <v>0</v>
      </c>
      <c r="R20" s="38">
        <f t="shared" si="8"/>
        <v>0.52941176470588236</v>
      </c>
      <c r="S20" s="44">
        <f>COUNTIF(Vertices[Clustering Coefficient], "&gt;= " &amp; R20) - COUNTIF(Vertices[Clustering Coefficient], "&gt;=" &amp; R21)</f>
        <v>0</v>
      </c>
      <c r="T20" s="38">
        <f t="shared" ca="1" si="9"/>
        <v>41991.352941176476</v>
      </c>
      <c r="U20" s="39">
        <f t="shared" ca="1" si="0"/>
        <v>0</v>
      </c>
    </row>
    <row r="21" spans="1:21" x14ac:dyDescent="0.25">
      <c r="A21" s="35" t="s">
        <v>156</v>
      </c>
      <c r="B21" s="35">
        <v>2.4703849999999998</v>
      </c>
      <c r="D21" s="33">
        <f t="shared" si="1"/>
        <v>0</v>
      </c>
      <c r="E21" s="3">
        <f>COUNTIF(Vertices[Degree], "&gt;= " &amp; D21) - COUNTIF(Vertices[Degree], "&gt;=" &amp; D22)</f>
        <v>0</v>
      </c>
      <c r="F21" s="40">
        <f t="shared" si="2"/>
        <v>17.323529411764707</v>
      </c>
      <c r="G21" s="41">
        <f>COUNTIF(Vertices[In-Degree], "&gt;= " &amp; F21) - COUNTIF(Vertices[In-Degree], "&gt;=" &amp; F22)</f>
        <v>0</v>
      </c>
      <c r="H21" s="40">
        <f t="shared" si="3"/>
        <v>5.5882352941176459</v>
      </c>
      <c r="I21" s="41">
        <f>COUNTIF(Vertices[Out-Degree], "&gt;= " &amp; H21) - COUNTIF(Vertices[Out-Degree], "&gt;=" &amp; H22)</f>
        <v>0</v>
      </c>
      <c r="J21" s="40">
        <f t="shared" si="4"/>
        <v>1507.0672269705883</v>
      </c>
      <c r="K21" s="41">
        <f>COUNTIF(Vertices[Betweenness Centrality], "&gt;= " &amp; J21) - COUNTIF(Vertices[Betweenness Centrality], "&gt;=" &amp; J22)</f>
        <v>0</v>
      </c>
      <c r="L21" s="40">
        <f t="shared" si="5"/>
        <v>0.55882352941176472</v>
      </c>
      <c r="M21" s="41">
        <f>COUNTIF(Vertices[Closeness Centrality], "&gt;= " &amp; L21) - COUNTIF(Vertices[Closeness Centrality], "&gt;=" &amp; L22)</f>
        <v>0</v>
      </c>
      <c r="N21" s="40">
        <f t="shared" si="6"/>
        <v>6.0696617647058825E-2</v>
      </c>
      <c r="O21" s="41">
        <f>COUNTIF(Vertices[Eigenvector Centrality], "&gt;= " &amp; N21) - COUNTIF(Vertices[Eigenvector Centrality], "&gt;=" &amp; N22)</f>
        <v>0</v>
      </c>
      <c r="P21" s="40">
        <f t="shared" si="7"/>
        <v>4.8510393235294114</v>
      </c>
      <c r="Q21" s="41">
        <f>COUNTIF(Vertices[PageRank], "&gt;= " &amp; P21) - COUNTIF(Vertices[PageRank], "&gt;=" &amp; P22)</f>
        <v>0</v>
      </c>
      <c r="R21" s="40">
        <f t="shared" si="8"/>
        <v>0.55882352941176472</v>
      </c>
      <c r="S21" s="45">
        <f>COUNTIF(Vertices[Clustering Coefficient], "&gt;= " &amp; R21) - COUNTIF(Vertices[Clustering Coefficient], "&gt;=" &amp; R22)</f>
        <v>0</v>
      </c>
      <c r="T21" s="40">
        <f t="shared" ca="1" si="9"/>
        <v>44324.205882352944</v>
      </c>
      <c r="U21" s="41">
        <f t="shared" ca="1" si="0"/>
        <v>0</v>
      </c>
    </row>
    <row r="22" spans="1:21" x14ac:dyDescent="0.25">
      <c r="A22" s="122"/>
      <c r="B22" s="122"/>
      <c r="D22" s="33">
        <f t="shared" si="1"/>
        <v>0</v>
      </c>
      <c r="E22" s="3">
        <f>COUNTIF(Vertices[Degree], "&gt;= " &amp; D22) - COUNTIF(Vertices[Degree], "&gt;=" &amp; D23)</f>
        <v>0</v>
      </c>
      <c r="F22" s="38">
        <f t="shared" si="2"/>
        <v>18.235294117647058</v>
      </c>
      <c r="G22" s="39">
        <f>COUNTIF(Vertices[In-Degree], "&gt;= " &amp; F22) - COUNTIF(Vertices[In-Degree], "&gt;=" &amp; F23)</f>
        <v>0</v>
      </c>
      <c r="H22" s="38">
        <f t="shared" si="3"/>
        <v>5.8823529411764692</v>
      </c>
      <c r="I22" s="39">
        <f>COUNTIF(Vertices[Out-Degree], "&gt;= " &amp; H22) - COUNTIF(Vertices[Out-Degree], "&gt;=" &amp; H23)</f>
        <v>0</v>
      </c>
      <c r="J22" s="38">
        <f t="shared" si="4"/>
        <v>1586.3865547058824</v>
      </c>
      <c r="K22" s="39">
        <f>COUNTIF(Vertices[Betweenness Centrality], "&gt;= " &amp; J22) - COUNTIF(Vertices[Betweenness Centrality], "&gt;=" &amp; J23)</f>
        <v>0</v>
      </c>
      <c r="L22" s="38">
        <f t="shared" si="5"/>
        <v>0.58823529411764708</v>
      </c>
      <c r="M22" s="39">
        <f>COUNTIF(Vertices[Closeness Centrality], "&gt;= " &amp; L22) - COUNTIF(Vertices[Closeness Centrality], "&gt;=" &amp; L23)</f>
        <v>0</v>
      </c>
      <c r="N22" s="38">
        <f t="shared" si="6"/>
        <v>6.3891176470588243E-2</v>
      </c>
      <c r="O22" s="39">
        <f>COUNTIF(Vertices[Eigenvector Centrality], "&gt;= " &amp; N22) - COUNTIF(Vertices[Eigenvector Centrality], "&gt;=" &amp; N23)</f>
        <v>0</v>
      </c>
      <c r="P22" s="38">
        <f t="shared" si="7"/>
        <v>5.0896242352941172</v>
      </c>
      <c r="Q22" s="39">
        <f>COUNTIF(Vertices[PageRank], "&gt;= " &amp; P22) - COUNTIF(Vertices[PageRank], "&gt;=" &amp; P23)</f>
        <v>1</v>
      </c>
      <c r="R22" s="38">
        <f t="shared" si="8"/>
        <v>0.58823529411764708</v>
      </c>
      <c r="S22" s="44">
        <f>COUNTIF(Vertices[Clustering Coefficient], "&gt;= " &amp; R22) - COUNTIF(Vertices[Clustering Coefficient], "&gt;=" &amp; R23)</f>
        <v>0</v>
      </c>
      <c r="T22" s="38">
        <f t="shared" ca="1" si="9"/>
        <v>46657.058823529413</v>
      </c>
      <c r="U22" s="39">
        <f t="shared" ca="1" si="0"/>
        <v>0</v>
      </c>
    </row>
    <row r="23" spans="1:21" x14ac:dyDescent="0.25">
      <c r="A23" s="35" t="s">
        <v>157</v>
      </c>
      <c r="B23" s="35">
        <v>1.273540170708576E-2</v>
      </c>
      <c r="D23" s="33">
        <f t="shared" si="1"/>
        <v>0</v>
      </c>
      <c r="E23" s="3">
        <f>COUNTIF(Vertices[Degree], "&gt;= " &amp; D23) - COUNTIF(Vertices[Degree], "&gt;=" &amp; D24)</f>
        <v>0</v>
      </c>
      <c r="F23" s="40">
        <f t="shared" si="2"/>
        <v>19.147058823529409</v>
      </c>
      <c r="G23" s="41">
        <f>COUNTIF(Vertices[In-Degree], "&gt;= " &amp; F23) - COUNTIF(Vertices[In-Degree], "&gt;=" &amp; F24)</f>
        <v>0</v>
      </c>
      <c r="H23" s="40">
        <f t="shared" si="3"/>
        <v>6.1764705882352926</v>
      </c>
      <c r="I23" s="41">
        <f>COUNTIF(Vertices[Out-Degree], "&gt;= " &amp; H23) - COUNTIF(Vertices[Out-Degree], "&gt;=" &amp; H24)</f>
        <v>0</v>
      </c>
      <c r="J23" s="40">
        <f t="shared" si="4"/>
        <v>1665.7058824411765</v>
      </c>
      <c r="K23" s="41">
        <f>COUNTIF(Vertices[Betweenness Centrality], "&gt;= " &amp; J23) - COUNTIF(Vertices[Betweenness Centrality], "&gt;=" &amp; J24)</f>
        <v>0</v>
      </c>
      <c r="L23" s="40">
        <f t="shared" si="5"/>
        <v>0.61764705882352944</v>
      </c>
      <c r="M23" s="41">
        <f>COUNTIF(Vertices[Closeness Centrality], "&gt;= " &amp; L23) - COUNTIF(Vertices[Closeness Centrality], "&gt;=" &amp; L24)</f>
        <v>0</v>
      </c>
      <c r="N23" s="40">
        <f t="shared" si="6"/>
        <v>6.7085735294117654E-2</v>
      </c>
      <c r="O23" s="41">
        <f>COUNTIF(Vertices[Eigenvector Centrality], "&gt;= " &amp; N23) - COUNTIF(Vertices[Eigenvector Centrality], "&gt;=" &amp; N24)</f>
        <v>0</v>
      </c>
      <c r="P23" s="40">
        <f t="shared" si="7"/>
        <v>5.3282091470588231</v>
      </c>
      <c r="Q23" s="41">
        <f>COUNTIF(Vertices[PageRank], "&gt;= " &amp; P23) - COUNTIF(Vertices[PageRank], "&gt;=" &amp; P24)</f>
        <v>1</v>
      </c>
      <c r="R23" s="40">
        <f t="shared" si="8"/>
        <v>0.61764705882352944</v>
      </c>
      <c r="S23" s="45">
        <f>COUNTIF(Vertices[Clustering Coefficient], "&gt;= " &amp; R23) - COUNTIF(Vertices[Clustering Coefficient], "&gt;=" &amp; R24)</f>
        <v>0</v>
      </c>
      <c r="T23" s="40">
        <f t="shared" ca="1" si="9"/>
        <v>48989.911764705881</v>
      </c>
      <c r="U23" s="41">
        <f t="shared" ca="1" si="0"/>
        <v>0</v>
      </c>
    </row>
    <row r="24" spans="1:21" x14ac:dyDescent="0.25">
      <c r="A24" s="35" t="s">
        <v>1540</v>
      </c>
      <c r="B24" s="35">
        <v>0.45183299999999998</v>
      </c>
      <c r="D24" s="33">
        <f t="shared" si="1"/>
        <v>0</v>
      </c>
      <c r="E24" s="3">
        <f>COUNTIF(Vertices[Degree], "&gt;= " &amp; D24) - COUNTIF(Vertices[Degree], "&gt;=" &amp; D25)</f>
        <v>0</v>
      </c>
      <c r="F24" s="38">
        <f t="shared" si="2"/>
        <v>20.058823529411761</v>
      </c>
      <c r="G24" s="39">
        <f>COUNTIF(Vertices[In-Degree], "&gt;= " &amp; F24) - COUNTIF(Vertices[In-Degree], "&gt;=" &amp; F25)</f>
        <v>0</v>
      </c>
      <c r="H24" s="38">
        <f t="shared" si="3"/>
        <v>6.470588235294116</v>
      </c>
      <c r="I24" s="39">
        <f>COUNTIF(Vertices[Out-Degree], "&gt;= " &amp; H24) - COUNTIF(Vertices[Out-Degree], "&gt;=" &amp; H25)</f>
        <v>0</v>
      </c>
      <c r="J24" s="38">
        <f t="shared" si="4"/>
        <v>1745.0252101764706</v>
      </c>
      <c r="K24" s="39">
        <f>COUNTIF(Vertices[Betweenness Centrality], "&gt;= " &amp; J24) - COUNTIF(Vertices[Betweenness Centrality], "&gt;=" &amp; J25)</f>
        <v>0</v>
      </c>
      <c r="L24" s="38">
        <f t="shared" si="5"/>
        <v>0.6470588235294118</v>
      </c>
      <c r="M24" s="39">
        <f>COUNTIF(Vertices[Closeness Centrality], "&gt;= " &amp; L24) - COUNTIF(Vertices[Closeness Centrality], "&gt;=" &amp; L25)</f>
        <v>0</v>
      </c>
      <c r="N24" s="38">
        <f t="shared" si="6"/>
        <v>7.0280294117647066E-2</v>
      </c>
      <c r="O24" s="39">
        <f>COUNTIF(Vertices[Eigenvector Centrality], "&gt;= " &amp; N24) - COUNTIF(Vertices[Eigenvector Centrality], "&gt;=" &amp; N25)</f>
        <v>0</v>
      </c>
      <c r="P24" s="38">
        <f t="shared" si="7"/>
        <v>5.566794058823529</v>
      </c>
      <c r="Q24" s="39">
        <f>COUNTIF(Vertices[PageRank], "&gt;= " &amp; P24) - COUNTIF(Vertices[PageRank], "&gt;=" &amp; P25)</f>
        <v>0</v>
      </c>
      <c r="R24" s="38">
        <f t="shared" si="8"/>
        <v>0.6470588235294118</v>
      </c>
      <c r="S24" s="44">
        <f>COUNTIF(Vertices[Clustering Coefficient], "&gt;= " &amp; R24) - COUNTIF(Vertices[Clustering Coefficient], "&gt;=" &amp; R25)</f>
        <v>5</v>
      </c>
      <c r="T24" s="38">
        <f t="shared" ca="1" si="9"/>
        <v>51322.76470588235</v>
      </c>
      <c r="U24" s="39">
        <f t="shared" ca="1" si="0"/>
        <v>0</v>
      </c>
    </row>
    <row r="25" spans="1:21" x14ac:dyDescent="0.25">
      <c r="A25" s="122"/>
      <c r="B25" s="122"/>
      <c r="D25" s="33">
        <f t="shared" si="1"/>
        <v>0</v>
      </c>
      <c r="E25" s="3">
        <f>COUNTIF(Vertices[Degree], "&gt;= " &amp; D25) - COUNTIF(Vertices[Degree], "&gt;=" &amp; D26)</f>
        <v>0</v>
      </c>
      <c r="F25" s="40">
        <f t="shared" si="2"/>
        <v>20.970588235294112</v>
      </c>
      <c r="G25" s="41">
        <f>COUNTIF(Vertices[In-Degree], "&gt;= " &amp; F25) - COUNTIF(Vertices[In-Degree], "&gt;=" &amp; F26)</f>
        <v>1</v>
      </c>
      <c r="H25" s="40">
        <f t="shared" si="3"/>
        <v>6.7647058823529393</v>
      </c>
      <c r="I25" s="41">
        <f>COUNTIF(Vertices[Out-Degree], "&gt;= " &amp; H25) - COUNTIF(Vertices[Out-Degree], "&gt;=" &amp; H26)</f>
        <v>3</v>
      </c>
      <c r="J25" s="40">
        <f t="shared" si="4"/>
        <v>1824.3445379117647</v>
      </c>
      <c r="K25" s="41">
        <f>COUNTIF(Vertices[Betweenness Centrality], "&gt;= " &amp; J25) - COUNTIF(Vertices[Betweenness Centrality], "&gt;=" &amp; J26)</f>
        <v>0</v>
      </c>
      <c r="L25" s="40">
        <f t="shared" si="5"/>
        <v>0.67647058823529416</v>
      </c>
      <c r="M25" s="41">
        <f>COUNTIF(Vertices[Closeness Centrality], "&gt;= " &amp; L25) - COUNTIF(Vertices[Closeness Centrality], "&gt;=" &amp; L26)</f>
        <v>0</v>
      </c>
      <c r="N25" s="40">
        <f t="shared" si="6"/>
        <v>7.3474852941176477E-2</v>
      </c>
      <c r="O25" s="41">
        <f>COUNTIF(Vertices[Eigenvector Centrality], "&gt;= " &amp; N25) - COUNTIF(Vertices[Eigenvector Centrality], "&gt;=" &amp; N26)</f>
        <v>0</v>
      </c>
      <c r="P25" s="40">
        <f t="shared" si="7"/>
        <v>5.8053789705882348</v>
      </c>
      <c r="Q25" s="41">
        <f>COUNTIF(Vertices[PageRank], "&gt;= " &amp; P25) - COUNTIF(Vertices[PageRank], "&gt;=" &amp; P26)</f>
        <v>0</v>
      </c>
      <c r="R25" s="40">
        <f t="shared" si="8"/>
        <v>0.67647058823529416</v>
      </c>
      <c r="S25" s="45">
        <f>COUNTIF(Vertices[Clustering Coefficient], "&gt;= " &amp; R25) - COUNTIF(Vertices[Clustering Coefficient], "&gt;=" &amp; R26)</f>
        <v>0</v>
      </c>
      <c r="T25" s="40">
        <f t="shared" ca="1" si="9"/>
        <v>53655.617647058818</v>
      </c>
      <c r="U25" s="41">
        <f t="shared" ca="1" si="0"/>
        <v>0</v>
      </c>
    </row>
    <row r="26" spans="1:21" x14ac:dyDescent="0.25">
      <c r="A26" s="35" t="s">
        <v>1541</v>
      </c>
      <c r="B26" s="35" t="s">
        <v>1556</v>
      </c>
      <c r="D26" s="33">
        <f t="shared" si="1"/>
        <v>0</v>
      </c>
      <c r="E26" s="3">
        <f>COUNTIF(Vertices[Degree], "&gt;= " &amp; D26) - COUNTIF(Vertices[Degree], "&gt;=" &amp; D27)</f>
        <v>0</v>
      </c>
      <c r="F26" s="38">
        <f t="shared" si="2"/>
        <v>21.882352941176464</v>
      </c>
      <c r="G26" s="39">
        <f>COUNTIF(Vertices[In-Degree], "&gt;= " &amp; F26) - COUNTIF(Vertices[In-Degree], "&gt;=" &amp; F27)</f>
        <v>1</v>
      </c>
      <c r="H26" s="38">
        <f t="shared" si="3"/>
        <v>7.0588235294117627</v>
      </c>
      <c r="I26" s="39">
        <f>COUNTIF(Vertices[Out-Degree], "&gt;= " &amp; H26) - COUNTIF(Vertices[Out-Degree], "&gt;=" &amp; H27)</f>
        <v>0</v>
      </c>
      <c r="J26" s="38">
        <f t="shared" si="4"/>
        <v>1903.6638656470589</v>
      </c>
      <c r="K26" s="39">
        <f>COUNTIF(Vertices[Betweenness Centrality], "&gt;= " &amp; J26) - COUNTIF(Vertices[Betweenness Centrality], "&gt;=" &amp; J27)</f>
        <v>0</v>
      </c>
      <c r="L26" s="38">
        <f t="shared" si="5"/>
        <v>0.70588235294117652</v>
      </c>
      <c r="M26" s="39">
        <f>COUNTIF(Vertices[Closeness Centrality], "&gt;= " &amp; L26) - COUNTIF(Vertices[Closeness Centrality], "&gt;=" &amp; L27)</f>
        <v>0</v>
      </c>
      <c r="N26" s="38">
        <f t="shared" si="6"/>
        <v>7.6669411764705889E-2</v>
      </c>
      <c r="O26" s="39">
        <f>COUNTIF(Vertices[Eigenvector Centrality], "&gt;= " &amp; N26) - COUNTIF(Vertices[Eigenvector Centrality], "&gt;=" &amp; N27)</f>
        <v>0</v>
      </c>
      <c r="P26" s="38">
        <f t="shared" si="7"/>
        <v>6.0439638823529407</v>
      </c>
      <c r="Q26" s="39">
        <f>COUNTIF(Vertices[PageRank], "&gt;= " &amp; P26) - COUNTIF(Vertices[PageRank], "&gt;=" &amp; P27)</f>
        <v>0</v>
      </c>
      <c r="R26" s="38">
        <f t="shared" si="8"/>
        <v>0.70588235294117652</v>
      </c>
      <c r="S26" s="44">
        <f>COUNTIF(Vertices[Clustering Coefficient], "&gt;= " &amp; R26) - COUNTIF(Vertices[Clustering Coefficient], "&gt;=" &amp; R27)</f>
        <v>0</v>
      </c>
      <c r="T26" s="38">
        <f t="shared" ca="1" si="9"/>
        <v>55988.470588235286</v>
      </c>
      <c r="U26" s="39">
        <f t="shared" ref="U26:U35" ca="1" si="10">COUNTIF(INDIRECT(DynamicFilterSourceColumnRange), "&gt;= " &amp; T26) - COUNTIF(INDIRECT(DynamicFilterSourceColumnRange), "&gt;=" &amp; T27)</f>
        <v>0</v>
      </c>
    </row>
    <row r="27" spans="1:21" x14ac:dyDescent="0.25">
      <c r="A27" s="122"/>
      <c r="B27" s="122"/>
      <c r="D27" s="33">
        <f t="shared" si="1"/>
        <v>0</v>
      </c>
      <c r="E27" s="3">
        <f>COUNTIF(Vertices[Degree], "&gt;= " &amp; D27) - COUNTIF(Vertices[Degree], "&gt;=" &amp; D28)</f>
        <v>0</v>
      </c>
      <c r="F27" s="40">
        <f t="shared" si="2"/>
        <v>22.794117647058815</v>
      </c>
      <c r="G27" s="41">
        <f>COUNTIF(Vertices[In-Degree], "&gt;= " &amp; F27) - COUNTIF(Vertices[In-Degree], "&gt;=" &amp; F28)</f>
        <v>0</v>
      </c>
      <c r="H27" s="40">
        <f t="shared" si="3"/>
        <v>7.3529411764705861</v>
      </c>
      <c r="I27" s="41">
        <f>COUNTIF(Vertices[Out-Degree], "&gt;= " &amp; H27) - COUNTIF(Vertices[Out-Degree], "&gt;=" &amp; H28)</f>
        <v>0</v>
      </c>
      <c r="J27" s="40">
        <f t="shared" si="4"/>
        <v>1982.983193382353</v>
      </c>
      <c r="K27" s="41">
        <f>COUNTIF(Vertices[Betweenness Centrality], "&gt;= " &amp; J27) - COUNTIF(Vertices[Betweenness Centrality], "&gt;=" &amp; J28)</f>
        <v>0</v>
      </c>
      <c r="L27" s="40">
        <f t="shared" si="5"/>
        <v>0.73529411764705888</v>
      </c>
      <c r="M27" s="41">
        <f>COUNTIF(Vertices[Closeness Centrality], "&gt;= " &amp; L27) - COUNTIF(Vertices[Closeness Centrality], "&gt;=" &amp; L28)</f>
        <v>0</v>
      </c>
      <c r="N27" s="40">
        <f t="shared" si="6"/>
        <v>7.98639705882353E-2</v>
      </c>
      <c r="O27" s="41">
        <f>COUNTIF(Vertices[Eigenvector Centrality], "&gt;= " &amp; N27) - COUNTIF(Vertices[Eigenvector Centrality], "&gt;=" &amp; N28)</f>
        <v>0</v>
      </c>
      <c r="P27" s="40">
        <f t="shared" si="7"/>
        <v>6.2825487941176466</v>
      </c>
      <c r="Q27" s="41">
        <f>COUNTIF(Vertices[PageRank], "&gt;= " &amp; P27) - COUNTIF(Vertices[PageRank], "&gt;=" &amp; P28)</f>
        <v>0</v>
      </c>
      <c r="R27" s="40">
        <f t="shared" si="8"/>
        <v>0.73529411764705888</v>
      </c>
      <c r="S27" s="45">
        <f>COUNTIF(Vertices[Clustering Coefficient], "&gt;= " &amp; R27) - COUNTIF(Vertices[Clustering Coefficient], "&gt;=" &amp; R28)</f>
        <v>0</v>
      </c>
      <c r="T27" s="40">
        <f t="shared" ca="1" si="9"/>
        <v>58321.323529411755</v>
      </c>
      <c r="U27" s="41">
        <f t="shared" ca="1" si="10"/>
        <v>0</v>
      </c>
    </row>
    <row r="28" spans="1:21" x14ac:dyDescent="0.25">
      <c r="A28" s="35" t="s">
        <v>1542</v>
      </c>
      <c r="B28" s="35" t="s">
        <v>85</v>
      </c>
      <c r="D28" s="33">
        <f t="shared" si="1"/>
        <v>0</v>
      </c>
      <c r="E28" s="3">
        <f>COUNTIF(Vertices[Degree], "&gt;= " &amp; D28) - COUNTIF(Vertices[Degree], "&gt;=" &amp; D29)</f>
        <v>0</v>
      </c>
      <c r="F28" s="38">
        <f t="shared" si="2"/>
        <v>23.705882352941167</v>
      </c>
      <c r="G28" s="39">
        <f>COUNTIF(Vertices[In-Degree], "&gt;= " &amp; F28) - COUNTIF(Vertices[In-Degree], "&gt;=" &amp; F29)</f>
        <v>0</v>
      </c>
      <c r="H28" s="38">
        <f t="shared" si="3"/>
        <v>7.6470588235294095</v>
      </c>
      <c r="I28" s="39">
        <f>COUNTIF(Vertices[Out-Degree], "&gt;= " &amp; H28) - COUNTIF(Vertices[Out-Degree], "&gt;=" &amp; H29)</f>
        <v>0</v>
      </c>
      <c r="J28" s="38">
        <f t="shared" si="4"/>
        <v>2062.3025211176473</v>
      </c>
      <c r="K28" s="39">
        <f>COUNTIF(Vertices[Betweenness Centrality], "&gt;= " &amp; J28) - COUNTIF(Vertices[Betweenness Centrality], "&gt;=" &amp; J29)</f>
        <v>0</v>
      </c>
      <c r="L28" s="38">
        <f t="shared" si="5"/>
        <v>0.76470588235294124</v>
      </c>
      <c r="M28" s="39">
        <f>COUNTIF(Vertices[Closeness Centrality], "&gt;= " &amp; L28) - COUNTIF(Vertices[Closeness Centrality], "&gt;=" &amp; L29)</f>
        <v>0</v>
      </c>
      <c r="N28" s="38">
        <f t="shared" si="6"/>
        <v>8.3058529411764712E-2</v>
      </c>
      <c r="O28" s="39">
        <f>COUNTIF(Vertices[Eigenvector Centrality], "&gt;= " &amp; N28) - COUNTIF(Vertices[Eigenvector Centrality], "&gt;=" &amp; N29)</f>
        <v>0</v>
      </c>
      <c r="P28" s="38">
        <f t="shared" si="7"/>
        <v>6.5211337058823524</v>
      </c>
      <c r="Q28" s="39">
        <f>COUNTIF(Vertices[PageRank], "&gt;= " &amp; P28) - COUNTIF(Vertices[PageRank], "&gt;=" &amp; P29)</f>
        <v>0</v>
      </c>
      <c r="R28" s="38">
        <f t="shared" si="8"/>
        <v>0.76470588235294124</v>
      </c>
      <c r="S28" s="44">
        <f>COUNTIF(Vertices[Clustering Coefficient], "&gt;= " &amp; R28) - COUNTIF(Vertices[Clustering Coefficient], "&gt;=" &amp; R29)</f>
        <v>0</v>
      </c>
      <c r="T28" s="38">
        <f t="shared" ca="1" si="9"/>
        <v>60654.176470588223</v>
      </c>
      <c r="U28" s="39">
        <f t="shared" ca="1" si="10"/>
        <v>0</v>
      </c>
    </row>
    <row r="29" spans="1:21" x14ac:dyDescent="0.25">
      <c r="A29" s="35" t="s">
        <v>1543</v>
      </c>
      <c r="B29" s="35" t="s">
        <v>85</v>
      </c>
      <c r="D29" s="33">
        <f t="shared" si="1"/>
        <v>0</v>
      </c>
      <c r="E29" s="3">
        <f>COUNTIF(Vertices[Degree], "&gt;= " &amp; D29) - COUNTIF(Vertices[Degree], "&gt;=" &amp; D30)</f>
        <v>0</v>
      </c>
      <c r="F29" s="40">
        <f t="shared" si="2"/>
        <v>24.617647058823518</v>
      </c>
      <c r="G29" s="41">
        <f>COUNTIF(Vertices[In-Degree], "&gt;= " &amp; F29) - COUNTIF(Vertices[In-Degree], "&gt;=" &amp; F30)</f>
        <v>0</v>
      </c>
      <c r="H29" s="40">
        <f t="shared" si="3"/>
        <v>7.9411764705882328</v>
      </c>
      <c r="I29" s="41">
        <f>COUNTIF(Vertices[Out-Degree], "&gt;= " &amp; H29) - COUNTIF(Vertices[Out-Degree], "&gt;=" &amp; H30)</f>
        <v>1</v>
      </c>
      <c r="J29" s="40">
        <f t="shared" si="4"/>
        <v>2141.6218488529416</v>
      </c>
      <c r="K29" s="41">
        <f>COUNTIF(Vertices[Betweenness Centrality], "&gt;= " &amp; J29) - COUNTIF(Vertices[Betweenness Centrality], "&gt;=" &amp; J30)</f>
        <v>0</v>
      </c>
      <c r="L29" s="40">
        <f t="shared" si="5"/>
        <v>0.79411764705882359</v>
      </c>
      <c r="M29" s="41">
        <f>COUNTIF(Vertices[Closeness Centrality], "&gt;= " &amp; L29) - COUNTIF(Vertices[Closeness Centrality], "&gt;=" &amp; L30)</f>
        <v>0</v>
      </c>
      <c r="N29" s="40">
        <f t="shared" si="6"/>
        <v>8.6253088235294123E-2</v>
      </c>
      <c r="O29" s="41">
        <f>COUNTIF(Vertices[Eigenvector Centrality], "&gt;= " &amp; N29) - COUNTIF(Vertices[Eigenvector Centrality], "&gt;=" &amp; N30)</f>
        <v>0</v>
      </c>
      <c r="P29" s="40">
        <f t="shared" si="7"/>
        <v>6.7597186176470583</v>
      </c>
      <c r="Q29" s="41">
        <f>COUNTIF(Vertices[PageRank], "&gt;= " &amp; P29) - COUNTIF(Vertices[PageRank], "&gt;=" &amp; P30)</f>
        <v>0</v>
      </c>
      <c r="R29" s="40">
        <f t="shared" si="8"/>
        <v>0.79411764705882359</v>
      </c>
      <c r="S29" s="45">
        <f>COUNTIF(Vertices[Clustering Coefficient], "&gt;= " &amp; R29) - COUNTIF(Vertices[Clustering Coefficient], "&gt;=" &amp; R30)</f>
        <v>0</v>
      </c>
      <c r="T29" s="40">
        <f t="shared" ca="1" si="9"/>
        <v>62987.029411764692</v>
      </c>
      <c r="U29" s="41">
        <f t="shared" ca="1" si="10"/>
        <v>0</v>
      </c>
    </row>
    <row r="30" spans="1:21" x14ac:dyDescent="0.25">
      <c r="A30" s="122"/>
      <c r="B30" s="122"/>
      <c r="D30" s="33">
        <f t="shared" si="1"/>
        <v>0</v>
      </c>
      <c r="E30" s="3">
        <f>COUNTIF(Vertices[Degree], "&gt;= " &amp; D30) - COUNTIF(Vertices[Degree], "&gt;=" &amp; D31)</f>
        <v>0</v>
      </c>
      <c r="F30" s="38">
        <f t="shared" si="2"/>
        <v>25.52941176470587</v>
      </c>
      <c r="G30" s="39">
        <f>COUNTIF(Vertices[In-Degree], "&gt;= " &amp; F30) - COUNTIF(Vertices[In-Degree], "&gt;=" &amp; F31)</f>
        <v>0</v>
      </c>
      <c r="H30" s="38">
        <f t="shared" si="3"/>
        <v>8.2352941176470562</v>
      </c>
      <c r="I30" s="39">
        <f>COUNTIF(Vertices[Out-Degree], "&gt;= " &amp; H30) - COUNTIF(Vertices[Out-Degree], "&gt;=" &amp; H31)</f>
        <v>0</v>
      </c>
      <c r="J30" s="38">
        <f t="shared" si="4"/>
        <v>2220.941176588236</v>
      </c>
      <c r="K30" s="39">
        <f>COUNTIF(Vertices[Betweenness Centrality], "&gt;= " &amp; J30) - COUNTIF(Vertices[Betweenness Centrality], "&gt;=" &amp; J31)</f>
        <v>0</v>
      </c>
      <c r="L30" s="38">
        <f t="shared" si="5"/>
        <v>0.82352941176470595</v>
      </c>
      <c r="M30" s="39">
        <f>COUNTIF(Vertices[Closeness Centrality], "&gt;= " &amp; L30) - COUNTIF(Vertices[Closeness Centrality], "&gt;=" &amp; L31)</f>
        <v>0</v>
      </c>
      <c r="N30" s="38">
        <f t="shared" si="6"/>
        <v>8.9447647058823535E-2</v>
      </c>
      <c r="O30" s="39">
        <f>COUNTIF(Vertices[Eigenvector Centrality], "&gt;= " &amp; N30) - COUNTIF(Vertices[Eigenvector Centrality], "&gt;=" &amp; N31)</f>
        <v>0</v>
      </c>
      <c r="P30" s="38">
        <f t="shared" si="7"/>
        <v>6.9983035294117641</v>
      </c>
      <c r="Q30" s="39">
        <f>COUNTIF(Vertices[PageRank], "&gt;= " &amp; P30) - COUNTIF(Vertices[PageRank], "&gt;=" &amp; P31)</f>
        <v>0</v>
      </c>
      <c r="R30" s="38">
        <f t="shared" si="8"/>
        <v>0.82352941176470595</v>
      </c>
      <c r="S30" s="44">
        <f>COUNTIF(Vertices[Clustering Coefficient], "&gt;= " &amp; R30) - COUNTIF(Vertices[Clustering Coefficient], "&gt;=" &amp; R31)</f>
        <v>0</v>
      </c>
      <c r="T30" s="38">
        <f t="shared" ca="1" si="9"/>
        <v>65319.88235294116</v>
      </c>
      <c r="U30" s="39">
        <f t="shared" ca="1" si="10"/>
        <v>0</v>
      </c>
    </row>
    <row r="31" spans="1:21" x14ac:dyDescent="0.25">
      <c r="A31" s="35" t="s">
        <v>1544</v>
      </c>
      <c r="B31" s="35" t="s">
        <v>85</v>
      </c>
      <c r="D31" s="33">
        <f t="shared" si="1"/>
        <v>0</v>
      </c>
      <c r="E31" s="3">
        <f>COUNTIF(Vertices[Degree], "&gt;= " &amp; D31) - COUNTIF(Vertices[Degree], "&gt;=" &amp; D32)</f>
        <v>0</v>
      </c>
      <c r="F31" s="40">
        <f t="shared" si="2"/>
        <v>26.441176470588221</v>
      </c>
      <c r="G31" s="41">
        <f>COUNTIF(Vertices[In-Degree], "&gt;= " &amp; F31) - COUNTIF(Vertices[In-Degree], "&gt;=" &amp; F32)</f>
        <v>0</v>
      </c>
      <c r="H31" s="40">
        <f t="shared" si="3"/>
        <v>8.5294117647058805</v>
      </c>
      <c r="I31" s="41">
        <f>COUNTIF(Vertices[Out-Degree], "&gt;= " &amp; H31) - COUNTIF(Vertices[Out-Degree], "&gt;=" &amp; H32)</f>
        <v>0</v>
      </c>
      <c r="J31" s="40">
        <f t="shared" si="4"/>
        <v>2300.2605043235303</v>
      </c>
      <c r="K31" s="41">
        <f>COUNTIF(Vertices[Betweenness Centrality], "&gt;= " &amp; J31) - COUNTIF(Vertices[Betweenness Centrality], "&gt;=" &amp; J32)</f>
        <v>0</v>
      </c>
      <c r="L31" s="40">
        <f t="shared" si="5"/>
        <v>0.85294117647058831</v>
      </c>
      <c r="M31" s="41">
        <f>COUNTIF(Vertices[Closeness Centrality], "&gt;= " &amp; L31) - COUNTIF(Vertices[Closeness Centrality], "&gt;=" &amp; L32)</f>
        <v>0</v>
      </c>
      <c r="N31" s="40">
        <f t="shared" si="6"/>
        <v>9.2642205882352946E-2</v>
      </c>
      <c r="O31" s="41">
        <f>COUNTIF(Vertices[Eigenvector Centrality], "&gt;= " &amp; N31) - COUNTIF(Vertices[Eigenvector Centrality], "&gt;=" &amp; N32)</f>
        <v>0</v>
      </c>
      <c r="P31" s="40">
        <f t="shared" si="7"/>
        <v>7.23688844117647</v>
      </c>
      <c r="Q31" s="41">
        <f>COUNTIF(Vertices[PageRank], "&gt;= " &amp; P31) - COUNTIF(Vertices[PageRank], "&gt;=" &amp; P32)</f>
        <v>0</v>
      </c>
      <c r="R31" s="40">
        <f t="shared" si="8"/>
        <v>0.85294117647058831</v>
      </c>
      <c r="S31" s="45">
        <f>COUNTIF(Vertices[Clustering Coefficient], "&gt;= " &amp; R31) - COUNTIF(Vertices[Clustering Coefficient], "&gt;=" &amp; R32)</f>
        <v>0</v>
      </c>
      <c r="T31" s="40">
        <f t="shared" ca="1" si="9"/>
        <v>67652.735294117636</v>
      </c>
      <c r="U31" s="41">
        <f t="shared" ca="1" si="10"/>
        <v>0</v>
      </c>
    </row>
    <row r="32" spans="1:21" x14ac:dyDescent="0.25">
      <c r="A32" s="35" t="s">
        <v>1545</v>
      </c>
      <c r="B32" s="35" t="s">
        <v>85</v>
      </c>
      <c r="D32" s="33">
        <f t="shared" si="1"/>
        <v>0</v>
      </c>
      <c r="E32" s="3">
        <f>COUNTIF(Vertices[Degree], "&gt;= " &amp; D32) - COUNTIF(Vertices[Degree], "&gt;=" &amp; D33)</f>
        <v>0</v>
      </c>
      <c r="F32" s="38">
        <f t="shared" si="2"/>
        <v>27.352941176470573</v>
      </c>
      <c r="G32" s="39">
        <f>COUNTIF(Vertices[In-Degree], "&gt;= " &amp; F32) - COUNTIF(Vertices[In-Degree], "&gt;=" &amp; F33)</f>
        <v>0</v>
      </c>
      <c r="H32" s="38">
        <f t="shared" si="3"/>
        <v>8.8235294117647047</v>
      </c>
      <c r="I32" s="39">
        <f>COUNTIF(Vertices[Out-Degree], "&gt;= " &amp; H32) - COUNTIF(Vertices[Out-Degree], "&gt;=" &amp; H33)</f>
        <v>1</v>
      </c>
      <c r="J32" s="38">
        <f t="shared" si="4"/>
        <v>2379.5798320588246</v>
      </c>
      <c r="K32" s="39">
        <f>COUNTIF(Vertices[Betweenness Centrality], "&gt;= " &amp; J32) - COUNTIF(Vertices[Betweenness Centrality], "&gt;=" &amp; J33)</f>
        <v>0</v>
      </c>
      <c r="L32" s="38">
        <f t="shared" si="5"/>
        <v>0.88235294117647067</v>
      </c>
      <c r="M32" s="39">
        <f>COUNTIF(Vertices[Closeness Centrality], "&gt;= " &amp; L32) - COUNTIF(Vertices[Closeness Centrality], "&gt;=" &amp; L33)</f>
        <v>0</v>
      </c>
      <c r="N32" s="38">
        <f t="shared" si="6"/>
        <v>9.5836764705882357E-2</v>
      </c>
      <c r="O32" s="39">
        <f>COUNTIF(Vertices[Eigenvector Centrality], "&gt;= " &amp; N32) - COUNTIF(Vertices[Eigenvector Centrality], "&gt;=" &amp; N33)</f>
        <v>0</v>
      </c>
      <c r="P32" s="38">
        <f t="shared" si="7"/>
        <v>7.4754733529411759</v>
      </c>
      <c r="Q32" s="39">
        <f>COUNTIF(Vertices[PageRank], "&gt;= " &amp; P32) - COUNTIF(Vertices[PageRank], "&gt;=" &amp; P33)</f>
        <v>0</v>
      </c>
      <c r="R32" s="38">
        <f t="shared" si="8"/>
        <v>0.88235294117647067</v>
      </c>
      <c r="S32" s="44">
        <f>COUNTIF(Vertices[Clustering Coefficient], "&gt;= " &amp; R32) - COUNTIF(Vertices[Clustering Coefficient], "&gt;=" &amp; R33)</f>
        <v>0</v>
      </c>
      <c r="T32" s="38">
        <f t="shared" ca="1" si="9"/>
        <v>69985.588235294112</v>
      </c>
      <c r="U32" s="39">
        <f t="shared" ca="1" si="10"/>
        <v>0</v>
      </c>
    </row>
    <row r="33" spans="1:21" x14ac:dyDescent="0.25">
      <c r="A33" s="35" t="s">
        <v>1546</v>
      </c>
      <c r="B33" s="35" t="s">
        <v>85</v>
      </c>
      <c r="D33" s="33">
        <f t="shared" si="1"/>
        <v>0</v>
      </c>
      <c r="E33" s="3">
        <f>COUNTIF(Vertices[Degree], "&gt;= " &amp; D33) - COUNTIF(Vertices[Degree], "&gt;=" &amp; D34)</f>
        <v>0</v>
      </c>
      <c r="F33" s="40">
        <f t="shared" si="2"/>
        <v>28.264705882352924</v>
      </c>
      <c r="G33" s="41">
        <f>COUNTIF(Vertices[In-Degree], "&gt;= " &amp; F33) - COUNTIF(Vertices[In-Degree], "&gt;=" &amp; F34)</f>
        <v>0</v>
      </c>
      <c r="H33" s="40">
        <f t="shared" si="3"/>
        <v>9.117647058823529</v>
      </c>
      <c r="I33" s="41">
        <f>COUNTIF(Vertices[Out-Degree], "&gt;= " &amp; H33) - COUNTIF(Vertices[Out-Degree], "&gt;=" &amp; H34)</f>
        <v>0</v>
      </c>
      <c r="J33" s="40">
        <f t="shared" si="4"/>
        <v>2458.899159794119</v>
      </c>
      <c r="K33" s="41">
        <f>COUNTIF(Vertices[Betweenness Centrality], "&gt;= " &amp; J33) - COUNTIF(Vertices[Betweenness Centrality], "&gt;=" &amp; J34)</f>
        <v>0</v>
      </c>
      <c r="L33" s="40">
        <f t="shared" si="5"/>
        <v>0.91176470588235303</v>
      </c>
      <c r="M33" s="41">
        <f>COUNTIF(Vertices[Closeness Centrality], "&gt;= " &amp; L33) - COUNTIF(Vertices[Closeness Centrality], "&gt;=" &amp; L34)</f>
        <v>0</v>
      </c>
      <c r="N33" s="40">
        <f t="shared" si="6"/>
        <v>9.9031323529411769E-2</v>
      </c>
      <c r="O33" s="41">
        <f>COUNTIF(Vertices[Eigenvector Centrality], "&gt;= " &amp; N33) - COUNTIF(Vertices[Eigenvector Centrality], "&gt;=" &amp; N34)</f>
        <v>0</v>
      </c>
      <c r="P33" s="40">
        <f t="shared" si="7"/>
        <v>7.7140582647058817</v>
      </c>
      <c r="Q33" s="41">
        <f>COUNTIF(Vertices[PageRank], "&gt;= " &amp; P33) - COUNTIF(Vertices[PageRank], "&gt;=" &amp; P34)</f>
        <v>0</v>
      </c>
      <c r="R33" s="40">
        <f t="shared" si="8"/>
        <v>0.91176470588235303</v>
      </c>
      <c r="S33" s="45">
        <f>COUNTIF(Vertices[Clustering Coefficient], "&gt;= " &amp; R33) - COUNTIF(Vertices[Clustering Coefficient], "&gt;=" &amp; R34)</f>
        <v>0</v>
      </c>
      <c r="T33" s="40">
        <f t="shared" ca="1" si="9"/>
        <v>72318.441176470587</v>
      </c>
      <c r="U33" s="41">
        <f t="shared" ca="1" si="10"/>
        <v>0</v>
      </c>
    </row>
    <row r="34" spans="1:21" x14ac:dyDescent="0.25">
      <c r="A34" s="35" t="s">
        <v>1547</v>
      </c>
      <c r="B34" s="35" t="s">
        <v>85</v>
      </c>
      <c r="D34" s="33">
        <f t="shared" si="1"/>
        <v>0</v>
      </c>
      <c r="E34" s="3">
        <f>COUNTIF(Vertices[Degree], "&gt;= " &amp; D34) - COUNTIF(Vertices[Degree], "&gt;=" &amp; D35)</f>
        <v>0</v>
      </c>
      <c r="F34" s="38">
        <f t="shared" si="2"/>
        <v>29.176470588235276</v>
      </c>
      <c r="G34" s="39">
        <f>COUNTIF(Vertices[In-Degree], "&gt;= " &amp; F34) - COUNTIF(Vertices[In-Degree], "&gt;=" &amp; F35)</f>
        <v>0</v>
      </c>
      <c r="H34" s="38">
        <f t="shared" si="3"/>
        <v>9.4117647058823533</v>
      </c>
      <c r="I34" s="39">
        <f>COUNTIF(Vertices[Out-Degree], "&gt;= " &amp; H34) - COUNTIF(Vertices[Out-Degree], "&gt;=" &amp; H35)</f>
        <v>0</v>
      </c>
      <c r="J34" s="38">
        <f t="shared" si="4"/>
        <v>2538.2184875294133</v>
      </c>
      <c r="K34" s="39">
        <f>COUNTIF(Vertices[Betweenness Centrality], "&gt;= " &amp; J34) - COUNTIF(Vertices[Betweenness Centrality], "&gt;=" &amp; J35)</f>
        <v>0</v>
      </c>
      <c r="L34" s="38">
        <f t="shared" si="5"/>
        <v>0.94117647058823539</v>
      </c>
      <c r="M34" s="39">
        <f>COUNTIF(Vertices[Closeness Centrality], "&gt;= " &amp; L34) - COUNTIF(Vertices[Closeness Centrality], "&gt;=" &amp; L35)</f>
        <v>0</v>
      </c>
      <c r="N34" s="38">
        <f t="shared" si="6"/>
        <v>0.10222588235294118</v>
      </c>
      <c r="O34" s="39">
        <f>COUNTIF(Vertices[Eigenvector Centrality], "&gt;= " &amp; N34) - COUNTIF(Vertices[Eigenvector Centrality], "&gt;=" &amp; N35)</f>
        <v>0</v>
      </c>
      <c r="P34" s="38">
        <f t="shared" si="7"/>
        <v>7.9526431764705876</v>
      </c>
      <c r="Q34" s="39">
        <f>COUNTIF(Vertices[PageRank], "&gt;= " &amp; P34) - COUNTIF(Vertices[PageRank], "&gt;=" &amp; P35)</f>
        <v>0</v>
      </c>
      <c r="R34" s="38">
        <f t="shared" si="8"/>
        <v>0.94117647058823539</v>
      </c>
      <c r="S34" s="44">
        <f>COUNTIF(Vertices[Clustering Coefficient], "&gt;= " &amp; R34) - COUNTIF(Vertices[Clustering Coefficient], "&gt;=" &amp; R35)</f>
        <v>0</v>
      </c>
      <c r="T34" s="38">
        <f t="shared" ca="1" si="9"/>
        <v>74651.294117647063</v>
      </c>
      <c r="U34" s="39">
        <f t="shared" ca="1" si="10"/>
        <v>0</v>
      </c>
    </row>
    <row r="35" spans="1:21" x14ac:dyDescent="0.25">
      <c r="A35" s="35" t="s">
        <v>1548</v>
      </c>
      <c r="B35" s="35" t="s">
        <v>85</v>
      </c>
      <c r="D35" s="33">
        <f t="shared" si="1"/>
        <v>0</v>
      </c>
      <c r="E35" s="3">
        <f>COUNTIF(Vertices[Degree], "&gt;= " &amp; D35) - COUNTIF(Vertices[Degree], "&gt;=" &amp; D36)</f>
        <v>0</v>
      </c>
      <c r="F35" s="40">
        <f t="shared" si="2"/>
        <v>30.088235294117627</v>
      </c>
      <c r="G35" s="41">
        <f>COUNTIF(Vertices[In-Degree], "&gt;= " &amp; F35) - COUNTIF(Vertices[In-Degree], "&gt;=" &amp; F36)</f>
        <v>0</v>
      </c>
      <c r="H35" s="40">
        <f t="shared" si="3"/>
        <v>9.7058823529411775</v>
      </c>
      <c r="I35" s="41">
        <f>COUNTIF(Vertices[Out-Degree], "&gt;= " &amp; H35) - COUNTIF(Vertices[Out-Degree], "&gt;=" &amp; H36)</f>
        <v>0</v>
      </c>
      <c r="J35" s="40">
        <f t="shared" si="4"/>
        <v>2617.5378152647077</v>
      </c>
      <c r="K35" s="41">
        <f>COUNTIF(Vertices[Betweenness Centrality], "&gt;= " &amp; J35) - COUNTIF(Vertices[Betweenness Centrality], "&gt;=" &amp; J36)</f>
        <v>0</v>
      </c>
      <c r="L35" s="40">
        <f t="shared" si="5"/>
        <v>0.97058823529411775</v>
      </c>
      <c r="M35" s="41">
        <f>COUNTIF(Vertices[Closeness Centrality], "&gt;= " &amp; L35) - COUNTIF(Vertices[Closeness Centrality], "&gt;=" &amp; L36)</f>
        <v>0</v>
      </c>
      <c r="N35" s="40">
        <f t="shared" si="6"/>
        <v>0.10542044117647059</v>
      </c>
      <c r="O35" s="41">
        <f>COUNTIF(Vertices[Eigenvector Centrality], "&gt;= " &amp; N35) - COUNTIF(Vertices[Eigenvector Centrality], "&gt;=" &amp; N36)</f>
        <v>0</v>
      </c>
      <c r="P35" s="40">
        <f t="shared" si="7"/>
        <v>8.1912280882352935</v>
      </c>
      <c r="Q35" s="41">
        <f>COUNTIF(Vertices[PageRank], "&gt;= " &amp; P35) - COUNTIF(Vertices[PageRank], "&gt;=" &amp; P36)</f>
        <v>0</v>
      </c>
      <c r="R35" s="40">
        <f t="shared" si="8"/>
        <v>0.97058823529411775</v>
      </c>
      <c r="S35" s="45">
        <f>COUNTIF(Vertices[Clustering Coefficient], "&gt;= " &amp; R35) - COUNTIF(Vertices[Clustering Coefficient], "&gt;=" &amp; R36)</f>
        <v>0</v>
      </c>
      <c r="T35" s="40">
        <f t="shared" ca="1" si="9"/>
        <v>76984.147058823539</v>
      </c>
      <c r="U35" s="41">
        <f t="shared" ca="1" si="10"/>
        <v>0</v>
      </c>
    </row>
    <row r="36" spans="1:21" x14ac:dyDescent="0.25">
      <c r="A36" s="35" t="s">
        <v>1549</v>
      </c>
      <c r="B36" s="35" t="s">
        <v>85</v>
      </c>
      <c r="D36" s="33">
        <f>MAX(Vertices[Degree])</f>
        <v>0</v>
      </c>
      <c r="E36" s="3">
        <f>COUNTIF(Vertices[Degree], "&gt;= " &amp; D36) - COUNTIF(Vertices[Degree], "&gt;=" &amp;#REF!)</f>
        <v>0</v>
      </c>
      <c r="F36" s="42">
        <f>MAX(Vertices[In-Degree])</f>
        <v>31</v>
      </c>
      <c r="G36" s="43">
        <f>COUNTIF(Vertices[In-Degree], "&gt;= " &amp; F36) - COUNTIF(Vertices[In-Degree], "&gt;=" &amp;#REF!)</f>
        <v>1</v>
      </c>
      <c r="H36" s="42">
        <f>MAX(Vertices[Out-Degree])</f>
        <v>10</v>
      </c>
      <c r="I36" s="43">
        <f>COUNTIF(Vertices[Out-Degree], "&gt;= " &amp; H36) - COUNTIF(Vertices[Out-Degree], "&gt;=" &amp;#REF!)</f>
        <v>1</v>
      </c>
      <c r="J36" s="42">
        <f>MAX(Vertices[Betweenness Centrality])</f>
        <v>2696.8571430000002</v>
      </c>
      <c r="K36" s="43">
        <f>COUNTIF(Vertices[Betweenness Centrality], "&gt;= " &amp; J36) - COUNTIF(Vertices[Betweenness Centrality], "&gt;=" &amp;#REF!)</f>
        <v>1</v>
      </c>
      <c r="L36" s="42">
        <f>MAX(Vertices[Closeness Centrality])</f>
        <v>1</v>
      </c>
      <c r="M36" s="43">
        <f>COUNTIF(Vertices[Closeness Centrality], "&gt;= " &amp; L36) - COUNTIF(Vertices[Closeness Centrality], "&gt;=" &amp;#REF!)</f>
        <v>14</v>
      </c>
      <c r="N36" s="42">
        <f>MAX(Vertices[Eigenvector Centrality])</f>
        <v>0.108615</v>
      </c>
      <c r="O36" s="43">
        <f>COUNTIF(Vertices[Eigenvector Centrality], "&gt;= " &amp; N36) - COUNTIF(Vertices[Eigenvector Centrality], "&gt;=" &amp;#REF!)</f>
        <v>1</v>
      </c>
      <c r="P36" s="42">
        <f>MAX(Vertices[PageRank])</f>
        <v>8.4298129999999993</v>
      </c>
      <c r="Q36" s="43">
        <f>COUNTIF(Vertices[PageRank], "&gt;= " &amp; P36) - COUNTIF(Vertices[PageRank], "&gt;=" &amp;#REF!)</f>
        <v>1</v>
      </c>
      <c r="R36" s="42">
        <f>MAX(Vertices[Clustering Coefficient])</f>
        <v>1</v>
      </c>
      <c r="S36" s="46">
        <f>COUNTIF(Vertices[Clustering Coefficient], "&gt;= " &amp; R36) - COUNTIF(Vertices[Clustering Coefficient], "&gt;=" &amp;#REF!)</f>
        <v>30</v>
      </c>
      <c r="T36" s="42">
        <f ca="1">MAX(INDIRECT(DynamicFilterSourceColumnRange))</f>
        <v>79317</v>
      </c>
      <c r="U36" s="43">
        <f ca="1">COUNTIF(INDIRECT(DynamicFilterSourceColumnRange), "&gt;= " &amp; T36) - COUNTIF(INDIRECT(DynamicFilterSourceColumnRange), "&gt;=" &amp;#REF!)</f>
        <v>1</v>
      </c>
    </row>
    <row r="37" spans="1:21" x14ac:dyDescent="0.25">
      <c r="A37" s="35" t="s">
        <v>1550</v>
      </c>
      <c r="B37" s="35" t="s">
        <v>85</v>
      </c>
    </row>
    <row r="38" spans="1:21" x14ac:dyDescent="0.25">
      <c r="A38" s="35" t="s">
        <v>1551</v>
      </c>
      <c r="B38" s="35" t="s">
        <v>85</v>
      </c>
    </row>
    <row r="39" spans="1:21" x14ac:dyDescent="0.25">
      <c r="A39" s="35" t="s">
        <v>1552</v>
      </c>
      <c r="B39" s="35" t="s">
        <v>85</v>
      </c>
    </row>
    <row r="40" spans="1:21" x14ac:dyDescent="0.25">
      <c r="A40" s="35" t="s">
        <v>21</v>
      </c>
      <c r="B40" s="35" t="s">
        <v>85</v>
      </c>
    </row>
    <row r="41" spans="1:21" x14ac:dyDescent="0.25">
      <c r="A41" s="35" t="s">
        <v>1553</v>
      </c>
      <c r="B41" s="35" t="s">
        <v>85</v>
      </c>
    </row>
    <row r="42" spans="1:21" x14ac:dyDescent="0.25">
      <c r="A42" s="35" t="s">
        <v>1554</v>
      </c>
      <c r="B42" s="35" t="s">
        <v>85</v>
      </c>
    </row>
    <row r="43" spans="1:21" x14ac:dyDescent="0.25">
      <c r="A43" s="35" t="s">
        <v>1555</v>
      </c>
      <c r="B43" s="35" t="s">
        <v>85</v>
      </c>
    </row>
    <row r="53" spans="1:2" x14ac:dyDescent="0.25">
      <c r="A53" t="s">
        <v>162</v>
      </c>
      <c r="B53" t="s">
        <v>17</v>
      </c>
    </row>
    <row r="54" spans="1:2" x14ac:dyDescent="0.25">
      <c r="A54" s="34"/>
      <c r="B54" s="34"/>
    </row>
    <row r="67" spans="1:2" x14ac:dyDescent="0.25">
      <c r="A67" s="34" t="s">
        <v>81</v>
      </c>
      <c r="B67" s="47" t="str">
        <f>IF(COUNT(Vertices[Degree])&gt;0, D2, NoMetricMessage)</f>
        <v>Not Available</v>
      </c>
    </row>
    <row r="68" spans="1:2" x14ac:dyDescent="0.25">
      <c r="A68" s="34" t="s">
        <v>82</v>
      </c>
      <c r="B68" s="47" t="str">
        <f>IF(COUNT(Vertices[Degree])&gt;0, D36, NoMetricMessage)</f>
        <v>Not Available</v>
      </c>
    </row>
    <row r="69" spans="1:2" x14ac:dyDescent="0.25">
      <c r="A69" s="34" t="s">
        <v>83</v>
      </c>
      <c r="B69" s="48" t="str">
        <f>IFERROR(AVERAGE(Vertices[Degree]),NoMetricMessage)</f>
        <v>Not Available</v>
      </c>
    </row>
    <row r="70" spans="1:2" x14ac:dyDescent="0.25">
      <c r="A70" s="34" t="s">
        <v>84</v>
      </c>
      <c r="B70" s="48" t="str">
        <f>IFERROR(MEDIAN(Vertices[Degree]),NoMetricMessage)</f>
        <v>Not Available</v>
      </c>
    </row>
    <row r="81" spans="1:2" x14ac:dyDescent="0.25">
      <c r="A81" s="34" t="s">
        <v>88</v>
      </c>
      <c r="B81" s="47">
        <f>IF(COUNT(Vertices[In-Degree])&gt;0, F2, NoMetricMessage)</f>
        <v>0</v>
      </c>
    </row>
    <row r="82" spans="1:2" x14ac:dyDescent="0.25">
      <c r="A82" s="34" t="s">
        <v>89</v>
      </c>
      <c r="B82" s="47">
        <f>IF(COUNT(Vertices[In-Degree])&gt;0, F36, NoMetricMessage)</f>
        <v>31</v>
      </c>
    </row>
    <row r="83" spans="1:2" x14ac:dyDescent="0.25">
      <c r="A83" s="34" t="s">
        <v>90</v>
      </c>
      <c r="B83" s="48">
        <f>IFERROR(AVERAGE(Vertices[In-Degree]),NoMetricMessage)</f>
        <v>1.6885245901639345</v>
      </c>
    </row>
    <row r="84" spans="1:2" x14ac:dyDescent="0.25">
      <c r="A84" s="34" t="s">
        <v>91</v>
      </c>
      <c r="B84" s="48">
        <f>IFERROR(MEDIAN(Vertices[In-Degree]),NoMetricMessage)</f>
        <v>1</v>
      </c>
    </row>
    <row r="95" spans="1:2" x14ac:dyDescent="0.25">
      <c r="A95" s="34" t="s">
        <v>94</v>
      </c>
      <c r="B95" s="47">
        <f>IF(COUNT(Vertices[Out-Degree])&gt;0, H2, NoMetricMessage)</f>
        <v>0</v>
      </c>
    </row>
    <row r="96" spans="1:2" x14ac:dyDescent="0.25">
      <c r="A96" s="34" t="s">
        <v>95</v>
      </c>
      <c r="B96" s="47">
        <f>IF(COUNT(Vertices[Out-Degree])&gt;0, H36, NoMetricMessage)</f>
        <v>10</v>
      </c>
    </row>
    <row r="97" spans="1:2" x14ac:dyDescent="0.25">
      <c r="A97" s="34" t="s">
        <v>96</v>
      </c>
      <c r="B97" s="48">
        <f>IFERROR(AVERAGE(Vertices[Out-Degree]),NoMetricMessage)</f>
        <v>1.6885245901639345</v>
      </c>
    </row>
    <row r="98" spans="1:2" x14ac:dyDescent="0.25">
      <c r="A98" s="34" t="s">
        <v>97</v>
      </c>
      <c r="B98" s="48">
        <f>IFERROR(MEDIAN(Vertices[Out-Degree]),NoMetricMessage)</f>
        <v>2</v>
      </c>
    </row>
    <row r="109" spans="1:2" x14ac:dyDescent="0.25">
      <c r="A109" s="34" t="s">
        <v>100</v>
      </c>
      <c r="B109" s="48">
        <f>IF(COUNT(Vertices[Betweenness Centrality])&gt;0, J2, NoMetricMessage)</f>
        <v>0</v>
      </c>
    </row>
    <row r="110" spans="1:2" x14ac:dyDescent="0.25">
      <c r="A110" s="34" t="s">
        <v>101</v>
      </c>
      <c r="B110" s="48">
        <f>IF(COUNT(Vertices[Betweenness Centrality])&gt;0, J36, NoMetricMessage)</f>
        <v>2696.8571430000002</v>
      </c>
    </row>
    <row r="111" spans="1:2" x14ac:dyDescent="0.25">
      <c r="A111" s="34" t="s">
        <v>102</v>
      </c>
      <c r="B111" s="48">
        <f>IFERROR(AVERAGE(Vertices[Betweenness Centrality]),NoMetricMessage)</f>
        <v>49.836065590163948</v>
      </c>
    </row>
    <row r="112" spans="1:2" x14ac:dyDescent="0.25">
      <c r="A112" s="34" t="s">
        <v>103</v>
      </c>
      <c r="B112" s="48">
        <f>IFERROR(MEDIAN(Vertices[Betweenness Centrality]),NoMetricMessage)</f>
        <v>0</v>
      </c>
    </row>
    <row r="123" spans="1:2" x14ac:dyDescent="0.25">
      <c r="A123" s="34" t="s">
        <v>106</v>
      </c>
      <c r="B123" s="48">
        <f>IF(COUNT(Vertices[Closeness Centrality])&gt;0, L2, NoMetricMessage)</f>
        <v>0</v>
      </c>
    </row>
    <row r="124" spans="1:2" x14ac:dyDescent="0.25">
      <c r="A124" s="34" t="s">
        <v>107</v>
      </c>
      <c r="B124" s="48">
        <f>IF(COUNT(Vertices[Closeness Centrality])&gt;0, L36, NoMetricMessage)</f>
        <v>1</v>
      </c>
    </row>
    <row r="125" spans="1:2" x14ac:dyDescent="0.25">
      <c r="A125" s="34" t="s">
        <v>108</v>
      </c>
      <c r="B125" s="48">
        <f>IFERROR(AVERAGE(Vertices[Closeness Centrality]),NoMetricMessage)</f>
        <v>0.15811021311475401</v>
      </c>
    </row>
    <row r="126" spans="1:2" x14ac:dyDescent="0.25">
      <c r="A126" s="34" t="s">
        <v>109</v>
      </c>
      <c r="B126" s="48">
        <f>IFERROR(MEDIAN(Vertices[Closeness Centrality]),NoMetricMessage)</f>
        <v>8.0000000000000002E-3</v>
      </c>
    </row>
    <row r="137" spans="1:2" x14ac:dyDescent="0.25">
      <c r="A137" s="34" t="s">
        <v>112</v>
      </c>
      <c r="B137" s="48">
        <f>IF(COUNT(Vertices[Eigenvector Centrality])&gt;0, N2, NoMetricMessage)</f>
        <v>0</v>
      </c>
    </row>
    <row r="138" spans="1:2" x14ac:dyDescent="0.25">
      <c r="A138" s="34" t="s">
        <v>113</v>
      </c>
      <c r="B138" s="48">
        <f>IF(COUNT(Vertices[Eigenvector Centrality])&gt;0, N36, NoMetricMessage)</f>
        <v>0.108615</v>
      </c>
    </row>
    <row r="139" spans="1:2" x14ac:dyDescent="0.25">
      <c r="A139" s="34" t="s">
        <v>114</v>
      </c>
      <c r="B139" s="48">
        <f>IFERROR(AVERAGE(Vertices[Eigenvector Centrality]),NoMetricMessage)</f>
        <v>8.1967131147541034E-3</v>
      </c>
    </row>
    <row r="140" spans="1:2" x14ac:dyDescent="0.25">
      <c r="A140" s="34" t="s">
        <v>115</v>
      </c>
      <c r="B140" s="48">
        <f>IFERROR(MEDIAN(Vertices[Eigenvector Centrality]),NoMetricMessage)</f>
        <v>6.0000000000000002E-6</v>
      </c>
    </row>
    <row r="151" spans="1:2" x14ac:dyDescent="0.25">
      <c r="A151" s="34" t="s">
        <v>139</v>
      </c>
      <c r="B151" s="48">
        <f>IF(COUNT(Vertices[PageRank])&gt;0, P2, NoMetricMessage)</f>
        <v>0.31792599999999999</v>
      </c>
    </row>
    <row r="152" spans="1:2" x14ac:dyDescent="0.25">
      <c r="A152" s="34" t="s">
        <v>140</v>
      </c>
      <c r="B152" s="48">
        <f>IF(COUNT(Vertices[PageRank])&gt;0, P36, NoMetricMessage)</f>
        <v>8.4298129999999993</v>
      </c>
    </row>
    <row r="153" spans="1:2" x14ac:dyDescent="0.25">
      <c r="A153" s="34" t="s">
        <v>141</v>
      </c>
      <c r="B153" s="48">
        <f>IFERROR(AVERAGE(Vertices[PageRank]),NoMetricMessage)</f>
        <v>0.99999578688524415</v>
      </c>
    </row>
    <row r="154" spans="1:2" x14ac:dyDescent="0.25">
      <c r="A154" s="34" t="s">
        <v>142</v>
      </c>
      <c r="B154" s="48">
        <f>IFERROR(MEDIAN(Vertices[PageRank]),NoMetricMessage)</f>
        <v>0.74452600000000002</v>
      </c>
    </row>
    <row r="165" spans="1:2" x14ac:dyDescent="0.25">
      <c r="A165" s="34" t="s">
        <v>118</v>
      </c>
      <c r="B165" s="48">
        <f>IF(COUNT(Vertices[Clustering Coefficient])&gt;0, R2, NoMetricMessage)</f>
        <v>0</v>
      </c>
    </row>
    <row r="166" spans="1:2" x14ac:dyDescent="0.25">
      <c r="A166" s="34" t="s">
        <v>119</v>
      </c>
      <c r="B166" s="48">
        <f>IF(COUNT(Vertices[Clustering Coefficient])&gt;0, R36, NoMetricMessage)</f>
        <v>1</v>
      </c>
    </row>
    <row r="167" spans="1:2" x14ac:dyDescent="0.25">
      <c r="A167" s="34" t="s">
        <v>120</v>
      </c>
      <c r="B167" s="48">
        <f>IFERROR(AVERAGE(Vertices[Clustering Coefficient]),NoMetricMessage)</f>
        <v>0.37591075740000313</v>
      </c>
    </row>
    <row r="168" spans="1:2" x14ac:dyDescent="0.25">
      <c r="A168" s="34" t="s">
        <v>121</v>
      </c>
      <c r="B168" s="48">
        <f>IFERROR(MEDIAN(Vertices[Clustering Coefficient]),NoMetricMessage)</f>
        <v>0.22500000000000001</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7"/>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130</v>
      </c>
      <c r="C1" s="4" t="s">
        <v>7</v>
      </c>
      <c r="D1" s="4" t="s">
        <v>9</v>
      </c>
      <c r="E1" s="4" t="s">
        <v>163</v>
      </c>
      <c r="F1" s="5" t="s">
        <v>168</v>
      </c>
      <c r="G1" s="4" t="s">
        <v>14</v>
      </c>
      <c r="H1" s="4" t="s">
        <v>67</v>
      </c>
      <c r="J1" s="4" t="s">
        <v>18</v>
      </c>
      <c r="K1" s="4" t="s">
        <v>17</v>
      </c>
      <c r="M1" s="4" t="s">
        <v>22</v>
      </c>
      <c r="N1" s="4" t="s">
        <v>23</v>
      </c>
      <c r="O1" s="4" t="s">
        <v>24</v>
      </c>
      <c r="P1" s="4" t="s">
        <v>25</v>
      </c>
    </row>
    <row r="2" spans="1:18" x14ac:dyDescent="0.25">
      <c r="A2" s="1" t="s">
        <v>51</v>
      </c>
      <c r="B2" s="1" t="s">
        <v>131</v>
      </c>
      <c r="C2" t="s">
        <v>54</v>
      </c>
      <c r="D2" t="s">
        <v>55</v>
      </c>
      <c r="E2" t="s">
        <v>55</v>
      </c>
      <c r="F2" s="1" t="s">
        <v>51</v>
      </c>
      <c r="G2" t="s">
        <v>65</v>
      </c>
      <c r="H2" t="s">
        <v>158</v>
      </c>
      <c r="J2" t="s">
        <v>19</v>
      </c>
      <c r="K2">
        <v>108</v>
      </c>
      <c r="M2" t="s">
        <v>1538</v>
      </c>
      <c r="N2" t="s">
        <v>3</v>
      </c>
      <c r="O2">
        <v>3</v>
      </c>
      <c r="P2">
        <v>10</v>
      </c>
    </row>
    <row r="3" spans="1:18" x14ac:dyDescent="0.25">
      <c r="A3" s="1" t="s">
        <v>52</v>
      </c>
      <c r="B3" s="1" t="s">
        <v>132</v>
      </c>
      <c r="C3" t="s">
        <v>52</v>
      </c>
      <c r="D3" t="s">
        <v>56</v>
      </c>
      <c r="E3" t="s">
        <v>56</v>
      </c>
      <c r="F3" s="1" t="s">
        <v>52</v>
      </c>
      <c r="G3" t="s">
        <v>66</v>
      </c>
      <c r="H3" t="s">
        <v>68</v>
      </c>
      <c r="J3" t="s">
        <v>30</v>
      </c>
      <c r="K3" t="s">
        <v>1499</v>
      </c>
      <c r="M3" t="s">
        <v>1538</v>
      </c>
      <c r="N3" t="s">
        <v>4</v>
      </c>
      <c r="O3">
        <v>20</v>
      </c>
      <c r="P3">
        <v>40</v>
      </c>
    </row>
    <row r="4" spans="1:18" x14ac:dyDescent="0.25">
      <c r="A4" s="1" t="s">
        <v>53</v>
      </c>
      <c r="B4" s="1" t="s">
        <v>133</v>
      </c>
      <c r="C4" t="s">
        <v>53</v>
      </c>
      <c r="D4" t="s">
        <v>57</v>
      </c>
      <c r="E4" t="s">
        <v>57</v>
      </c>
      <c r="F4" s="1" t="s">
        <v>53</v>
      </c>
      <c r="G4">
        <v>0</v>
      </c>
      <c r="H4" t="s">
        <v>69</v>
      </c>
      <c r="J4" s="12" t="s">
        <v>78</v>
      </c>
      <c r="K4" s="12"/>
      <c r="M4" t="s">
        <v>1538</v>
      </c>
      <c r="N4" t="s">
        <v>176</v>
      </c>
      <c r="O4">
        <v>44389.924675925897</v>
      </c>
      <c r="P4">
        <v>44409.849305555603</v>
      </c>
    </row>
    <row r="5" spans="1:18" ht="409.5" x14ac:dyDescent="0.25">
      <c r="A5">
        <v>1</v>
      </c>
      <c r="B5" s="1" t="s">
        <v>134</v>
      </c>
      <c r="C5" t="s">
        <v>51</v>
      </c>
      <c r="D5" t="s">
        <v>58</v>
      </c>
      <c r="E5" t="s">
        <v>58</v>
      </c>
      <c r="F5">
        <v>1</v>
      </c>
      <c r="G5">
        <v>1</v>
      </c>
      <c r="H5" t="s">
        <v>70</v>
      </c>
      <c r="J5" t="s">
        <v>171</v>
      </c>
      <c r="K5" s="13" t="s">
        <v>2121</v>
      </c>
      <c r="M5" t="s">
        <v>1538</v>
      </c>
      <c r="N5" t="s">
        <v>183</v>
      </c>
      <c r="O5">
        <v>44389.924675925897</v>
      </c>
      <c r="P5">
        <v>44409.849305555603</v>
      </c>
    </row>
    <row r="6" spans="1:18" x14ac:dyDescent="0.25">
      <c r="A6">
        <v>0</v>
      </c>
      <c r="B6" s="1" t="s">
        <v>135</v>
      </c>
      <c r="C6">
        <v>1</v>
      </c>
      <c r="D6" t="s">
        <v>59</v>
      </c>
      <c r="E6" t="s">
        <v>59</v>
      </c>
      <c r="F6">
        <v>0</v>
      </c>
      <c r="H6" t="s">
        <v>71</v>
      </c>
      <c r="J6" t="s">
        <v>172</v>
      </c>
      <c r="K6">
        <v>3</v>
      </c>
      <c r="M6" t="s">
        <v>1538</v>
      </c>
      <c r="N6" t="s">
        <v>184</v>
      </c>
      <c r="O6">
        <v>44389</v>
      </c>
      <c r="P6">
        <v>44409</v>
      </c>
      <c r="R6" t="s">
        <v>128</v>
      </c>
    </row>
    <row r="7" spans="1:18" x14ac:dyDescent="0.25">
      <c r="A7">
        <v>2</v>
      </c>
      <c r="B7">
        <v>1</v>
      </c>
      <c r="C7">
        <v>0</v>
      </c>
      <c r="D7" t="s">
        <v>60</v>
      </c>
      <c r="E7" t="s">
        <v>60</v>
      </c>
      <c r="F7">
        <v>2</v>
      </c>
      <c r="H7" t="s">
        <v>72</v>
      </c>
      <c r="J7" t="s">
        <v>173</v>
      </c>
      <c r="K7" t="s">
        <v>2118</v>
      </c>
      <c r="M7" t="s">
        <v>1538</v>
      </c>
      <c r="N7" t="s">
        <v>192</v>
      </c>
      <c r="O7">
        <v>0</v>
      </c>
      <c r="P7">
        <v>337</v>
      </c>
    </row>
    <row r="8" spans="1:18" ht="409.5" x14ac:dyDescent="0.25">
      <c r="A8"/>
      <c r="B8">
        <v>2</v>
      </c>
      <c r="C8">
        <v>2</v>
      </c>
      <c r="D8" t="s">
        <v>61</v>
      </c>
      <c r="E8" t="s">
        <v>61</v>
      </c>
      <c r="H8" t="s">
        <v>73</v>
      </c>
      <c r="J8" t="s">
        <v>174</v>
      </c>
      <c r="K8" s="13" t="s">
        <v>1534</v>
      </c>
      <c r="M8" t="s">
        <v>1538</v>
      </c>
      <c r="N8" t="s">
        <v>199</v>
      </c>
      <c r="O8">
        <v>0</v>
      </c>
      <c r="P8">
        <v>21</v>
      </c>
    </row>
    <row r="9" spans="1:18" ht="409.5" x14ac:dyDescent="0.25">
      <c r="A9"/>
      <c r="B9">
        <v>3</v>
      </c>
      <c r="C9">
        <v>4</v>
      </c>
      <c r="D9" t="s">
        <v>62</v>
      </c>
      <c r="E9" t="s">
        <v>62</v>
      </c>
      <c r="H9" t="s">
        <v>74</v>
      </c>
      <c r="J9" t="s">
        <v>1533</v>
      </c>
      <c r="K9" s="13" t="s">
        <v>2122</v>
      </c>
      <c r="M9" t="s">
        <v>1538</v>
      </c>
      <c r="N9" t="s">
        <v>1500</v>
      </c>
      <c r="O9">
        <v>1</v>
      </c>
      <c r="P9">
        <v>22</v>
      </c>
    </row>
    <row r="10" spans="1:18" ht="409.5" x14ac:dyDescent="0.25">
      <c r="A10"/>
      <c r="B10">
        <v>4</v>
      </c>
      <c r="D10" t="s">
        <v>63</v>
      </c>
      <c r="E10" t="s">
        <v>63</v>
      </c>
      <c r="H10" t="s">
        <v>75</v>
      </c>
      <c r="J10" t="s">
        <v>2119</v>
      </c>
      <c r="K10" s="13" t="s">
        <v>2123</v>
      </c>
      <c r="M10" t="s">
        <v>145</v>
      </c>
      <c r="N10" t="s">
        <v>45</v>
      </c>
      <c r="O10">
        <v>20</v>
      </c>
      <c r="P10">
        <v>200</v>
      </c>
    </row>
    <row r="11" spans="1:18" x14ac:dyDescent="0.25">
      <c r="A11"/>
      <c r="B11">
        <v>5</v>
      </c>
      <c r="D11" t="s">
        <v>46</v>
      </c>
      <c r="E11">
        <v>1</v>
      </c>
      <c r="H11" t="s">
        <v>76</v>
      </c>
      <c r="M11" t="s">
        <v>145</v>
      </c>
      <c r="N11" t="s">
        <v>27</v>
      </c>
      <c r="O11">
        <v>1</v>
      </c>
      <c r="P11">
        <v>9999</v>
      </c>
    </row>
    <row r="12" spans="1:18" x14ac:dyDescent="0.25">
      <c r="A12"/>
      <c r="B12"/>
      <c r="D12" t="s">
        <v>64</v>
      </c>
      <c r="E12">
        <v>2</v>
      </c>
      <c r="H12">
        <v>0</v>
      </c>
      <c r="M12" t="s">
        <v>145</v>
      </c>
      <c r="N12" t="s">
        <v>15</v>
      </c>
      <c r="O12">
        <v>155.04254150390599</v>
      </c>
      <c r="P12">
        <v>9843.95703125</v>
      </c>
    </row>
    <row r="13" spans="1:18" x14ac:dyDescent="0.25">
      <c r="A13"/>
      <c r="B13"/>
      <c r="D13">
        <v>1</v>
      </c>
      <c r="E13">
        <v>3</v>
      </c>
      <c r="H13">
        <v>1</v>
      </c>
      <c r="M13" t="s">
        <v>145</v>
      </c>
      <c r="N13" t="s">
        <v>16</v>
      </c>
      <c r="O13">
        <v>415.63308715820301</v>
      </c>
      <c r="P13">
        <v>9583.3671875</v>
      </c>
    </row>
    <row r="14" spans="1:18" x14ac:dyDescent="0.25">
      <c r="D14">
        <v>2</v>
      </c>
      <c r="E14">
        <v>4</v>
      </c>
      <c r="H14">
        <v>2</v>
      </c>
      <c r="M14" t="s">
        <v>145</v>
      </c>
      <c r="N14" t="s">
        <v>32</v>
      </c>
      <c r="O14">
        <v>0</v>
      </c>
      <c r="P14">
        <v>31</v>
      </c>
    </row>
    <row r="15" spans="1:18" x14ac:dyDescent="0.25">
      <c r="D15">
        <v>3</v>
      </c>
      <c r="E15">
        <v>5</v>
      </c>
      <c r="H15">
        <v>3</v>
      </c>
      <c r="M15" t="s">
        <v>145</v>
      </c>
      <c r="N15" t="s">
        <v>33</v>
      </c>
      <c r="O15">
        <v>0</v>
      </c>
      <c r="P15">
        <v>10</v>
      </c>
    </row>
    <row r="16" spans="1:18" x14ac:dyDescent="0.25">
      <c r="D16">
        <v>4</v>
      </c>
      <c r="E16">
        <v>6</v>
      </c>
      <c r="H16">
        <v>4</v>
      </c>
      <c r="M16" t="s">
        <v>145</v>
      </c>
      <c r="N16" t="s">
        <v>34</v>
      </c>
      <c r="O16">
        <v>0</v>
      </c>
      <c r="P16">
        <v>2696.8571430000002</v>
      </c>
    </row>
    <row r="17" spans="4:16" x14ac:dyDescent="0.25">
      <c r="D17">
        <v>5</v>
      </c>
      <c r="E17">
        <v>7</v>
      </c>
      <c r="H17">
        <v>5</v>
      </c>
      <c r="M17" t="s">
        <v>145</v>
      </c>
      <c r="N17" t="s">
        <v>35</v>
      </c>
      <c r="O17">
        <v>0</v>
      </c>
      <c r="P17">
        <v>1</v>
      </c>
    </row>
    <row r="18" spans="4:16" x14ac:dyDescent="0.25">
      <c r="D18">
        <v>6</v>
      </c>
      <c r="E18">
        <v>8</v>
      </c>
      <c r="H18">
        <v>6</v>
      </c>
      <c r="M18" t="s">
        <v>145</v>
      </c>
      <c r="N18" t="s">
        <v>36</v>
      </c>
      <c r="O18">
        <v>0</v>
      </c>
      <c r="P18">
        <v>0.108615</v>
      </c>
    </row>
    <row r="19" spans="4:16" x14ac:dyDescent="0.25">
      <c r="D19">
        <v>7</v>
      </c>
      <c r="E19">
        <v>9</v>
      </c>
      <c r="H19">
        <v>7</v>
      </c>
      <c r="M19" t="s">
        <v>145</v>
      </c>
      <c r="N19" t="s">
        <v>136</v>
      </c>
      <c r="O19">
        <v>0.31792599999999999</v>
      </c>
      <c r="P19">
        <v>8.4298129999999993</v>
      </c>
    </row>
    <row r="20" spans="4:16" x14ac:dyDescent="0.25">
      <c r="D20">
        <v>8</v>
      </c>
      <c r="H20">
        <v>8</v>
      </c>
      <c r="M20" t="s">
        <v>145</v>
      </c>
      <c r="N20" t="s">
        <v>37</v>
      </c>
      <c r="O20">
        <v>0</v>
      </c>
      <c r="P20">
        <v>1</v>
      </c>
    </row>
    <row r="21" spans="4:16" x14ac:dyDescent="0.25">
      <c r="D21">
        <v>9</v>
      </c>
      <c r="H21">
        <v>9</v>
      </c>
      <c r="M21" t="s">
        <v>145</v>
      </c>
      <c r="N21" t="s">
        <v>169</v>
      </c>
      <c r="O21">
        <v>0</v>
      </c>
      <c r="P21">
        <v>1</v>
      </c>
    </row>
    <row r="22" spans="4:16" x14ac:dyDescent="0.25">
      <c r="D22">
        <v>10</v>
      </c>
      <c r="M22" t="s">
        <v>145</v>
      </c>
      <c r="N22" t="s">
        <v>934</v>
      </c>
      <c r="O22">
        <v>0</v>
      </c>
      <c r="P22">
        <v>12976</v>
      </c>
    </row>
    <row r="23" spans="4:16" x14ac:dyDescent="0.25">
      <c r="D23">
        <v>11</v>
      </c>
      <c r="M23" t="s">
        <v>145</v>
      </c>
      <c r="N23" t="s">
        <v>935</v>
      </c>
      <c r="O23">
        <v>0</v>
      </c>
      <c r="P23">
        <v>73047216</v>
      </c>
    </row>
    <row r="24" spans="4:16" x14ac:dyDescent="0.25">
      <c r="M24" t="s">
        <v>145</v>
      </c>
      <c r="N24" t="s">
        <v>936</v>
      </c>
      <c r="O24">
        <v>0</v>
      </c>
      <c r="P24">
        <v>729873</v>
      </c>
    </row>
    <row r="25" spans="4:16" x14ac:dyDescent="0.25">
      <c r="M25" t="s">
        <v>145</v>
      </c>
      <c r="N25" t="s">
        <v>937</v>
      </c>
      <c r="O25">
        <v>0</v>
      </c>
      <c r="P25">
        <v>646770</v>
      </c>
    </row>
    <row r="26" spans="4:16" x14ac:dyDescent="0.25">
      <c r="M26" t="s">
        <v>145</v>
      </c>
      <c r="N26" t="s">
        <v>943</v>
      </c>
      <c r="O26">
        <v>39254</v>
      </c>
      <c r="P26">
        <v>44356.618981481501</v>
      </c>
    </row>
    <row r="27" spans="4:16" x14ac:dyDescent="0.25">
      <c r="M27" t="s">
        <v>145</v>
      </c>
      <c r="N27" t="s">
        <v>948</v>
      </c>
      <c r="O27">
        <v>0</v>
      </c>
      <c r="P27">
        <v>79317</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9EFA1-CBCE-42FA-8248-4293672809A2}">
  <dimension ref="A1:C22"/>
  <sheetViews>
    <sheetView workbookViewId="0"/>
  </sheetViews>
  <sheetFormatPr defaultRowHeight="15" x14ac:dyDescent="0.25"/>
  <cols>
    <col min="1" max="1" width="10.140625" customWidth="1"/>
    <col min="2" max="2" width="10.140625" bestFit="1" customWidth="1"/>
    <col min="3" max="3" width="13.42578125" bestFit="1" customWidth="1"/>
  </cols>
  <sheetData>
    <row r="1" spans="1:3" x14ac:dyDescent="0.25">
      <c r="C1" s="34" t="s">
        <v>42</v>
      </c>
    </row>
    <row r="2" spans="1:3" ht="15" customHeight="1" x14ac:dyDescent="0.25">
      <c r="A2" s="13" t="s">
        <v>1536</v>
      </c>
      <c r="B2" s="120" t="s">
        <v>1537</v>
      </c>
      <c r="C2" s="121" t="s">
        <v>1538</v>
      </c>
    </row>
    <row r="3" spans="1:3" x14ac:dyDescent="0.25">
      <c r="A3" s="119" t="s">
        <v>1501</v>
      </c>
      <c r="B3" s="119" t="s">
        <v>1501</v>
      </c>
      <c r="C3" s="35">
        <v>73</v>
      </c>
    </row>
    <row r="4" spans="1:3" x14ac:dyDescent="0.25">
      <c r="A4" s="119" t="s">
        <v>1502</v>
      </c>
      <c r="B4" s="128" t="s">
        <v>1502</v>
      </c>
      <c r="C4" s="35">
        <v>52</v>
      </c>
    </row>
    <row r="5" spans="1:3" x14ac:dyDescent="0.25">
      <c r="A5" s="119" t="s">
        <v>1503</v>
      </c>
      <c r="B5" s="128" t="s">
        <v>1501</v>
      </c>
      <c r="C5" s="35">
        <v>6</v>
      </c>
    </row>
    <row r="6" spans="1:3" x14ac:dyDescent="0.25">
      <c r="A6" s="119" t="s">
        <v>1503</v>
      </c>
      <c r="B6" s="128" t="s">
        <v>1503</v>
      </c>
      <c r="C6" s="35">
        <v>130</v>
      </c>
    </row>
    <row r="7" spans="1:3" x14ac:dyDescent="0.25">
      <c r="A7" s="119" t="s">
        <v>1504</v>
      </c>
      <c r="B7" s="128" t="s">
        <v>1501</v>
      </c>
      <c r="C7" s="35">
        <v>1</v>
      </c>
    </row>
    <row r="8" spans="1:3" x14ac:dyDescent="0.25">
      <c r="A8" s="119" t="s">
        <v>1504</v>
      </c>
      <c r="B8" s="128" t="s">
        <v>1504</v>
      </c>
      <c r="C8" s="35">
        <v>14</v>
      </c>
    </row>
    <row r="9" spans="1:3" x14ac:dyDescent="0.25">
      <c r="A9" s="119" t="s">
        <v>1505</v>
      </c>
      <c r="B9" s="128" t="s">
        <v>1505</v>
      </c>
      <c r="C9" s="35">
        <v>35</v>
      </c>
    </row>
    <row r="10" spans="1:3" x14ac:dyDescent="0.25">
      <c r="A10" s="119" t="s">
        <v>1506</v>
      </c>
      <c r="B10" s="128" t="s">
        <v>1501</v>
      </c>
      <c r="C10" s="35">
        <v>2</v>
      </c>
    </row>
    <row r="11" spans="1:3" x14ac:dyDescent="0.25">
      <c r="A11" s="119" t="s">
        <v>1506</v>
      </c>
      <c r="B11" s="128" t="s">
        <v>1506</v>
      </c>
      <c r="C11" s="35">
        <v>4</v>
      </c>
    </row>
    <row r="12" spans="1:3" x14ac:dyDescent="0.25">
      <c r="A12" s="119" t="s">
        <v>1507</v>
      </c>
      <c r="B12" s="128" t="s">
        <v>1507</v>
      </c>
      <c r="C12" s="35">
        <v>8</v>
      </c>
    </row>
    <row r="13" spans="1:3" x14ac:dyDescent="0.25">
      <c r="A13" s="119" t="s">
        <v>1508</v>
      </c>
      <c r="B13" s="128" t="s">
        <v>1508</v>
      </c>
      <c r="C13" s="35">
        <v>8</v>
      </c>
    </row>
    <row r="14" spans="1:3" x14ac:dyDescent="0.25">
      <c r="A14" s="119" t="s">
        <v>1509</v>
      </c>
      <c r="B14" s="128" t="s">
        <v>1509</v>
      </c>
      <c r="C14" s="35">
        <v>5</v>
      </c>
    </row>
    <row r="15" spans="1:3" x14ac:dyDescent="0.25">
      <c r="A15" s="119" t="s">
        <v>1510</v>
      </c>
      <c r="B15" s="128" t="s">
        <v>1510</v>
      </c>
      <c r="C15" s="35">
        <v>2</v>
      </c>
    </row>
    <row r="16" spans="1:3" x14ac:dyDescent="0.25">
      <c r="A16" s="119" t="s">
        <v>1511</v>
      </c>
      <c r="B16" s="128" t="s">
        <v>1511</v>
      </c>
      <c r="C16" s="35">
        <v>7</v>
      </c>
    </row>
    <row r="17" spans="1:3" x14ac:dyDescent="0.25">
      <c r="A17" s="119" t="s">
        <v>1512</v>
      </c>
      <c r="B17" s="128" t="s">
        <v>1512</v>
      </c>
      <c r="C17" s="35">
        <v>1</v>
      </c>
    </row>
    <row r="18" spans="1:3" x14ac:dyDescent="0.25">
      <c r="A18" s="119" t="s">
        <v>1513</v>
      </c>
      <c r="B18" s="128" t="s">
        <v>1513</v>
      </c>
      <c r="C18" s="35">
        <v>1</v>
      </c>
    </row>
    <row r="19" spans="1:3" x14ac:dyDescent="0.25">
      <c r="A19" s="119" t="s">
        <v>1514</v>
      </c>
      <c r="B19" s="128" t="s">
        <v>1514</v>
      </c>
      <c r="C19" s="35">
        <v>2</v>
      </c>
    </row>
    <row r="20" spans="1:3" x14ac:dyDescent="0.25">
      <c r="A20" s="119" t="s">
        <v>1515</v>
      </c>
      <c r="B20" s="128" t="s">
        <v>1515</v>
      </c>
      <c r="C20" s="35">
        <v>2</v>
      </c>
    </row>
    <row r="21" spans="1:3" x14ac:dyDescent="0.25">
      <c r="A21" s="119" t="s">
        <v>1516</v>
      </c>
      <c r="B21" s="128" t="s">
        <v>1516</v>
      </c>
      <c r="C21" s="35">
        <v>5</v>
      </c>
    </row>
    <row r="22" spans="1:3" x14ac:dyDescent="0.25">
      <c r="A22" s="129" t="s">
        <v>1517</v>
      </c>
      <c r="B22" s="128" t="s">
        <v>1517</v>
      </c>
      <c r="C22" s="35">
        <v>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47979-4248-4070-A691-047875B031A0}">
  <dimension ref="A1:BE362"/>
  <sheetViews>
    <sheetView workbookViewId="0">
      <pane xSplit="2" ySplit="2" topLeftCell="AY247" activePane="bottomRight" state="frozen"/>
      <selection pane="topRight" activeCell="C1" sqref="C1"/>
      <selection pane="bottomLeft" activeCell="A3" sqref="A3"/>
      <selection pane="bottomRight" activeCell="A253" sqref="A253:BE253 A116:BE116"/>
    </sheetView>
  </sheetViews>
  <sheetFormatPr defaultRowHeight="15" x14ac:dyDescent="0.25"/>
  <cols>
    <col min="1" max="1" width="16.5703125" style="1" customWidth="1"/>
    <col min="2" max="2" width="31"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9.5703125" customWidth="1"/>
    <col min="19" max="19" width="13.140625" bestFit="1" customWidth="1"/>
    <col min="20" max="20" width="13.28515625" bestFit="1" customWidth="1"/>
    <col min="21" max="21" width="11" bestFit="1" customWidth="1"/>
    <col min="22" max="22" width="14.7109375" bestFit="1" customWidth="1"/>
    <col min="23" max="23" width="16" customWidth="1"/>
    <col min="24" max="24" width="12.140625" customWidth="1"/>
    <col min="25" max="25" width="7.7109375" bestFit="1" customWidth="1"/>
    <col min="26" max="26" width="22" customWidth="1"/>
    <col min="27" max="27" width="10.5703125" bestFit="1" customWidth="1"/>
    <col min="28" max="28" width="12.140625" bestFit="1" customWidth="1"/>
    <col min="29" max="29" width="11.5703125" bestFit="1" customWidth="1"/>
    <col min="30" max="30" width="13.5703125" bestFit="1" customWidth="1"/>
    <col min="31" max="31" width="11.7109375" bestFit="1" customWidth="1"/>
    <col min="32" max="32" width="10.5703125" bestFit="1" customWidth="1"/>
    <col min="33" max="33" width="13.5703125" bestFit="1" customWidth="1"/>
    <col min="34" max="34" width="10.7109375" bestFit="1" customWidth="1"/>
    <col min="35" max="35" width="11.5703125" bestFit="1" customWidth="1"/>
    <col min="36" max="36" width="11.42578125" bestFit="1" customWidth="1"/>
    <col min="37" max="37" width="11" bestFit="1" customWidth="1"/>
    <col min="38" max="38" width="13.140625" bestFit="1" customWidth="1"/>
    <col min="39" max="39" width="10.85546875" bestFit="1" customWidth="1"/>
    <col min="40" max="40" width="13.140625" bestFit="1" customWidth="1"/>
    <col min="41" max="41" width="9.28515625" bestFit="1" customWidth="1"/>
    <col min="42" max="42" width="12.140625" bestFit="1" customWidth="1"/>
    <col min="43" max="43" width="12" bestFit="1" customWidth="1"/>
    <col min="44" max="44" width="13.5703125" bestFit="1" customWidth="1"/>
    <col min="45" max="45" width="20.85546875" bestFit="1" customWidth="1"/>
    <col min="46" max="46" width="19.7109375" bestFit="1" customWidth="1"/>
    <col min="47" max="47" width="17" bestFit="1" customWidth="1"/>
    <col min="48" max="48" width="10.28515625" bestFit="1" customWidth="1"/>
    <col min="49" max="49" width="15.5703125" bestFit="1" customWidth="1"/>
    <col min="50" max="50" width="11.7109375" bestFit="1" customWidth="1"/>
    <col min="51" max="51" width="10.28515625" bestFit="1" customWidth="1"/>
    <col min="52" max="52" width="8.5703125" bestFit="1" customWidth="1"/>
    <col min="53" max="54" width="8" bestFit="1" customWidth="1"/>
    <col min="55" max="55" width="14.42578125" customWidth="1"/>
    <col min="56" max="57" width="10.7109375" bestFit="1" customWidth="1"/>
  </cols>
  <sheetData>
    <row r="1" spans="1:57" x14ac:dyDescent="0.25">
      <c r="C1" s="17" t="s">
        <v>39</v>
      </c>
      <c r="D1" s="18"/>
      <c r="E1" s="18"/>
      <c r="F1" s="18"/>
      <c r="G1" s="17"/>
      <c r="H1" s="15" t="s">
        <v>43</v>
      </c>
      <c r="I1" s="52"/>
      <c r="J1" s="52"/>
      <c r="K1" s="34" t="s">
        <v>42</v>
      </c>
      <c r="L1" s="19" t="s">
        <v>40</v>
      </c>
      <c r="M1" s="19"/>
      <c r="N1" s="16" t="s">
        <v>41</v>
      </c>
    </row>
    <row r="2" spans="1:57" ht="30" customHeight="1" x14ac:dyDescent="0.25">
      <c r="A2" s="11" t="s">
        <v>0</v>
      </c>
      <c r="B2" s="11" t="s">
        <v>1</v>
      </c>
      <c r="C2" s="13" t="s">
        <v>2</v>
      </c>
      <c r="D2" s="13" t="s">
        <v>3</v>
      </c>
      <c r="E2" s="13" t="s">
        <v>129</v>
      </c>
      <c r="F2" s="13" t="s">
        <v>4</v>
      </c>
      <c r="G2" s="13" t="s">
        <v>11</v>
      </c>
      <c r="H2" s="11" t="s">
        <v>46</v>
      </c>
      <c r="I2" s="13" t="s">
        <v>159</v>
      </c>
      <c r="J2" s="13" t="s">
        <v>160</v>
      </c>
      <c r="K2" s="13" t="s">
        <v>164</v>
      </c>
      <c r="L2" s="13" t="s">
        <v>12</v>
      </c>
      <c r="M2" s="13" t="s">
        <v>38</v>
      </c>
      <c r="N2" s="13" t="s">
        <v>26</v>
      </c>
      <c r="O2" s="13" t="s">
        <v>175</v>
      </c>
      <c r="P2" s="13" t="s">
        <v>176</v>
      </c>
      <c r="Q2" s="13" t="s">
        <v>177</v>
      </c>
      <c r="R2" s="13" t="s">
        <v>178</v>
      </c>
      <c r="S2" s="13" t="s">
        <v>179</v>
      </c>
      <c r="T2" s="13" t="s">
        <v>180</v>
      </c>
      <c r="U2" s="13" t="s">
        <v>181</v>
      </c>
      <c r="V2" s="13" t="s">
        <v>182</v>
      </c>
      <c r="W2" s="13" t="s">
        <v>183</v>
      </c>
      <c r="X2" s="13" t="s">
        <v>184</v>
      </c>
      <c r="Y2" s="13" t="s">
        <v>185</v>
      </c>
      <c r="Z2" s="13" t="s">
        <v>186</v>
      </c>
      <c r="AA2" s="13" t="s">
        <v>187</v>
      </c>
      <c r="AB2" s="13" t="s">
        <v>188</v>
      </c>
      <c r="AC2" s="13" t="s">
        <v>189</v>
      </c>
      <c r="AD2" s="13" t="s">
        <v>190</v>
      </c>
      <c r="AE2" s="13" t="s">
        <v>191</v>
      </c>
      <c r="AF2" s="13" t="s">
        <v>192</v>
      </c>
      <c r="AG2" s="13" t="s">
        <v>193</v>
      </c>
      <c r="AH2" s="13" t="s">
        <v>194</v>
      </c>
      <c r="AI2" s="13" t="s">
        <v>195</v>
      </c>
      <c r="AJ2" s="13" t="s">
        <v>196</v>
      </c>
      <c r="AK2" s="13" t="s">
        <v>197</v>
      </c>
      <c r="AL2" s="13" t="s">
        <v>198</v>
      </c>
      <c r="AM2" s="13" t="s">
        <v>199</v>
      </c>
      <c r="AN2" s="13" t="s">
        <v>200</v>
      </c>
      <c r="AO2" s="13" t="s">
        <v>201</v>
      </c>
      <c r="AP2" s="13" t="s">
        <v>202</v>
      </c>
      <c r="AQ2" s="13" t="s">
        <v>203</v>
      </c>
      <c r="AR2" s="13" t="s">
        <v>204</v>
      </c>
      <c r="AS2" s="13" t="s">
        <v>205</v>
      </c>
      <c r="AT2" s="13" t="s">
        <v>206</v>
      </c>
      <c r="AU2" s="13" t="s">
        <v>207</v>
      </c>
      <c r="AV2" s="13" t="s">
        <v>208</v>
      </c>
      <c r="AW2" s="13" t="s">
        <v>209</v>
      </c>
      <c r="AX2" s="13" t="s">
        <v>210</v>
      </c>
      <c r="AY2" s="13" t="s">
        <v>211</v>
      </c>
      <c r="AZ2" s="13" t="s">
        <v>212</v>
      </c>
      <c r="BA2" s="13" t="s">
        <v>213</v>
      </c>
      <c r="BB2" s="13" t="s">
        <v>214</v>
      </c>
      <c r="BC2" t="s">
        <v>1500</v>
      </c>
      <c r="BD2" s="13" t="s">
        <v>1531</v>
      </c>
      <c r="BE2" s="13" t="s">
        <v>1532</v>
      </c>
    </row>
    <row r="3" spans="1:57" x14ac:dyDescent="0.25">
      <c r="A3" s="64" t="s">
        <v>294</v>
      </c>
      <c r="B3" s="64" t="s">
        <v>294</v>
      </c>
      <c r="C3" s="65"/>
      <c r="D3" s="66"/>
      <c r="E3" s="67"/>
      <c r="F3" s="68"/>
      <c r="G3" s="65"/>
      <c r="H3" s="69"/>
      <c r="I3" s="70"/>
      <c r="J3" s="70"/>
      <c r="K3" s="35" t="s">
        <v>65</v>
      </c>
      <c r="L3" s="77">
        <v>3</v>
      </c>
      <c r="M3" s="77"/>
      <c r="N3" s="72"/>
      <c r="O3" s="79" t="s">
        <v>177</v>
      </c>
      <c r="P3" s="81">
        <v>44402.676504629628</v>
      </c>
      <c r="Q3" s="79" t="s">
        <v>400</v>
      </c>
      <c r="R3" s="79"/>
      <c r="S3" s="79"/>
      <c r="T3" s="85" t="s">
        <v>491</v>
      </c>
      <c r="U3" s="83" t="str">
        <f>HYPERLINK("https://pbs.twimg.com/media/E7J5O47WEAIbSxX.jpg")</f>
        <v>https://pbs.twimg.com/media/E7J5O47WEAIbSxX.jpg</v>
      </c>
      <c r="V3" s="83" t="str">
        <f>HYPERLINK("https://pbs.twimg.com/media/E7J5O47WEAIbSxX.jpg")</f>
        <v>https://pbs.twimg.com/media/E7J5O47WEAIbSxX.jpg</v>
      </c>
      <c r="W3" s="81">
        <v>44402.676504629628</v>
      </c>
      <c r="X3" s="87">
        <v>44402</v>
      </c>
      <c r="Y3" s="85" t="s">
        <v>634</v>
      </c>
      <c r="Z3" s="83" t="str">
        <f>HYPERLINK("https://twitter.com/irbound/status/1419330140891385860")</f>
        <v>https://twitter.com/irbound/status/1419330140891385860</v>
      </c>
      <c r="AA3" s="79"/>
      <c r="AB3" s="79"/>
      <c r="AC3" s="85" t="s">
        <v>814</v>
      </c>
      <c r="AD3" s="79"/>
      <c r="AE3" s="79" t="b">
        <v>0</v>
      </c>
      <c r="AF3" s="79">
        <v>0</v>
      </c>
      <c r="AG3" s="85" t="s">
        <v>867</v>
      </c>
      <c r="AH3" s="79" t="b">
        <v>0</v>
      </c>
      <c r="AI3" s="79" t="s">
        <v>874</v>
      </c>
      <c r="AJ3" s="79"/>
      <c r="AK3" s="85" t="s">
        <v>867</v>
      </c>
      <c r="AL3" s="79" t="b">
        <v>0</v>
      </c>
      <c r="AM3" s="79">
        <v>0</v>
      </c>
      <c r="AN3" s="85" t="s">
        <v>867</v>
      </c>
      <c r="AO3" s="85" t="s">
        <v>887</v>
      </c>
      <c r="AP3" s="79" t="b">
        <v>0</v>
      </c>
      <c r="AQ3" s="85" t="s">
        <v>814</v>
      </c>
      <c r="AR3" s="79" t="s">
        <v>177</v>
      </c>
      <c r="AS3" s="79">
        <v>0</v>
      </c>
      <c r="AT3" s="79">
        <v>0</v>
      </c>
      <c r="AU3" s="79"/>
      <c r="AV3" s="79"/>
      <c r="AW3" s="79"/>
      <c r="AX3" s="79"/>
      <c r="AY3" s="79"/>
      <c r="AZ3" s="79"/>
      <c r="BA3" s="79"/>
      <c r="BB3" s="79"/>
      <c r="BC3">
        <v>22</v>
      </c>
      <c r="BD3" s="78" t="str">
        <f>REPLACE(INDEX(GroupVertices[Group], MATCH(Edges13[[#This Row],[Vertex 1]],GroupVertices[Vertex],0)),1,1,"")</f>
        <v>5</v>
      </c>
      <c r="BE3" s="78" t="str">
        <f>REPLACE(INDEX(GroupVertices[Group], MATCH(Edges13[[#This Row],[Vertex 2]],GroupVertices[Vertex],0)),1,1,"")</f>
        <v>5</v>
      </c>
    </row>
    <row r="4" spans="1:57" x14ac:dyDescent="0.25">
      <c r="A4" s="64" t="s">
        <v>294</v>
      </c>
      <c r="B4" s="64" t="s">
        <v>294</v>
      </c>
      <c r="C4" s="65"/>
      <c r="D4" s="66"/>
      <c r="E4" s="67"/>
      <c r="F4" s="68"/>
      <c r="G4" s="65"/>
      <c r="H4" s="69"/>
      <c r="I4" s="70"/>
      <c r="J4" s="70"/>
      <c r="K4" s="35" t="s">
        <v>65</v>
      </c>
      <c r="L4" s="77">
        <v>4</v>
      </c>
      <c r="M4" s="77"/>
      <c r="N4" s="72"/>
      <c r="O4" s="79" t="s">
        <v>177</v>
      </c>
      <c r="P4" s="81">
        <v>44407.636412037034</v>
      </c>
      <c r="Q4" s="79" t="s">
        <v>401</v>
      </c>
      <c r="R4" s="79"/>
      <c r="S4" s="79"/>
      <c r="T4" s="85" t="s">
        <v>461</v>
      </c>
      <c r="U4" s="83" t="str">
        <f>HYPERLINK("https://pbs.twimg.com/media/E7jb-EJXoAABi_h.jpg")</f>
        <v>https://pbs.twimg.com/media/E7jb-EJXoAABi_h.jpg</v>
      </c>
      <c r="V4" s="83" t="str">
        <f>HYPERLINK("https://pbs.twimg.com/media/E7jb-EJXoAABi_h.jpg")</f>
        <v>https://pbs.twimg.com/media/E7jb-EJXoAABi_h.jpg</v>
      </c>
      <c r="W4" s="81">
        <v>44407.636412037034</v>
      </c>
      <c r="X4" s="87">
        <v>44407</v>
      </c>
      <c r="Y4" s="85" t="s">
        <v>635</v>
      </c>
      <c r="Z4" s="83" t="str">
        <f>HYPERLINK("https://twitter.com/irbound/status/1421127552438054913")</f>
        <v>https://twitter.com/irbound/status/1421127552438054913</v>
      </c>
      <c r="AA4" s="79"/>
      <c r="AB4" s="79"/>
      <c r="AC4" s="85" t="s">
        <v>815</v>
      </c>
      <c r="AD4" s="79"/>
      <c r="AE4" s="79" t="b">
        <v>0</v>
      </c>
      <c r="AF4" s="79">
        <v>1</v>
      </c>
      <c r="AG4" s="85" t="s">
        <v>867</v>
      </c>
      <c r="AH4" s="79" t="b">
        <v>0</v>
      </c>
      <c r="AI4" s="79" t="s">
        <v>874</v>
      </c>
      <c r="AJ4" s="79"/>
      <c r="AK4" s="85" t="s">
        <v>867</v>
      </c>
      <c r="AL4" s="79" t="b">
        <v>0</v>
      </c>
      <c r="AM4" s="79">
        <v>0</v>
      </c>
      <c r="AN4" s="85" t="s">
        <v>867</v>
      </c>
      <c r="AO4" s="85" t="s">
        <v>887</v>
      </c>
      <c r="AP4" s="79" t="b">
        <v>0</v>
      </c>
      <c r="AQ4" s="85" t="s">
        <v>815</v>
      </c>
      <c r="AR4" s="79" t="s">
        <v>177</v>
      </c>
      <c r="AS4" s="79">
        <v>0</v>
      </c>
      <c r="AT4" s="79">
        <v>0</v>
      </c>
      <c r="AU4" s="79"/>
      <c r="AV4" s="79"/>
      <c r="AW4" s="79"/>
      <c r="AX4" s="79"/>
      <c r="AY4" s="79"/>
      <c r="AZ4" s="79"/>
      <c r="BA4" s="79"/>
      <c r="BB4" s="79"/>
      <c r="BC4">
        <v>22</v>
      </c>
      <c r="BD4" s="78" t="str">
        <f>REPLACE(INDEX(GroupVertices[Group], MATCH(Edges13[[#This Row],[Vertex 1]],GroupVertices[Vertex],0)),1,1,"")</f>
        <v>5</v>
      </c>
      <c r="BE4" s="78" t="str">
        <f>REPLACE(INDEX(GroupVertices[Group], MATCH(Edges13[[#This Row],[Vertex 2]],GroupVertices[Vertex],0)),1,1,"")</f>
        <v>5</v>
      </c>
    </row>
    <row r="5" spans="1:57" x14ac:dyDescent="0.25">
      <c r="A5" s="64" t="s">
        <v>294</v>
      </c>
      <c r="B5" s="64" t="s">
        <v>294</v>
      </c>
      <c r="C5" s="65"/>
      <c r="D5" s="66"/>
      <c r="E5" s="67"/>
      <c r="F5" s="68"/>
      <c r="G5" s="65"/>
      <c r="H5" s="69"/>
      <c r="I5" s="70"/>
      <c r="J5" s="70"/>
      <c r="K5" s="35" t="s">
        <v>65</v>
      </c>
      <c r="L5" s="77">
        <v>5</v>
      </c>
      <c r="M5" s="77"/>
      <c r="N5" s="72"/>
      <c r="O5" s="79" t="s">
        <v>177</v>
      </c>
      <c r="P5" s="81">
        <v>44407.640833333331</v>
      </c>
      <c r="Q5" s="79" t="s">
        <v>402</v>
      </c>
      <c r="R5" s="79"/>
      <c r="S5" s="79"/>
      <c r="T5" s="85" t="s">
        <v>461</v>
      </c>
      <c r="U5" s="83" t="str">
        <f>HYPERLINK("https://pbs.twimg.com/media/E7jdbYxWUAM1zkS.jpg")</f>
        <v>https://pbs.twimg.com/media/E7jdbYxWUAM1zkS.jpg</v>
      </c>
      <c r="V5" s="83" t="str">
        <f>HYPERLINK("https://pbs.twimg.com/media/E7jdbYxWUAM1zkS.jpg")</f>
        <v>https://pbs.twimg.com/media/E7jdbYxWUAM1zkS.jpg</v>
      </c>
      <c r="W5" s="81">
        <v>44407.640833333331</v>
      </c>
      <c r="X5" s="87">
        <v>44407</v>
      </c>
      <c r="Y5" s="85" t="s">
        <v>636</v>
      </c>
      <c r="Z5" s="83" t="str">
        <f>HYPERLINK("https://twitter.com/irbound/status/1421129156234973191")</f>
        <v>https://twitter.com/irbound/status/1421129156234973191</v>
      </c>
      <c r="AA5" s="79"/>
      <c r="AB5" s="79"/>
      <c r="AC5" s="85" t="s">
        <v>816</v>
      </c>
      <c r="AD5" s="79"/>
      <c r="AE5" s="79" t="b">
        <v>0</v>
      </c>
      <c r="AF5" s="79">
        <v>1</v>
      </c>
      <c r="AG5" s="85" t="s">
        <v>867</v>
      </c>
      <c r="AH5" s="79" t="b">
        <v>0</v>
      </c>
      <c r="AI5" s="79" t="s">
        <v>874</v>
      </c>
      <c r="AJ5" s="79"/>
      <c r="AK5" s="85" t="s">
        <v>867</v>
      </c>
      <c r="AL5" s="79" t="b">
        <v>0</v>
      </c>
      <c r="AM5" s="79">
        <v>0</v>
      </c>
      <c r="AN5" s="85" t="s">
        <v>867</v>
      </c>
      <c r="AO5" s="85" t="s">
        <v>887</v>
      </c>
      <c r="AP5" s="79" t="b">
        <v>0</v>
      </c>
      <c r="AQ5" s="85" t="s">
        <v>816</v>
      </c>
      <c r="AR5" s="79" t="s">
        <v>177</v>
      </c>
      <c r="AS5" s="79">
        <v>0</v>
      </c>
      <c r="AT5" s="79">
        <v>0</v>
      </c>
      <c r="AU5" s="79"/>
      <c r="AV5" s="79"/>
      <c r="AW5" s="79"/>
      <c r="AX5" s="79"/>
      <c r="AY5" s="79"/>
      <c r="AZ5" s="79"/>
      <c r="BA5" s="79"/>
      <c r="BB5" s="79"/>
      <c r="BC5">
        <v>22</v>
      </c>
      <c r="BD5" s="78" t="str">
        <f>REPLACE(INDEX(GroupVertices[Group], MATCH(Edges13[[#This Row],[Vertex 1]],GroupVertices[Vertex],0)),1,1,"")</f>
        <v>5</v>
      </c>
      <c r="BE5" s="78" t="str">
        <f>REPLACE(INDEX(GroupVertices[Group], MATCH(Edges13[[#This Row],[Vertex 2]],GroupVertices[Vertex],0)),1,1,"")</f>
        <v>5</v>
      </c>
    </row>
    <row r="6" spans="1:57" x14ac:dyDescent="0.25">
      <c r="A6" s="64" t="s">
        <v>294</v>
      </c>
      <c r="B6" s="64" t="s">
        <v>294</v>
      </c>
      <c r="C6" s="65"/>
      <c r="D6" s="66"/>
      <c r="E6" s="67"/>
      <c r="F6" s="68"/>
      <c r="G6" s="65"/>
      <c r="H6" s="69"/>
      <c r="I6" s="70"/>
      <c r="J6" s="70"/>
      <c r="K6" s="35" t="s">
        <v>65</v>
      </c>
      <c r="L6" s="77">
        <v>6</v>
      </c>
      <c r="M6" s="77"/>
      <c r="N6" s="72"/>
      <c r="O6" s="79" t="s">
        <v>177</v>
      </c>
      <c r="P6" s="81">
        <v>44407.646550925929</v>
      </c>
      <c r="Q6" s="79" t="s">
        <v>403</v>
      </c>
      <c r="R6" s="79"/>
      <c r="S6" s="79"/>
      <c r="T6" s="85" t="s">
        <v>461</v>
      </c>
      <c r="U6" s="83" t="str">
        <f>HYPERLINK("https://pbs.twimg.com/media/E7jfT4hWEAQGREC.jpg")</f>
        <v>https://pbs.twimg.com/media/E7jfT4hWEAQGREC.jpg</v>
      </c>
      <c r="V6" s="83" t="str">
        <f>HYPERLINK("https://pbs.twimg.com/media/E7jfT4hWEAQGREC.jpg")</f>
        <v>https://pbs.twimg.com/media/E7jfT4hWEAQGREC.jpg</v>
      </c>
      <c r="W6" s="81">
        <v>44407.646550925929</v>
      </c>
      <c r="X6" s="87">
        <v>44407</v>
      </c>
      <c r="Y6" s="85" t="s">
        <v>637</v>
      </c>
      <c r="Z6" s="83" t="str">
        <f>HYPERLINK("https://twitter.com/irbound/status/1421131227323682823")</f>
        <v>https://twitter.com/irbound/status/1421131227323682823</v>
      </c>
      <c r="AA6" s="79"/>
      <c r="AB6" s="79"/>
      <c r="AC6" s="85" t="s">
        <v>817</v>
      </c>
      <c r="AD6" s="79"/>
      <c r="AE6" s="79" t="b">
        <v>0</v>
      </c>
      <c r="AF6" s="79">
        <v>1</v>
      </c>
      <c r="AG6" s="85" t="s">
        <v>867</v>
      </c>
      <c r="AH6" s="79" t="b">
        <v>0</v>
      </c>
      <c r="AI6" s="79" t="s">
        <v>874</v>
      </c>
      <c r="AJ6" s="79"/>
      <c r="AK6" s="85" t="s">
        <v>867</v>
      </c>
      <c r="AL6" s="79" t="b">
        <v>0</v>
      </c>
      <c r="AM6" s="79">
        <v>0</v>
      </c>
      <c r="AN6" s="85" t="s">
        <v>867</v>
      </c>
      <c r="AO6" s="85" t="s">
        <v>887</v>
      </c>
      <c r="AP6" s="79" t="b">
        <v>0</v>
      </c>
      <c r="AQ6" s="85" t="s">
        <v>817</v>
      </c>
      <c r="AR6" s="79" t="s">
        <v>177</v>
      </c>
      <c r="AS6" s="79">
        <v>0</v>
      </c>
      <c r="AT6" s="79">
        <v>0</v>
      </c>
      <c r="AU6" s="79"/>
      <c r="AV6" s="79"/>
      <c r="AW6" s="79"/>
      <c r="AX6" s="79"/>
      <c r="AY6" s="79"/>
      <c r="AZ6" s="79"/>
      <c r="BA6" s="79"/>
      <c r="BB6" s="79"/>
      <c r="BC6">
        <v>22</v>
      </c>
      <c r="BD6" s="78" t="str">
        <f>REPLACE(INDEX(GroupVertices[Group], MATCH(Edges13[[#This Row],[Vertex 1]],GroupVertices[Vertex],0)),1,1,"")</f>
        <v>5</v>
      </c>
      <c r="BE6" s="78" t="str">
        <f>REPLACE(INDEX(GroupVertices[Group], MATCH(Edges13[[#This Row],[Vertex 2]],GroupVertices[Vertex],0)),1,1,"")</f>
        <v>5</v>
      </c>
    </row>
    <row r="7" spans="1:57" x14ac:dyDescent="0.25">
      <c r="A7" s="64" t="s">
        <v>294</v>
      </c>
      <c r="B7" s="64" t="s">
        <v>294</v>
      </c>
      <c r="C7" s="65"/>
      <c r="D7" s="66"/>
      <c r="E7" s="67"/>
      <c r="F7" s="68"/>
      <c r="G7" s="65"/>
      <c r="H7" s="69"/>
      <c r="I7" s="70"/>
      <c r="J7" s="70"/>
      <c r="K7" s="35" t="s">
        <v>65</v>
      </c>
      <c r="L7" s="77">
        <v>7</v>
      </c>
      <c r="M7" s="77"/>
      <c r="N7" s="72"/>
      <c r="O7" s="79" t="s">
        <v>177</v>
      </c>
      <c r="P7" s="81">
        <v>44407.665000000001</v>
      </c>
      <c r="Q7" s="79" t="s">
        <v>404</v>
      </c>
      <c r="R7" s="79"/>
      <c r="S7" s="79"/>
      <c r="T7" s="85" t="s">
        <v>461</v>
      </c>
      <c r="U7" s="83" t="str">
        <f>HYPERLINK("https://pbs.twimg.com/media/E7jlZPvX0AUCbs2.jpg")</f>
        <v>https://pbs.twimg.com/media/E7jlZPvX0AUCbs2.jpg</v>
      </c>
      <c r="V7" s="83" t="str">
        <f>HYPERLINK("https://pbs.twimg.com/media/E7jlZPvX0AUCbs2.jpg")</f>
        <v>https://pbs.twimg.com/media/E7jlZPvX0AUCbs2.jpg</v>
      </c>
      <c r="W7" s="81">
        <v>44407.665000000001</v>
      </c>
      <c r="X7" s="87">
        <v>44407</v>
      </c>
      <c r="Y7" s="85" t="s">
        <v>638</v>
      </c>
      <c r="Z7" s="83" t="str">
        <f>HYPERLINK("https://twitter.com/irbound/status/1421137914348679183")</f>
        <v>https://twitter.com/irbound/status/1421137914348679183</v>
      </c>
      <c r="AA7" s="79"/>
      <c r="AB7" s="79"/>
      <c r="AC7" s="85" t="s">
        <v>818</v>
      </c>
      <c r="AD7" s="79"/>
      <c r="AE7" s="79" t="b">
        <v>0</v>
      </c>
      <c r="AF7" s="79">
        <v>0</v>
      </c>
      <c r="AG7" s="85" t="s">
        <v>867</v>
      </c>
      <c r="AH7" s="79" t="b">
        <v>0</v>
      </c>
      <c r="AI7" s="79" t="s">
        <v>874</v>
      </c>
      <c r="AJ7" s="79"/>
      <c r="AK7" s="85" t="s">
        <v>867</v>
      </c>
      <c r="AL7" s="79" t="b">
        <v>0</v>
      </c>
      <c r="AM7" s="79">
        <v>0</v>
      </c>
      <c r="AN7" s="85" t="s">
        <v>867</v>
      </c>
      <c r="AO7" s="85" t="s">
        <v>887</v>
      </c>
      <c r="AP7" s="79" t="b">
        <v>0</v>
      </c>
      <c r="AQ7" s="85" t="s">
        <v>818</v>
      </c>
      <c r="AR7" s="79" t="s">
        <v>177</v>
      </c>
      <c r="AS7" s="79">
        <v>0</v>
      </c>
      <c r="AT7" s="79">
        <v>0</v>
      </c>
      <c r="AU7" s="79" t="s">
        <v>898</v>
      </c>
      <c r="AV7" s="79" t="s">
        <v>902</v>
      </c>
      <c r="AW7" s="79" t="s">
        <v>903</v>
      </c>
      <c r="AX7" s="79" t="s">
        <v>911</v>
      </c>
      <c r="AY7" s="79" t="s">
        <v>921</v>
      </c>
      <c r="AZ7" s="79" t="s">
        <v>927</v>
      </c>
      <c r="BA7" s="79" t="s">
        <v>930</v>
      </c>
      <c r="BB7" s="83" t="str">
        <f>HYPERLINK("https://api.twitter.com/1.1/geo/id/b2acf3dee65e2eaa.json")</f>
        <v>https://api.twitter.com/1.1/geo/id/b2acf3dee65e2eaa.json</v>
      </c>
      <c r="BC7">
        <v>22</v>
      </c>
      <c r="BD7" s="78" t="str">
        <f>REPLACE(INDEX(GroupVertices[Group], MATCH(Edges13[[#This Row],[Vertex 1]],GroupVertices[Vertex],0)),1,1,"")</f>
        <v>5</v>
      </c>
      <c r="BE7" s="78" t="str">
        <f>REPLACE(INDEX(GroupVertices[Group], MATCH(Edges13[[#This Row],[Vertex 2]],GroupVertices[Vertex],0)),1,1,"")</f>
        <v>5</v>
      </c>
    </row>
    <row r="8" spans="1:57" x14ac:dyDescent="0.25">
      <c r="A8" s="64" t="s">
        <v>294</v>
      </c>
      <c r="B8" s="64" t="s">
        <v>294</v>
      </c>
      <c r="C8" s="65"/>
      <c r="D8" s="66"/>
      <c r="E8" s="67"/>
      <c r="F8" s="68"/>
      <c r="G8" s="65"/>
      <c r="H8" s="69"/>
      <c r="I8" s="70"/>
      <c r="J8" s="70"/>
      <c r="K8" s="35" t="s">
        <v>65</v>
      </c>
      <c r="L8" s="77">
        <v>8</v>
      </c>
      <c r="M8" s="77"/>
      <c r="N8" s="72"/>
      <c r="O8" s="79" t="s">
        <v>177</v>
      </c>
      <c r="P8" s="81">
        <v>44407.67287037037</v>
      </c>
      <c r="Q8" s="79" t="s">
        <v>405</v>
      </c>
      <c r="R8" s="79"/>
      <c r="S8" s="79"/>
      <c r="T8" s="85" t="s">
        <v>461</v>
      </c>
      <c r="U8" s="83" t="str">
        <f>HYPERLINK("https://pbs.twimg.com/ext_tw_video_thumb/1421140714084343810/pu/img/y5htx6H7_Yt3dMRi.jpg")</f>
        <v>https://pbs.twimg.com/ext_tw_video_thumb/1421140714084343810/pu/img/y5htx6H7_Yt3dMRi.jpg</v>
      </c>
      <c r="V8" s="83" t="str">
        <f>HYPERLINK("https://pbs.twimg.com/ext_tw_video_thumb/1421140714084343810/pu/img/y5htx6H7_Yt3dMRi.jpg")</f>
        <v>https://pbs.twimg.com/ext_tw_video_thumb/1421140714084343810/pu/img/y5htx6H7_Yt3dMRi.jpg</v>
      </c>
      <c r="W8" s="81">
        <v>44407.67287037037</v>
      </c>
      <c r="X8" s="87">
        <v>44407</v>
      </c>
      <c r="Y8" s="85" t="s">
        <v>639</v>
      </c>
      <c r="Z8" s="83" t="str">
        <f>HYPERLINK("https://twitter.com/irbound/status/1421140766336901121")</f>
        <v>https://twitter.com/irbound/status/1421140766336901121</v>
      </c>
      <c r="AA8" s="79"/>
      <c r="AB8" s="79"/>
      <c r="AC8" s="85" t="s">
        <v>819</v>
      </c>
      <c r="AD8" s="79"/>
      <c r="AE8" s="79" t="b">
        <v>0</v>
      </c>
      <c r="AF8" s="79">
        <v>0</v>
      </c>
      <c r="AG8" s="85" t="s">
        <v>867</v>
      </c>
      <c r="AH8" s="79" t="b">
        <v>0</v>
      </c>
      <c r="AI8" s="79" t="s">
        <v>874</v>
      </c>
      <c r="AJ8" s="79"/>
      <c r="AK8" s="85" t="s">
        <v>867</v>
      </c>
      <c r="AL8" s="79" t="b">
        <v>0</v>
      </c>
      <c r="AM8" s="79">
        <v>0</v>
      </c>
      <c r="AN8" s="85" t="s">
        <v>867</v>
      </c>
      <c r="AO8" s="85" t="s">
        <v>887</v>
      </c>
      <c r="AP8" s="79" t="b">
        <v>0</v>
      </c>
      <c r="AQ8" s="85" t="s">
        <v>819</v>
      </c>
      <c r="AR8" s="79" t="s">
        <v>177</v>
      </c>
      <c r="AS8" s="79">
        <v>0</v>
      </c>
      <c r="AT8" s="79">
        <v>0</v>
      </c>
      <c r="AU8" s="79" t="s">
        <v>899</v>
      </c>
      <c r="AV8" s="79" t="s">
        <v>902</v>
      </c>
      <c r="AW8" s="79" t="s">
        <v>903</v>
      </c>
      <c r="AX8" s="79" t="s">
        <v>912</v>
      </c>
      <c r="AY8" s="79" t="s">
        <v>922</v>
      </c>
      <c r="AZ8" s="79" t="s">
        <v>928</v>
      </c>
      <c r="BA8" s="79" t="s">
        <v>930</v>
      </c>
      <c r="BB8" s="83" t="str">
        <f t="shared" ref="BB8:BB14" si="0">HYPERLINK("https://api.twitter.com/1.1/geo/id/3cf05613c1dd6dbd.json")</f>
        <v>https://api.twitter.com/1.1/geo/id/3cf05613c1dd6dbd.json</v>
      </c>
      <c r="BC8">
        <v>22</v>
      </c>
      <c r="BD8" s="78" t="str">
        <f>REPLACE(INDEX(GroupVertices[Group], MATCH(Edges13[[#This Row],[Vertex 1]],GroupVertices[Vertex],0)),1,1,"")</f>
        <v>5</v>
      </c>
      <c r="BE8" s="78" t="str">
        <f>REPLACE(INDEX(GroupVertices[Group], MATCH(Edges13[[#This Row],[Vertex 2]],GroupVertices[Vertex],0)),1,1,"")</f>
        <v>5</v>
      </c>
    </row>
    <row r="9" spans="1:57" x14ac:dyDescent="0.25">
      <c r="A9" s="64" t="s">
        <v>294</v>
      </c>
      <c r="B9" s="64" t="s">
        <v>294</v>
      </c>
      <c r="C9" s="65"/>
      <c r="D9" s="66"/>
      <c r="E9" s="67"/>
      <c r="F9" s="68"/>
      <c r="G9" s="65"/>
      <c r="H9" s="69"/>
      <c r="I9" s="70"/>
      <c r="J9" s="70"/>
      <c r="K9" s="35" t="s">
        <v>65</v>
      </c>
      <c r="L9" s="77">
        <v>9</v>
      </c>
      <c r="M9" s="77"/>
      <c r="N9" s="72"/>
      <c r="O9" s="79" t="s">
        <v>177</v>
      </c>
      <c r="P9" s="81">
        <v>44407.694120370368</v>
      </c>
      <c r="Q9" s="79" t="s">
        <v>406</v>
      </c>
      <c r="R9" s="79"/>
      <c r="S9" s="79"/>
      <c r="T9" s="85" t="s">
        <v>461</v>
      </c>
      <c r="U9" s="83" t="str">
        <f>HYPERLINK("https://pbs.twimg.com/media/E7ju_jMWQAIQq8n.jpg")</f>
        <v>https://pbs.twimg.com/media/E7ju_jMWQAIQq8n.jpg</v>
      </c>
      <c r="V9" s="83" t="str">
        <f>HYPERLINK("https://pbs.twimg.com/media/E7ju_jMWQAIQq8n.jpg")</f>
        <v>https://pbs.twimg.com/media/E7ju_jMWQAIQq8n.jpg</v>
      </c>
      <c r="W9" s="81">
        <v>44407.694120370368</v>
      </c>
      <c r="X9" s="87">
        <v>44407</v>
      </c>
      <c r="Y9" s="85" t="s">
        <v>640</v>
      </c>
      <c r="Z9" s="83" t="str">
        <f>HYPERLINK("https://twitter.com/irbound/status/1421148467158786048")</f>
        <v>https://twitter.com/irbound/status/1421148467158786048</v>
      </c>
      <c r="AA9" s="79"/>
      <c r="AB9" s="79"/>
      <c r="AC9" s="85" t="s">
        <v>820</v>
      </c>
      <c r="AD9" s="79"/>
      <c r="AE9" s="79" t="b">
        <v>0</v>
      </c>
      <c r="AF9" s="79">
        <v>0</v>
      </c>
      <c r="AG9" s="85" t="s">
        <v>867</v>
      </c>
      <c r="AH9" s="79" t="b">
        <v>0</v>
      </c>
      <c r="AI9" s="79" t="s">
        <v>874</v>
      </c>
      <c r="AJ9" s="79"/>
      <c r="AK9" s="85" t="s">
        <v>867</v>
      </c>
      <c r="AL9" s="79" t="b">
        <v>0</v>
      </c>
      <c r="AM9" s="79">
        <v>0</v>
      </c>
      <c r="AN9" s="85" t="s">
        <v>867</v>
      </c>
      <c r="AO9" s="85" t="s">
        <v>887</v>
      </c>
      <c r="AP9" s="79" t="b">
        <v>0</v>
      </c>
      <c r="AQ9" s="85" t="s">
        <v>820</v>
      </c>
      <c r="AR9" s="79" t="s">
        <v>177</v>
      </c>
      <c r="AS9" s="79">
        <v>0</v>
      </c>
      <c r="AT9" s="79">
        <v>0</v>
      </c>
      <c r="AU9" s="79" t="s">
        <v>899</v>
      </c>
      <c r="AV9" s="79" t="s">
        <v>902</v>
      </c>
      <c r="AW9" s="79" t="s">
        <v>903</v>
      </c>
      <c r="AX9" s="79" t="s">
        <v>912</v>
      </c>
      <c r="AY9" s="79" t="s">
        <v>922</v>
      </c>
      <c r="AZ9" s="79" t="s">
        <v>928</v>
      </c>
      <c r="BA9" s="79" t="s">
        <v>930</v>
      </c>
      <c r="BB9" s="83" t="str">
        <f t="shared" si="0"/>
        <v>https://api.twitter.com/1.1/geo/id/3cf05613c1dd6dbd.json</v>
      </c>
      <c r="BC9">
        <v>22</v>
      </c>
      <c r="BD9" s="78" t="str">
        <f>REPLACE(INDEX(GroupVertices[Group], MATCH(Edges13[[#This Row],[Vertex 1]],GroupVertices[Vertex],0)),1,1,"")</f>
        <v>5</v>
      </c>
      <c r="BE9" s="78" t="str">
        <f>REPLACE(INDEX(GroupVertices[Group], MATCH(Edges13[[#This Row],[Vertex 2]],GroupVertices[Vertex],0)),1,1,"")</f>
        <v>5</v>
      </c>
    </row>
    <row r="10" spans="1:57" x14ac:dyDescent="0.25">
      <c r="A10" s="64" t="s">
        <v>294</v>
      </c>
      <c r="B10" s="64" t="s">
        <v>294</v>
      </c>
      <c r="C10" s="65"/>
      <c r="D10" s="66"/>
      <c r="E10" s="67"/>
      <c r="F10" s="68"/>
      <c r="G10" s="65"/>
      <c r="H10" s="69"/>
      <c r="I10" s="70"/>
      <c r="J10" s="70"/>
      <c r="K10" s="35" t="s">
        <v>65</v>
      </c>
      <c r="L10" s="77">
        <v>10</v>
      </c>
      <c r="M10" s="77"/>
      <c r="N10" s="72"/>
      <c r="O10" s="79" t="s">
        <v>177</v>
      </c>
      <c r="P10" s="81">
        <v>44407.698136574072</v>
      </c>
      <c r="Q10" s="79" t="s">
        <v>407</v>
      </c>
      <c r="R10" s="79"/>
      <c r="S10" s="79"/>
      <c r="T10" s="85" t="s">
        <v>461</v>
      </c>
      <c r="U10" s="83" t="str">
        <f>HYPERLINK("https://pbs.twimg.com/media/E7jwUrEX0AEe_Lp.jpg")</f>
        <v>https://pbs.twimg.com/media/E7jwUrEX0AEe_Lp.jpg</v>
      </c>
      <c r="V10" s="83" t="str">
        <f>HYPERLINK("https://pbs.twimg.com/media/E7jwUrEX0AEe_Lp.jpg")</f>
        <v>https://pbs.twimg.com/media/E7jwUrEX0AEe_Lp.jpg</v>
      </c>
      <c r="W10" s="81">
        <v>44407.698136574072</v>
      </c>
      <c r="X10" s="87">
        <v>44407</v>
      </c>
      <c r="Y10" s="85" t="s">
        <v>641</v>
      </c>
      <c r="Z10" s="83" t="str">
        <f>HYPERLINK("https://twitter.com/irbound/status/1421149921986613257")</f>
        <v>https://twitter.com/irbound/status/1421149921986613257</v>
      </c>
      <c r="AA10" s="79"/>
      <c r="AB10" s="79"/>
      <c r="AC10" s="85" t="s">
        <v>821</v>
      </c>
      <c r="AD10" s="79"/>
      <c r="AE10" s="79" t="b">
        <v>0</v>
      </c>
      <c r="AF10" s="79">
        <v>0</v>
      </c>
      <c r="AG10" s="85" t="s">
        <v>867</v>
      </c>
      <c r="AH10" s="79" t="b">
        <v>0</v>
      </c>
      <c r="AI10" s="79" t="s">
        <v>874</v>
      </c>
      <c r="AJ10" s="79"/>
      <c r="AK10" s="85" t="s">
        <v>867</v>
      </c>
      <c r="AL10" s="79" t="b">
        <v>0</v>
      </c>
      <c r="AM10" s="79">
        <v>0</v>
      </c>
      <c r="AN10" s="85" t="s">
        <v>867</v>
      </c>
      <c r="AO10" s="85" t="s">
        <v>887</v>
      </c>
      <c r="AP10" s="79" t="b">
        <v>0</v>
      </c>
      <c r="AQ10" s="85" t="s">
        <v>821</v>
      </c>
      <c r="AR10" s="79" t="s">
        <v>177</v>
      </c>
      <c r="AS10" s="79">
        <v>0</v>
      </c>
      <c r="AT10" s="79">
        <v>0</v>
      </c>
      <c r="AU10" s="79" t="s">
        <v>899</v>
      </c>
      <c r="AV10" s="79" t="s">
        <v>902</v>
      </c>
      <c r="AW10" s="79" t="s">
        <v>903</v>
      </c>
      <c r="AX10" s="79" t="s">
        <v>912</v>
      </c>
      <c r="AY10" s="79" t="s">
        <v>922</v>
      </c>
      <c r="AZ10" s="79" t="s">
        <v>928</v>
      </c>
      <c r="BA10" s="79" t="s">
        <v>930</v>
      </c>
      <c r="BB10" s="83" t="str">
        <f t="shared" si="0"/>
        <v>https://api.twitter.com/1.1/geo/id/3cf05613c1dd6dbd.json</v>
      </c>
      <c r="BC10">
        <v>22</v>
      </c>
      <c r="BD10" s="78" t="str">
        <f>REPLACE(INDEX(GroupVertices[Group], MATCH(Edges13[[#This Row],[Vertex 1]],GroupVertices[Vertex],0)),1,1,"")</f>
        <v>5</v>
      </c>
      <c r="BE10" s="78" t="str">
        <f>REPLACE(INDEX(GroupVertices[Group], MATCH(Edges13[[#This Row],[Vertex 2]],GroupVertices[Vertex],0)),1,1,"")</f>
        <v>5</v>
      </c>
    </row>
    <row r="11" spans="1:57" x14ac:dyDescent="0.25">
      <c r="A11" s="64" t="s">
        <v>294</v>
      </c>
      <c r="B11" s="64" t="s">
        <v>294</v>
      </c>
      <c r="C11" s="65"/>
      <c r="D11" s="66"/>
      <c r="E11" s="67"/>
      <c r="F11" s="68"/>
      <c r="G11" s="65"/>
      <c r="H11" s="69"/>
      <c r="I11" s="70"/>
      <c r="J11" s="70"/>
      <c r="K11" s="35" t="s">
        <v>65</v>
      </c>
      <c r="L11" s="77">
        <v>11</v>
      </c>
      <c r="M11" s="77"/>
      <c r="N11" s="72"/>
      <c r="O11" s="79" t="s">
        <v>177</v>
      </c>
      <c r="P11" s="81">
        <v>44407.7028125</v>
      </c>
      <c r="Q11" s="79" t="s">
        <v>408</v>
      </c>
      <c r="R11" s="79"/>
      <c r="S11" s="79"/>
      <c r="T11" s="85" t="s">
        <v>461</v>
      </c>
      <c r="U11" s="83" t="str">
        <f>HYPERLINK("https://pbs.twimg.com/media/E7jx2jfWEAMfj6Q.jpg")</f>
        <v>https://pbs.twimg.com/media/E7jx2jfWEAMfj6Q.jpg</v>
      </c>
      <c r="V11" s="83" t="str">
        <f>HYPERLINK("https://pbs.twimg.com/media/E7jx2jfWEAMfj6Q.jpg")</f>
        <v>https://pbs.twimg.com/media/E7jx2jfWEAMfj6Q.jpg</v>
      </c>
      <c r="W11" s="81">
        <v>44407.7028125</v>
      </c>
      <c r="X11" s="87">
        <v>44407</v>
      </c>
      <c r="Y11" s="85" t="s">
        <v>642</v>
      </c>
      <c r="Z11" s="83" t="str">
        <f>HYPERLINK("https://twitter.com/irbound/status/1421151614698729476")</f>
        <v>https://twitter.com/irbound/status/1421151614698729476</v>
      </c>
      <c r="AA11" s="79"/>
      <c r="AB11" s="79"/>
      <c r="AC11" s="85" t="s">
        <v>822</v>
      </c>
      <c r="AD11" s="79"/>
      <c r="AE11" s="79" t="b">
        <v>0</v>
      </c>
      <c r="AF11" s="79">
        <v>0</v>
      </c>
      <c r="AG11" s="85" t="s">
        <v>867</v>
      </c>
      <c r="AH11" s="79" t="b">
        <v>0</v>
      </c>
      <c r="AI11" s="79" t="s">
        <v>874</v>
      </c>
      <c r="AJ11" s="79"/>
      <c r="AK11" s="85" t="s">
        <v>867</v>
      </c>
      <c r="AL11" s="79" t="b">
        <v>0</v>
      </c>
      <c r="AM11" s="79">
        <v>0</v>
      </c>
      <c r="AN11" s="85" t="s">
        <v>867</v>
      </c>
      <c r="AO11" s="85" t="s">
        <v>887</v>
      </c>
      <c r="AP11" s="79" t="b">
        <v>0</v>
      </c>
      <c r="AQ11" s="85" t="s">
        <v>822</v>
      </c>
      <c r="AR11" s="79" t="s">
        <v>177</v>
      </c>
      <c r="AS11" s="79">
        <v>0</v>
      </c>
      <c r="AT11" s="79">
        <v>0</v>
      </c>
      <c r="AU11" s="79" t="s">
        <v>899</v>
      </c>
      <c r="AV11" s="79" t="s">
        <v>902</v>
      </c>
      <c r="AW11" s="79" t="s">
        <v>903</v>
      </c>
      <c r="AX11" s="79" t="s">
        <v>912</v>
      </c>
      <c r="AY11" s="79" t="s">
        <v>922</v>
      </c>
      <c r="AZ11" s="79" t="s">
        <v>928</v>
      </c>
      <c r="BA11" s="79" t="s">
        <v>930</v>
      </c>
      <c r="BB11" s="83" t="str">
        <f t="shared" si="0"/>
        <v>https://api.twitter.com/1.1/geo/id/3cf05613c1dd6dbd.json</v>
      </c>
      <c r="BC11">
        <v>22</v>
      </c>
      <c r="BD11" s="78" t="str">
        <f>REPLACE(INDEX(GroupVertices[Group], MATCH(Edges13[[#This Row],[Vertex 1]],GroupVertices[Vertex],0)),1,1,"")</f>
        <v>5</v>
      </c>
      <c r="BE11" s="78" t="str">
        <f>REPLACE(INDEX(GroupVertices[Group], MATCH(Edges13[[#This Row],[Vertex 2]],GroupVertices[Vertex],0)),1,1,"")</f>
        <v>5</v>
      </c>
    </row>
    <row r="12" spans="1:57" x14ac:dyDescent="0.25">
      <c r="A12" s="64" t="s">
        <v>294</v>
      </c>
      <c r="B12" s="64" t="s">
        <v>294</v>
      </c>
      <c r="C12" s="65"/>
      <c r="D12" s="66"/>
      <c r="E12" s="67"/>
      <c r="F12" s="68"/>
      <c r="G12" s="65"/>
      <c r="H12" s="69"/>
      <c r="I12" s="70"/>
      <c r="J12" s="70"/>
      <c r="K12" s="35" t="s">
        <v>65</v>
      </c>
      <c r="L12" s="77">
        <v>12</v>
      </c>
      <c r="M12" s="77"/>
      <c r="N12" s="72"/>
      <c r="O12" s="79" t="s">
        <v>177</v>
      </c>
      <c r="P12" s="81">
        <v>44407.765625</v>
      </c>
      <c r="Q12" s="79" t="s">
        <v>409</v>
      </c>
      <c r="R12" s="79"/>
      <c r="S12" s="79"/>
      <c r="T12" s="85" t="s">
        <v>492</v>
      </c>
      <c r="U12" s="83" t="str">
        <f>HYPERLINK("https://pbs.twimg.com/media/E7kGj0RXoAAfhsR.jpg")</f>
        <v>https://pbs.twimg.com/media/E7kGj0RXoAAfhsR.jpg</v>
      </c>
      <c r="V12" s="83" t="str">
        <f>HYPERLINK("https://pbs.twimg.com/media/E7kGj0RXoAAfhsR.jpg")</f>
        <v>https://pbs.twimg.com/media/E7kGj0RXoAAfhsR.jpg</v>
      </c>
      <c r="W12" s="81">
        <v>44407.765625</v>
      </c>
      <c r="X12" s="87">
        <v>44407</v>
      </c>
      <c r="Y12" s="85" t="s">
        <v>643</v>
      </c>
      <c r="Z12" s="83" t="str">
        <f>HYPERLINK("https://twitter.com/irbound/status/1421174378906128387")</f>
        <v>https://twitter.com/irbound/status/1421174378906128387</v>
      </c>
      <c r="AA12" s="79"/>
      <c r="AB12" s="79"/>
      <c r="AC12" s="85" t="s">
        <v>823</v>
      </c>
      <c r="AD12" s="79"/>
      <c r="AE12" s="79" t="b">
        <v>0</v>
      </c>
      <c r="AF12" s="79">
        <v>0</v>
      </c>
      <c r="AG12" s="85" t="s">
        <v>867</v>
      </c>
      <c r="AH12" s="79" t="b">
        <v>0</v>
      </c>
      <c r="AI12" s="79" t="s">
        <v>874</v>
      </c>
      <c r="AJ12" s="79"/>
      <c r="AK12" s="85" t="s">
        <v>867</v>
      </c>
      <c r="AL12" s="79" t="b">
        <v>0</v>
      </c>
      <c r="AM12" s="79">
        <v>0</v>
      </c>
      <c r="AN12" s="85" t="s">
        <v>867</v>
      </c>
      <c r="AO12" s="85" t="s">
        <v>887</v>
      </c>
      <c r="AP12" s="79" t="b">
        <v>0</v>
      </c>
      <c r="AQ12" s="85" t="s">
        <v>823</v>
      </c>
      <c r="AR12" s="79" t="s">
        <v>177</v>
      </c>
      <c r="AS12" s="79">
        <v>0</v>
      </c>
      <c r="AT12" s="79">
        <v>0</v>
      </c>
      <c r="AU12" s="79" t="s">
        <v>899</v>
      </c>
      <c r="AV12" s="79" t="s">
        <v>902</v>
      </c>
      <c r="AW12" s="79" t="s">
        <v>903</v>
      </c>
      <c r="AX12" s="79" t="s">
        <v>912</v>
      </c>
      <c r="AY12" s="79" t="s">
        <v>922</v>
      </c>
      <c r="AZ12" s="79" t="s">
        <v>928</v>
      </c>
      <c r="BA12" s="79" t="s">
        <v>930</v>
      </c>
      <c r="BB12" s="83" t="str">
        <f t="shared" si="0"/>
        <v>https://api.twitter.com/1.1/geo/id/3cf05613c1dd6dbd.json</v>
      </c>
      <c r="BC12">
        <v>22</v>
      </c>
      <c r="BD12" s="78" t="str">
        <f>REPLACE(INDEX(GroupVertices[Group], MATCH(Edges13[[#This Row],[Vertex 1]],GroupVertices[Vertex],0)),1,1,"")</f>
        <v>5</v>
      </c>
      <c r="BE12" s="78" t="str">
        <f>REPLACE(INDEX(GroupVertices[Group], MATCH(Edges13[[#This Row],[Vertex 2]],GroupVertices[Vertex],0)),1,1,"")</f>
        <v>5</v>
      </c>
    </row>
    <row r="13" spans="1:57" x14ac:dyDescent="0.25">
      <c r="A13" s="64" t="s">
        <v>294</v>
      </c>
      <c r="B13" s="64" t="s">
        <v>294</v>
      </c>
      <c r="C13" s="65"/>
      <c r="D13" s="66"/>
      <c r="E13" s="67"/>
      <c r="F13" s="68"/>
      <c r="G13" s="65"/>
      <c r="H13" s="69"/>
      <c r="I13" s="70"/>
      <c r="J13" s="70"/>
      <c r="K13" s="35" t="s">
        <v>65</v>
      </c>
      <c r="L13" s="77">
        <v>13</v>
      </c>
      <c r="M13" s="77"/>
      <c r="N13" s="72"/>
      <c r="O13" s="79" t="s">
        <v>177</v>
      </c>
      <c r="P13" s="81">
        <v>44407.76766203704</v>
      </c>
      <c r="Q13" s="79" t="s">
        <v>410</v>
      </c>
      <c r="R13" s="79"/>
      <c r="S13" s="79"/>
      <c r="T13" s="85" t="s">
        <v>461</v>
      </c>
      <c r="U13" s="83" t="str">
        <f>HYPERLINK("https://pbs.twimg.com/media/E7kHOELX0AYLu8P.jpg")</f>
        <v>https://pbs.twimg.com/media/E7kHOELX0AYLu8P.jpg</v>
      </c>
      <c r="V13" s="83" t="str">
        <f>HYPERLINK("https://pbs.twimg.com/media/E7kHOELX0AYLu8P.jpg")</f>
        <v>https://pbs.twimg.com/media/E7kHOELX0AYLu8P.jpg</v>
      </c>
      <c r="W13" s="81">
        <v>44407.76766203704</v>
      </c>
      <c r="X13" s="87">
        <v>44407</v>
      </c>
      <c r="Y13" s="85" t="s">
        <v>644</v>
      </c>
      <c r="Z13" s="83" t="str">
        <f>HYPERLINK("https://twitter.com/irbound/status/1421175114599698433")</f>
        <v>https://twitter.com/irbound/status/1421175114599698433</v>
      </c>
      <c r="AA13" s="79"/>
      <c r="AB13" s="79"/>
      <c r="AC13" s="85" t="s">
        <v>824</v>
      </c>
      <c r="AD13" s="79"/>
      <c r="AE13" s="79" t="b">
        <v>0</v>
      </c>
      <c r="AF13" s="79">
        <v>1</v>
      </c>
      <c r="AG13" s="85" t="s">
        <v>867</v>
      </c>
      <c r="AH13" s="79" t="b">
        <v>0</v>
      </c>
      <c r="AI13" s="79" t="s">
        <v>874</v>
      </c>
      <c r="AJ13" s="79"/>
      <c r="AK13" s="85" t="s">
        <v>867</v>
      </c>
      <c r="AL13" s="79" t="b">
        <v>0</v>
      </c>
      <c r="AM13" s="79">
        <v>0</v>
      </c>
      <c r="AN13" s="85" t="s">
        <v>867</v>
      </c>
      <c r="AO13" s="85" t="s">
        <v>887</v>
      </c>
      <c r="AP13" s="79" t="b">
        <v>0</v>
      </c>
      <c r="AQ13" s="85" t="s">
        <v>824</v>
      </c>
      <c r="AR13" s="79" t="s">
        <v>177</v>
      </c>
      <c r="AS13" s="79">
        <v>0</v>
      </c>
      <c r="AT13" s="79">
        <v>0</v>
      </c>
      <c r="AU13" s="79" t="s">
        <v>899</v>
      </c>
      <c r="AV13" s="79" t="s">
        <v>902</v>
      </c>
      <c r="AW13" s="79" t="s">
        <v>903</v>
      </c>
      <c r="AX13" s="79" t="s">
        <v>912</v>
      </c>
      <c r="AY13" s="79" t="s">
        <v>922</v>
      </c>
      <c r="AZ13" s="79" t="s">
        <v>928</v>
      </c>
      <c r="BA13" s="79" t="s">
        <v>930</v>
      </c>
      <c r="BB13" s="83" t="str">
        <f t="shared" si="0"/>
        <v>https://api.twitter.com/1.1/geo/id/3cf05613c1dd6dbd.json</v>
      </c>
      <c r="BC13">
        <v>22</v>
      </c>
      <c r="BD13" s="78" t="str">
        <f>REPLACE(INDEX(GroupVertices[Group], MATCH(Edges13[[#This Row],[Vertex 1]],GroupVertices[Vertex],0)),1,1,"")</f>
        <v>5</v>
      </c>
      <c r="BE13" s="78" t="str">
        <f>REPLACE(INDEX(GroupVertices[Group], MATCH(Edges13[[#This Row],[Vertex 2]],GroupVertices[Vertex],0)),1,1,"")</f>
        <v>5</v>
      </c>
    </row>
    <row r="14" spans="1:57" x14ac:dyDescent="0.25">
      <c r="A14" s="64" t="s">
        <v>294</v>
      </c>
      <c r="B14" s="64" t="s">
        <v>294</v>
      </c>
      <c r="C14" s="65"/>
      <c r="D14" s="66"/>
      <c r="E14" s="67"/>
      <c r="F14" s="68"/>
      <c r="G14" s="65"/>
      <c r="H14" s="69"/>
      <c r="I14" s="70"/>
      <c r="J14" s="70"/>
      <c r="K14" s="35" t="s">
        <v>65</v>
      </c>
      <c r="L14" s="77">
        <v>14</v>
      </c>
      <c r="M14" s="77"/>
      <c r="N14" s="72"/>
      <c r="O14" s="79" t="s">
        <v>177</v>
      </c>
      <c r="P14" s="81">
        <v>44407.778807870367</v>
      </c>
      <c r="Q14" s="79" t="s">
        <v>411</v>
      </c>
      <c r="R14" s="79"/>
      <c r="S14" s="79"/>
      <c r="T14" s="85" t="s">
        <v>461</v>
      </c>
      <c r="U14" s="83" t="str">
        <f>HYPERLINK("https://pbs.twimg.com/media/E7kK560XIAQ4BKO.jpg")</f>
        <v>https://pbs.twimg.com/media/E7kK560XIAQ4BKO.jpg</v>
      </c>
      <c r="V14" s="83" t="str">
        <f>HYPERLINK("https://pbs.twimg.com/media/E7kK560XIAQ4BKO.jpg")</f>
        <v>https://pbs.twimg.com/media/E7kK560XIAQ4BKO.jpg</v>
      </c>
      <c r="W14" s="81">
        <v>44407.778807870367</v>
      </c>
      <c r="X14" s="87">
        <v>44407</v>
      </c>
      <c r="Y14" s="85" t="s">
        <v>645</v>
      </c>
      <c r="Z14" s="83" t="str">
        <f>HYPERLINK("https://twitter.com/irbound/status/1421179154549051393")</f>
        <v>https://twitter.com/irbound/status/1421179154549051393</v>
      </c>
      <c r="AA14" s="79"/>
      <c r="AB14" s="79"/>
      <c r="AC14" s="85" t="s">
        <v>825</v>
      </c>
      <c r="AD14" s="79"/>
      <c r="AE14" s="79" t="b">
        <v>0</v>
      </c>
      <c r="AF14" s="79">
        <v>1</v>
      </c>
      <c r="AG14" s="85" t="s">
        <v>867</v>
      </c>
      <c r="AH14" s="79" t="b">
        <v>0</v>
      </c>
      <c r="AI14" s="79" t="s">
        <v>874</v>
      </c>
      <c r="AJ14" s="79"/>
      <c r="AK14" s="85" t="s">
        <v>867</v>
      </c>
      <c r="AL14" s="79" t="b">
        <v>0</v>
      </c>
      <c r="AM14" s="79">
        <v>0</v>
      </c>
      <c r="AN14" s="85" t="s">
        <v>867</v>
      </c>
      <c r="AO14" s="85" t="s">
        <v>887</v>
      </c>
      <c r="AP14" s="79" t="b">
        <v>0</v>
      </c>
      <c r="AQ14" s="85" t="s">
        <v>825</v>
      </c>
      <c r="AR14" s="79" t="s">
        <v>177</v>
      </c>
      <c r="AS14" s="79">
        <v>0</v>
      </c>
      <c r="AT14" s="79">
        <v>0</v>
      </c>
      <c r="AU14" s="79" t="s">
        <v>899</v>
      </c>
      <c r="AV14" s="79" t="s">
        <v>902</v>
      </c>
      <c r="AW14" s="79" t="s">
        <v>903</v>
      </c>
      <c r="AX14" s="79" t="s">
        <v>912</v>
      </c>
      <c r="AY14" s="79" t="s">
        <v>922</v>
      </c>
      <c r="AZ14" s="79" t="s">
        <v>928</v>
      </c>
      <c r="BA14" s="79" t="s">
        <v>930</v>
      </c>
      <c r="BB14" s="83" t="str">
        <f t="shared" si="0"/>
        <v>https://api.twitter.com/1.1/geo/id/3cf05613c1dd6dbd.json</v>
      </c>
      <c r="BC14">
        <v>22</v>
      </c>
      <c r="BD14" s="78" t="str">
        <f>REPLACE(INDEX(GroupVertices[Group], MATCH(Edges13[[#This Row],[Vertex 1]],GroupVertices[Vertex],0)),1,1,"")</f>
        <v>5</v>
      </c>
      <c r="BE14" s="78" t="str">
        <f>REPLACE(INDEX(GroupVertices[Group], MATCH(Edges13[[#This Row],[Vertex 2]],GroupVertices[Vertex],0)),1,1,"")</f>
        <v>5</v>
      </c>
    </row>
    <row r="15" spans="1:57" x14ac:dyDescent="0.25">
      <c r="A15" s="64" t="s">
        <v>294</v>
      </c>
      <c r="B15" s="64" t="s">
        <v>294</v>
      </c>
      <c r="C15" s="65"/>
      <c r="D15" s="66"/>
      <c r="E15" s="67"/>
      <c r="F15" s="68"/>
      <c r="G15" s="65"/>
      <c r="H15" s="69"/>
      <c r="I15" s="70"/>
      <c r="J15" s="70"/>
      <c r="K15" s="35" t="s">
        <v>65</v>
      </c>
      <c r="L15" s="77">
        <v>15</v>
      </c>
      <c r="M15" s="77"/>
      <c r="N15" s="72"/>
      <c r="O15" s="79" t="s">
        <v>177</v>
      </c>
      <c r="P15" s="81">
        <v>44407.782546296294</v>
      </c>
      <c r="Q15" s="79" t="s">
        <v>412</v>
      </c>
      <c r="R15" s="79"/>
      <c r="S15" s="79"/>
      <c r="T15" s="85" t="s">
        <v>461</v>
      </c>
      <c r="U15" s="83" t="str">
        <f>HYPERLINK("https://pbs.twimg.com/media/E7kMIzcXEAcu9j6.jpg")</f>
        <v>https://pbs.twimg.com/media/E7kMIzcXEAcu9j6.jpg</v>
      </c>
      <c r="V15" s="83" t="str">
        <f>HYPERLINK("https://pbs.twimg.com/media/E7kMIzcXEAcu9j6.jpg")</f>
        <v>https://pbs.twimg.com/media/E7kMIzcXEAcu9j6.jpg</v>
      </c>
      <c r="W15" s="81">
        <v>44407.782546296294</v>
      </c>
      <c r="X15" s="87">
        <v>44407</v>
      </c>
      <c r="Y15" s="85" t="s">
        <v>646</v>
      </c>
      <c r="Z15" s="83" t="str">
        <f>HYPERLINK("https://twitter.com/irbound/status/1421180509665832960")</f>
        <v>https://twitter.com/irbound/status/1421180509665832960</v>
      </c>
      <c r="AA15" s="79"/>
      <c r="AB15" s="79"/>
      <c r="AC15" s="85" t="s">
        <v>826</v>
      </c>
      <c r="AD15" s="79"/>
      <c r="AE15" s="79" t="b">
        <v>0</v>
      </c>
      <c r="AF15" s="79">
        <v>0</v>
      </c>
      <c r="AG15" s="85" t="s">
        <v>867</v>
      </c>
      <c r="AH15" s="79" t="b">
        <v>0</v>
      </c>
      <c r="AI15" s="79" t="s">
        <v>874</v>
      </c>
      <c r="AJ15" s="79"/>
      <c r="AK15" s="85" t="s">
        <v>867</v>
      </c>
      <c r="AL15" s="79" t="b">
        <v>0</v>
      </c>
      <c r="AM15" s="79">
        <v>0</v>
      </c>
      <c r="AN15" s="85" t="s">
        <v>867</v>
      </c>
      <c r="AO15" s="85" t="s">
        <v>887</v>
      </c>
      <c r="AP15" s="79" t="b">
        <v>0</v>
      </c>
      <c r="AQ15" s="85" t="s">
        <v>826</v>
      </c>
      <c r="AR15" s="79" t="s">
        <v>177</v>
      </c>
      <c r="AS15" s="79">
        <v>0</v>
      </c>
      <c r="AT15" s="79">
        <v>0</v>
      </c>
      <c r="AU15" s="79" t="s">
        <v>900</v>
      </c>
      <c r="AV15" s="79" t="s">
        <v>902</v>
      </c>
      <c r="AW15" s="79" t="s">
        <v>903</v>
      </c>
      <c r="AX15" s="79" t="s">
        <v>913</v>
      </c>
      <c r="AY15" s="79" t="s">
        <v>923</v>
      </c>
      <c r="AZ15" s="79" t="s">
        <v>929</v>
      </c>
      <c r="BA15" s="79" t="s">
        <v>930</v>
      </c>
      <c r="BB15" s="83" t="str">
        <f>HYPERLINK("https://api.twitter.com/1.1/geo/id/55b4f9e5c516e0b6.json")</f>
        <v>https://api.twitter.com/1.1/geo/id/55b4f9e5c516e0b6.json</v>
      </c>
      <c r="BC15">
        <v>22</v>
      </c>
      <c r="BD15" s="78" t="str">
        <f>REPLACE(INDEX(GroupVertices[Group], MATCH(Edges13[[#This Row],[Vertex 1]],GroupVertices[Vertex],0)),1,1,"")</f>
        <v>5</v>
      </c>
      <c r="BE15" s="78" t="str">
        <f>REPLACE(INDEX(GroupVertices[Group], MATCH(Edges13[[#This Row],[Vertex 2]],GroupVertices[Vertex],0)),1,1,"")</f>
        <v>5</v>
      </c>
    </row>
    <row r="16" spans="1:57" x14ac:dyDescent="0.25">
      <c r="A16" s="64" t="s">
        <v>294</v>
      </c>
      <c r="B16" s="64" t="s">
        <v>294</v>
      </c>
      <c r="C16" s="65"/>
      <c r="D16" s="66"/>
      <c r="E16" s="67"/>
      <c r="F16" s="68"/>
      <c r="G16" s="65"/>
      <c r="H16" s="69"/>
      <c r="I16" s="70"/>
      <c r="J16" s="70"/>
      <c r="K16" s="35" t="s">
        <v>65</v>
      </c>
      <c r="L16" s="77">
        <v>16</v>
      </c>
      <c r="M16" s="77"/>
      <c r="N16" s="72"/>
      <c r="O16" s="79" t="s">
        <v>177</v>
      </c>
      <c r="P16" s="81">
        <v>44407.791493055556</v>
      </c>
      <c r="Q16" s="79" t="s">
        <v>413</v>
      </c>
      <c r="R16" s="79"/>
      <c r="S16" s="79"/>
      <c r="T16" s="85" t="s">
        <v>493</v>
      </c>
      <c r="U16" s="83" t="str">
        <f>HYPERLINK("https://pbs.twimg.com/media/E7kPEzLWYAcyUg0.jpg")</f>
        <v>https://pbs.twimg.com/media/E7kPEzLWYAcyUg0.jpg</v>
      </c>
      <c r="V16" s="83" t="str">
        <f>HYPERLINK("https://pbs.twimg.com/media/E7kPEzLWYAcyUg0.jpg")</f>
        <v>https://pbs.twimg.com/media/E7kPEzLWYAcyUg0.jpg</v>
      </c>
      <c r="W16" s="81">
        <v>44407.791493055556</v>
      </c>
      <c r="X16" s="87">
        <v>44407</v>
      </c>
      <c r="Y16" s="85" t="s">
        <v>647</v>
      </c>
      <c r="Z16" s="83" t="str">
        <f>HYPERLINK("https://twitter.com/irbound/status/1421183750659059718")</f>
        <v>https://twitter.com/irbound/status/1421183750659059718</v>
      </c>
      <c r="AA16" s="79"/>
      <c r="AB16" s="79"/>
      <c r="AC16" s="85" t="s">
        <v>827</v>
      </c>
      <c r="AD16" s="79"/>
      <c r="AE16" s="79" t="b">
        <v>0</v>
      </c>
      <c r="AF16" s="79">
        <v>0</v>
      </c>
      <c r="AG16" s="85" t="s">
        <v>867</v>
      </c>
      <c r="AH16" s="79" t="b">
        <v>0</v>
      </c>
      <c r="AI16" s="79" t="s">
        <v>874</v>
      </c>
      <c r="AJ16" s="79"/>
      <c r="AK16" s="85" t="s">
        <v>867</v>
      </c>
      <c r="AL16" s="79" t="b">
        <v>0</v>
      </c>
      <c r="AM16" s="79">
        <v>0</v>
      </c>
      <c r="AN16" s="85" t="s">
        <v>867</v>
      </c>
      <c r="AO16" s="85" t="s">
        <v>887</v>
      </c>
      <c r="AP16" s="79" t="b">
        <v>0</v>
      </c>
      <c r="AQ16" s="85" t="s">
        <v>827</v>
      </c>
      <c r="AR16" s="79" t="s">
        <v>177</v>
      </c>
      <c r="AS16" s="79">
        <v>0</v>
      </c>
      <c r="AT16" s="79">
        <v>0</v>
      </c>
      <c r="AU16" s="79" t="s">
        <v>900</v>
      </c>
      <c r="AV16" s="79" t="s">
        <v>902</v>
      </c>
      <c r="AW16" s="79" t="s">
        <v>903</v>
      </c>
      <c r="AX16" s="79" t="s">
        <v>913</v>
      </c>
      <c r="AY16" s="79" t="s">
        <v>923</v>
      </c>
      <c r="AZ16" s="79" t="s">
        <v>929</v>
      </c>
      <c r="BA16" s="79" t="s">
        <v>930</v>
      </c>
      <c r="BB16" s="83" t="str">
        <f>HYPERLINK("https://api.twitter.com/1.1/geo/id/55b4f9e5c516e0b6.json")</f>
        <v>https://api.twitter.com/1.1/geo/id/55b4f9e5c516e0b6.json</v>
      </c>
      <c r="BC16">
        <v>22</v>
      </c>
      <c r="BD16" s="78" t="str">
        <f>REPLACE(INDEX(GroupVertices[Group], MATCH(Edges13[[#This Row],[Vertex 1]],GroupVertices[Vertex],0)),1,1,"")</f>
        <v>5</v>
      </c>
      <c r="BE16" s="78" t="str">
        <f>REPLACE(INDEX(GroupVertices[Group], MATCH(Edges13[[#This Row],[Vertex 2]],GroupVertices[Vertex],0)),1,1,"")</f>
        <v>5</v>
      </c>
    </row>
    <row r="17" spans="1:57" x14ac:dyDescent="0.25">
      <c r="A17" s="64" t="s">
        <v>294</v>
      </c>
      <c r="B17" s="64" t="s">
        <v>294</v>
      </c>
      <c r="C17" s="65"/>
      <c r="D17" s="66"/>
      <c r="E17" s="67"/>
      <c r="F17" s="68"/>
      <c r="G17" s="65"/>
      <c r="H17" s="69"/>
      <c r="I17" s="70"/>
      <c r="J17" s="70"/>
      <c r="K17" s="35" t="s">
        <v>65</v>
      </c>
      <c r="L17" s="77">
        <v>17</v>
      </c>
      <c r="M17" s="77"/>
      <c r="N17" s="72"/>
      <c r="O17" s="79" t="s">
        <v>177</v>
      </c>
      <c r="P17" s="81">
        <v>44407.808796296296</v>
      </c>
      <c r="Q17" s="79" t="s">
        <v>414</v>
      </c>
      <c r="R17" s="79"/>
      <c r="S17" s="79"/>
      <c r="T17" s="85" t="s">
        <v>461</v>
      </c>
      <c r="U17" s="83" t="str">
        <f>HYPERLINK("https://pbs.twimg.com/media/E7kUyDWX0AAAydB.jpg")</f>
        <v>https://pbs.twimg.com/media/E7kUyDWX0AAAydB.jpg</v>
      </c>
      <c r="V17" s="83" t="str">
        <f>HYPERLINK("https://pbs.twimg.com/media/E7kUyDWX0AAAydB.jpg")</f>
        <v>https://pbs.twimg.com/media/E7kUyDWX0AAAydB.jpg</v>
      </c>
      <c r="W17" s="81">
        <v>44407.808796296296</v>
      </c>
      <c r="X17" s="87">
        <v>44407</v>
      </c>
      <c r="Y17" s="85" t="s">
        <v>648</v>
      </c>
      <c r="Z17" s="83" t="str">
        <f>HYPERLINK("https://twitter.com/irbound/status/1421190024528375808")</f>
        <v>https://twitter.com/irbound/status/1421190024528375808</v>
      </c>
      <c r="AA17" s="79"/>
      <c r="AB17" s="79"/>
      <c r="AC17" s="85" t="s">
        <v>828</v>
      </c>
      <c r="AD17" s="79"/>
      <c r="AE17" s="79" t="b">
        <v>0</v>
      </c>
      <c r="AF17" s="79">
        <v>0</v>
      </c>
      <c r="AG17" s="85" t="s">
        <v>867</v>
      </c>
      <c r="AH17" s="79" t="b">
        <v>0</v>
      </c>
      <c r="AI17" s="79" t="s">
        <v>874</v>
      </c>
      <c r="AJ17" s="79"/>
      <c r="AK17" s="85" t="s">
        <v>867</v>
      </c>
      <c r="AL17" s="79" t="b">
        <v>0</v>
      </c>
      <c r="AM17" s="79">
        <v>0</v>
      </c>
      <c r="AN17" s="85" t="s">
        <v>867</v>
      </c>
      <c r="AO17" s="85" t="s">
        <v>887</v>
      </c>
      <c r="AP17" s="79" t="b">
        <v>0</v>
      </c>
      <c r="AQ17" s="85" t="s">
        <v>828</v>
      </c>
      <c r="AR17" s="79" t="s">
        <v>177</v>
      </c>
      <c r="AS17" s="79">
        <v>0</v>
      </c>
      <c r="AT17" s="79">
        <v>0</v>
      </c>
      <c r="AU17" s="79"/>
      <c r="AV17" s="79"/>
      <c r="AW17" s="79"/>
      <c r="AX17" s="79"/>
      <c r="AY17" s="79"/>
      <c r="AZ17" s="79"/>
      <c r="BA17" s="79"/>
      <c r="BB17" s="79"/>
      <c r="BC17">
        <v>22</v>
      </c>
      <c r="BD17" s="78" t="str">
        <f>REPLACE(INDEX(GroupVertices[Group], MATCH(Edges13[[#This Row],[Vertex 1]],GroupVertices[Vertex],0)),1,1,"")</f>
        <v>5</v>
      </c>
      <c r="BE17" s="78" t="str">
        <f>REPLACE(INDEX(GroupVertices[Group], MATCH(Edges13[[#This Row],[Vertex 2]],GroupVertices[Vertex],0)),1,1,"")</f>
        <v>5</v>
      </c>
    </row>
    <row r="18" spans="1:57" x14ac:dyDescent="0.25">
      <c r="A18" s="64" t="s">
        <v>294</v>
      </c>
      <c r="B18" s="64" t="s">
        <v>294</v>
      </c>
      <c r="C18" s="65"/>
      <c r="D18" s="66"/>
      <c r="E18" s="67"/>
      <c r="F18" s="68"/>
      <c r="G18" s="65"/>
      <c r="H18" s="69"/>
      <c r="I18" s="70"/>
      <c r="J18" s="70"/>
      <c r="K18" s="35" t="s">
        <v>65</v>
      </c>
      <c r="L18" s="77">
        <v>18</v>
      </c>
      <c r="M18" s="77"/>
      <c r="N18" s="72"/>
      <c r="O18" s="79" t="s">
        <v>177</v>
      </c>
      <c r="P18" s="81">
        <v>44407.882581018515</v>
      </c>
      <c r="Q18" s="79" t="s">
        <v>415</v>
      </c>
      <c r="R18" s="79"/>
      <c r="S18" s="79"/>
      <c r="T18" s="85" t="s">
        <v>461</v>
      </c>
      <c r="U18" s="83" t="str">
        <f>HYPERLINK("https://pbs.twimg.com/media/E7ktGcvXMAUpYAr.jpg")</f>
        <v>https://pbs.twimg.com/media/E7ktGcvXMAUpYAr.jpg</v>
      </c>
      <c r="V18" s="83" t="str">
        <f>HYPERLINK("https://pbs.twimg.com/media/E7ktGcvXMAUpYAr.jpg")</f>
        <v>https://pbs.twimg.com/media/E7ktGcvXMAUpYAr.jpg</v>
      </c>
      <c r="W18" s="81">
        <v>44407.882581018515</v>
      </c>
      <c r="X18" s="87">
        <v>44407</v>
      </c>
      <c r="Y18" s="85" t="s">
        <v>649</v>
      </c>
      <c r="Z18" s="83" t="str">
        <f>HYPERLINK("https://twitter.com/irbound/status/1421216763317047298")</f>
        <v>https://twitter.com/irbound/status/1421216763317047298</v>
      </c>
      <c r="AA18" s="79"/>
      <c r="AB18" s="79"/>
      <c r="AC18" s="85" t="s">
        <v>829</v>
      </c>
      <c r="AD18" s="79"/>
      <c r="AE18" s="79" t="b">
        <v>0</v>
      </c>
      <c r="AF18" s="79">
        <v>0</v>
      </c>
      <c r="AG18" s="85" t="s">
        <v>867</v>
      </c>
      <c r="AH18" s="79" t="b">
        <v>0</v>
      </c>
      <c r="AI18" s="79" t="s">
        <v>874</v>
      </c>
      <c r="AJ18" s="79"/>
      <c r="AK18" s="85" t="s">
        <v>867</v>
      </c>
      <c r="AL18" s="79" t="b">
        <v>0</v>
      </c>
      <c r="AM18" s="79">
        <v>0</v>
      </c>
      <c r="AN18" s="85" t="s">
        <v>867</v>
      </c>
      <c r="AO18" s="85" t="s">
        <v>887</v>
      </c>
      <c r="AP18" s="79" t="b">
        <v>0</v>
      </c>
      <c r="AQ18" s="85" t="s">
        <v>829</v>
      </c>
      <c r="AR18" s="79" t="s">
        <v>177</v>
      </c>
      <c r="AS18" s="79">
        <v>0</v>
      </c>
      <c r="AT18" s="79">
        <v>0</v>
      </c>
      <c r="AU18" s="79"/>
      <c r="AV18" s="79"/>
      <c r="AW18" s="79"/>
      <c r="AX18" s="79"/>
      <c r="AY18" s="79"/>
      <c r="AZ18" s="79"/>
      <c r="BA18" s="79"/>
      <c r="BB18" s="79"/>
      <c r="BC18">
        <v>22</v>
      </c>
      <c r="BD18" s="78" t="str">
        <f>REPLACE(INDEX(GroupVertices[Group], MATCH(Edges13[[#This Row],[Vertex 1]],GroupVertices[Vertex],0)),1,1,"")</f>
        <v>5</v>
      </c>
      <c r="BE18" s="78" t="str">
        <f>REPLACE(INDEX(GroupVertices[Group], MATCH(Edges13[[#This Row],[Vertex 2]],GroupVertices[Vertex],0)),1,1,"")</f>
        <v>5</v>
      </c>
    </row>
    <row r="19" spans="1:57" x14ac:dyDescent="0.25">
      <c r="A19" s="64" t="s">
        <v>294</v>
      </c>
      <c r="B19" s="64" t="s">
        <v>294</v>
      </c>
      <c r="C19" s="65"/>
      <c r="D19" s="66"/>
      <c r="E19" s="67"/>
      <c r="F19" s="68"/>
      <c r="G19" s="65"/>
      <c r="H19" s="69"/>
      <c r="I19" s="70"/>
      <c r="J19" s="70"/>
      <c r="K19" s="35" t="s">
        <v>65</v>
      </c>
      <c r="L19" s="77">
        <v>19</v>
      </c>
      <c r="M19" s="77"/>
      <c r="N19" s="72"/>
      <c r="O19" s="79" t="s">
        <v>177</v>
      </c>
      <c r="P19" s="81">
        <v>44407.886481481481</v>
      </c>
      <c r="Q19" s="79" t="s">
        <v>416</v>
      </c>
      <c r="R19" s="79"/>
      <c r="S19" s="79"/>
      <c r="T19" s="85" t="s">
        <v>461</v>
      </c>
      <c r="U19" s="83" t="str">
        <f>HYPERLINK("https://pbs.twimg.com/ext_tw_video_thumb/1421218088586989568/pu/img/3POwVEePskrryj3Z.jpg")</f>
        <v>https://pbs.twimg.com/ext_tw_video_thumb/1421218088586989568/pu/img/3POwVEePskrryj3Z.jpg</v>
      </c>
      <c r="V19" s="83" t="str">
        <f>HYPERLINK("https://pbs.twimg.com/ext_tw_video_thumb/1421218088586989568/pu/img/3POwVEePskrryj3Z.jpg")</f>
        <v>https://pbs.twimg.com/ext_tw_video_thumb/1421218088586989568/pu/img/3POwVEePskrryj3Z.jpg</v>
      </c>
      <c r="W19" s="81">
        <v>44407.886481481481</v>
      </c>
      <c r="X19" s="87">
        <v>44407</v>
      </c>
      <c r="Y19" s="85" t="s">
        <v>650</v>
      </c>
      <c r="Z19" s="83" t="str">
        <f>HYPERLINK("https://twitter.com/irbound/status/1421218173697810441")</f>
        <v>https://twitter.com/irbound/status/1421218173697810441</v>
      </c>
      <c r="AA19" s="79"/>
      <c r="AB19" s="79"/>
      <c r="AC19" s="85" t="s">
        <v>830</v>
      </c>
      <c r="AD19" s="79"/>
      <c r="AE19" s="79" t="b">
        <v>0</v>
      </c>
      <c r="AF19" s="79">
        <v>0</v>
      </c>
      <c r="AG19" s="85" t="s">
        <v>867</v>
      </c>
      <c r="AH19" s="79" t="b">
        <v>0</v>
      </c>
      <c r="AI19" s="79" t="s">
        <v>874</v>
      </c>
      <c r="AJ19" s="79"/>
      <c r="AK19" s="85" t="s">
        <v>867</v>
      </c>
      <c r="AL19" s="79" t="b">
        <v>0</v>
      </c>
      <c r="AM19" s="79">
        <v>0</v>
      </c>
      <c r="AN19" s="85" t="s">
        <v>867</v>
      </c>
      <c r="AO19" s="85" t="s">
        <v>887</v>
      </c>
      <c r="AP19" s="79" t="b">
        <v>0</v>
      </c>
      <c r="AQ19" s="85" t="s">
        <v>830</v>
      </c>
      <c r="AR19" s="79" t="s">
        <v>177</v>
      </c>
      <c r="AS19" s="79">
        <v>0</v>
      </c>
      <c r="AT19" s="79">
        <v>0</v>
      </c>
      <c r="AU19" s="79"/>
      <c r="AV19" s="79"/>
      <c r="AW19" s="79"/>
      <c r="AX19" s="79"/>
      <c r="AY19" s="79"/>
      <c r="AZ19" s="79"/>
      <c r="BA19" s="79"/>
      <c r="BB19" s="79"/>
      <c r="BC19">
        <v>22</v>
      </c>
      <c r="BD19" s="78" t="str">
        <f>REPLACE(INDEX(GroupVertices[Group], MATCH(Edges13[[#This Row],[Vertex 1]],GroupVertices[Vertex],0)),1,1,"")</f>
        <v>5</v>
      </c>
      <c r="BE19" s="78" t="str">
        <f>REPLACE(INDEX(GroupVertices[Group], MATCH(Edges13[[#This Row],[Vertex 2]],GroupVertices[Vertex],0)),1,1,"")</f>
        <v>5</v>
      </c>
    </row>
    <row r="20" spans="1:57" x14ac:dyDescent="0.25">
      <c r="A20" s="64" t="s">
        <v>294</v>
      </c>
      <c r="B20" s="64" t="s">
        <v>294</v>
      </c>
      <c r="C20" s="65"/>
      <c r="D20" s="66"/>
      <c r="E20" s="67"/>
      <c r="F20" s="68"/>
      <c r="G20" s="65"/>
      <c r="H20" s="69"/>
      <c r="I20" s="70"/>
      <c r="J20" s="70"/>
      <c r="K20" s="35" t="s">
        <v>65</v>
      </c>
      <c r="L20" s="77">
        <v>20</v>
      </c>
      <c r="M20" s="77"/>
      <c r="N20" s="72"/>
      <c r="O20" s="79" t="s">
        <v>177</v>
      </c>
      <c r="P20" s="81">
        <v>44407.890243055554</v>
      </c>
      <c r="Q20" s="79" t="s">
        <v>417</v>
      </c>
      <c r="R20" s="79"/>
      <c r="S20" s="79"/>
      <c r="T20" s="85" t="s">
        <v>461</v>
      </c>
      <c r="U20" s="83" t="str">
        <f>HYPERLINK("https://pbs.twimg.com/media/E7kvnvZWQAIsBoi.jpg")</f>
        <v>https://pbs.twimg.com/media/E7kvnvZWQAIsBoi.jpg</v>
      </c>
      <c r="V20" s="83" t="str">
        <f>HYPERLINK("https://pbs.twimg.com/media/E7kvnvZWQAIsBoi.jpg")</f>
        <v>https://pbs.twimg.com/media/E7kvnvZWQAIsBoi.jpg</v>
      </c>
      <c r="W20" s="81">
        <v>44407.890243055554</v>
      </c>
      <c r="X20" s="87">
        <v>44407</v>
      </c>
      <c r="Y20" s="85" t="s">
        <v>651</v>
      </c>
      <c r="Z20" s="83" t="str">
        <f>HYPERLINK("https://twitter.com/irbound/status/1421219539694534656")</f>
        <v>https://twitter.com/irbound/status/1421219539694534656</v>
      </c>
      <c r="AA20" s="79"/>
      <c r="AB20" s="79"/>
      <c r="AC20" s="85" t="s">
        <v>831</v>
      </c>
      <c r="AD20" s="79"/>
      <c r="AE20" s="79" t="b">
        <v>0</v>
      </c>
      <c r="AF20" s="79">
        <v>1</v>
      </c>
      <c r="AG20" s="85" t="s">
        <v>867</v>
      </c>
      <c r="AH20" s="79" t="b">
        <v>0</v>
      </c>
      <c r="AI20" s="79" t="s">
        <v>874</v>
      </c>
      <c r="AJ20" s="79"/>
      <c r="AK20" s="85" t="s">
        <v>867</v>
      </c>
      <c r="AL20" s="79" t="b">
        <v>0</v>
      </c>
      <c r="AM20" s="79">
        <v>0</v>
      </c>
      <c r="AN20" s="85" t="s">
        <v>867</v>
      </c>
      <c r="AO20" s="85" t="s">
        <v>887</v>
      </c>
      <c r="AP20" s="79" t="b">
        <v>0</v>
      </c>
      <c r="AQ20" s="85" t="s">
        <v>831</v>
      </c>
      <c r="AR20" s="79" t="s">
        <v>177</v>
      </c>
      <c r="AS20" s="79">
        <v>0</v>
      </c>
      <c r="AT20" s="79">
        <v>0</v>
      </c>
      <c r="AU20" s="79"/>
      <c r="AV20" s="79"/>
      <c r="AW20" s="79"/>
      <c r="AX20" s="79"/>
      <c r="AY20" s="79"/>
      <c r="AZ20" s="79"/>
      <c r="BA20" s="79"/>
      <c r="BB20" s="79"/>
      <c r="BC20">
        <v>22</v>
      </c>
      <c r="BD20" s="78" t="str">
        <f>REPLACE(INDEX(GroupVertices[Group], MATCH(Edges13[[#This Row],[Vertex 1]],GroupVertices[Vertex],0)),1,1,"")</f>
        <v>5</v>
      </c>
      <c r="BE20" s="78" t="str">
        <f>REPLACE(INDEX(GroupVertices[Group], MATCH(Edges13[[#This Row],[Vertex 2]],GroupVertices[Vertex],0)),1,1,"")</f>
        <v>5</v>
      </c>
    </row>
    <row r="21" spans="1:57" x14ac:dyDescent="0.25">
      <c r="A21" s="64" t="s">
        <v>294</v>
      </c>
      <c r="B21" s="64" t="s">
        <v>294</v>
      </c>
      <c r="C21" s="65"/>
      <c r="D21" s="66"/>
      <c r="E21" s="67"/>
      <c r="F21" s="68"/>
      <c r="G21" s="65"/>
      <c r="H21" s="69"/>
      <c r="I21" s="70"/>
      <c r="J21" s="70"/>
      <c r="K21" s="35" t="s">
        <v>65</v>
      </c>
      <c r="L21" s="77">
        <v>21</v>
      </c>
      <c r="M21" s="77"/>
      <c r="N21" s="72"/>
      <c r="O21" s="79" t="s">
        <v>177</v>
      </c>
      <c r="P21" s="81">
        <v>44407.892812500002</v>
      </c>
      <c r="Q21" s="79" t="s">
        <v>418</v>
      </c>
      <c r="R21" s="79"/>
      <c r="S21" s="79"/>
      <c r="T21" s="85" t="s">
        <v>461</v>
      </c>
      <c r="U21" s="83" t="str">
        <f>HYPERLINK("https://pbs.twimg.com/media/E7kwe7QWUAM0LsI.jpg")</f>
        <v>https://pbs.twimg.com/media/E7kwe7QWUAM0LsI.jpg</v>
      </c>
      <c r="V21" s="83" t="str">
        <f>HYPERLINK("https://pbs.twimg.com/media/E7kwe7QWUAM0LsI.jpg")</f>
        <v>https://pbs.twimg.com/media/E7kwe7QWUAM0LsI.jpg</v>
      </c>
      <c r="W21" s="81">
        <v>44407.892812500002</v>
      </c>
      <c r="X21" s="87">
        <v>44407</v>
      </c>
      <c r="Y21" s="85" t="s">
        <v>652</v>
      </c>
      <c r="Z21" s="83" t="str">
        <f>HYPERLINK("https://twitter.com/irbound/status/1421220467617193985")</f>
        <v>https://twitter.com/irbound/status/1421220467617193985</v>
      </c>
      <c r="AA21" s="79"/>
      <c r="AB21" s="79"/>
      <c r="AC21" s="85" t="s">
        <v>832</v>
      </c>
      <c r="AD21" s="79"/>
      <c r="AE21" s="79" t="b">
        <v>0</v>
      </c>
      <c r="AF21" s="79">
        <v>0</v>
      </c>
      <c r="AG21" s="85" t="s">
        <v>867</v>
      </c>
      <c r="AH21" s="79" t="b">
        <v>0</v>
      </c>
      <c r="AI21" s="79" t="s">
        <v>877</v>
      </c>
      <c r="AJ21" s="79"/>
      <c r="AK21" s="85" t="s">
        <v>867</v>
      </c>
      <c r="AL21" s="79" t="b">
        <v>0</v>
      </c>
      <c r="AM21" s="79">
        <v>0</v>
      </c>
      <c r="AN21" s="85" t="s">
        <v>867</v>
      </c>
      <c r="AO21" s="85" t="s">
        <v>887</v>
      </c>
      <c r="AP21" s="79" t="b">
        <v>0</v>
      </c>
      <c r="AQ21" s="85" t="s">
        <v>832</v>
      </c>
      <c r="AR21" s="79" t="s">
        <v>177</v>
      </c>
      <c r="AS21" s="79">
        <v>0</v>
      </c>
      <c r="AT21" s="79">
        <v>0</v>
      </c>
      <c r="AU21" s="79"/>
      <c r="AV21" s="79"/>
      <c r="AW21" s="79"/>
      <c r="AX21" s="79"/>
      <c r="AY21" s="79"/>
      <c r="AZ21" s="79"/>
      <c r="BA21" s="79"/>
      <c r="BB21" s="79"/>
      <c r="BC21">
        <v>22</v>
      </c>
      <c r="BD21" s="78" t="str">
        <f>REPLACE(INDEX(GroupVertices[Group], MATCH(Edges13[[#This Row],[Vertex 1]],GroupVertices[Vertex],0)),1,1,"")</f>
        <v>5</v>
      </c>
      <c r="BE21" s="78" t="str">
        <f>REPLACE(INDEX(GroupVertices[Group], MATCH(Edges13[[#This Row],[Vertex 2]],GroupVertices[Vertex],0)),1,1,"")</f>
        <v>5</v>
      </c>
    </row>
    <row r="22" spans="1:57" x14ac:dyDescent="0.25">
      <c r="A22" s="64" t="s">
        <v>294</v>
      </c>
      <c r="B22" s="64" t="s">
        <v>294</v>
      </c>
      <c r="C22" s="65"/>
      <c r="D22" s="66"/>
      <c r="E22" s="67"/>
      <c r="F22" s="68"/>
      <c r="G22" s="65"/>
      <c r="H22" s="69"/>
      <c r="I22" s="70"/>
      <c r="J22" s="70"/>
      <c r="K22" s="35" t="s">
        <v>65</v>
      </c>
      <c r="L22" s="77">
        <v>22</v>
      </c>
      <c r="M22" s="77"/>
      <c r="N22" s="72"/>
      <c r="O22" s="79" t="s">
        <v>177</v>
      </c>
      <c r="P22" s="81">
        <v>44407.897905092592</v>
      </c>
      <c r="Q22" s="79" t="s">
        <v>419</v>
      </c>
      <c r="R22" s="79"/>
      <c r="S22" s="79"/>
      <c r="T22" s="85" t="s">
        <v>461</v>
      </c>
      <c r="U22" s="83" t="str">
        <f>HYPERLINK("https://pbs.twimg.com/ext_tw_video_thumb/1421222270018666498/pu/img/m88XJMA3hsFqJPLl.jpg")</f>
        <v>https://pbs.twimg.com/ext_tw_video_thumb/1421222270018666498/pu/img/m88XJMA3hsFqJPLl.jpg</v>
      </c>
      <c r="V22" s="83" t="str">
        <f>HYPERLINK("https://pbs.twimg.com/ext_tw_video_thumb/1421222270018666498/pu/img/m88XJMA3hsFqJPLl.jpg")</f>
        <v>https://pbs.twimg.com/ext_tw_video_thumb/1421222270018666498/pu/img/m88XJMA3hsFqJPLl.jpg</v>
      </c>
      <c r="W22" s="81">
        <v>44407.897905092592</v>
      </c>
      <c r="X22" s="87">
        <v>44407</v>
      </c>
      <c r="Y22" s="85" t="s">
        <v>653</v>
      </c>
      <c r="Z22" s="83" t="str">
        <f>HYPERLINK("https://twitter.com/irbound/status/1421222315187130369")</f>
        <v>https://twitter.com/irbound/status/1421222315187130369</v>
      </c>
      <c r="AA22" s="79"/>
      <c r="AB22" s="79"/>
      <c r="AC22" s="85" t="s">
        <v>833</v>
      </c>
      <c r="AD22" s="79"/>
      <c r="AE22" s="79" t="b">
        <v>0</v>
      </c>
      <c r="AF22" s="79">
        <v>0</v>
      </c>
      <c r="AG22" s="85" t="s">
        <v>867</v>
      </c>
      <c r="AH22" s="79" t="b">
        <v>0</v>
      </c>
      <c r="AI22" s="79" t="s">
        <v>874</v>
      </c>
      <c r="AJ22" s="79"/>
      <c r="AK22" s="85" t="s">
        <v>867</v>
      </c>
      <c r="AL22" s="79" t="b">
        <v>0</v>
      </c>
      <c r="AM22" s="79">
        <v>0</v>
      </c>
      <c r="AN22" s="85" t="s">
        <v>867</v>
      </c>
      <c r="AO22" s="85" t="s">
        <v>887</v>
      </c>
      <c r="AP22" s="79" t="b">
        <v>0</v>
      </c>
      <c r="AQ22" s="85" t="s">
        <v>833</v>
      </c>
      <c r="AR22" s="79" t="s">
        <v>177</v>
      </c>
      <c r="AS22" s="79">
        <v>0</v>
      </c>
      <c r="AT22" s="79">
        <v>0</v>
      </c>
      <c r="AU22" s="79"/>
      <c r="AV22" s="79"/>
      <c r="AW22" s="79"/>
      <c r="AX22" s="79"/>
      <c r="AY22" s="79"/>
      <c r="AZ22" s="79"/>
      <c r="BA22" s="79"/>
      <c r="BB22" s="79"/>
      <c r="BC22">
        <v>22</v>
      </c>
      <c r="BD22" s="78" t="str">
        <f>REPLACE(INDEX(GroupVertices[Group], MATCH(Edges13[[#This Row],[Vertex 1]],GroupVertices[Vertex],0)),1,1,"")</f>
        <v>5</v>
      </c>
      <c r="BE22" s="78" t="str">
        <f>REPLACE(INDEX(GroupVertices[Group], MATCH(Edges13[[#This Row],[Vertex 2]],GroupVertices[Vertex],0)),1,1,"")</f>
        <v>5</v>
      </c>
    </row>
    <row r="23" spans="1:57" x14ac:dyDescent="0.25">
      <c r="A23" s="64" t="s">
        <v>294</v>
      </c>
      <c r="B23" s="64" t="s">
        <v>294</v>
      </c>
      <c r="C23" s="65"/>
      <c r="D23" s="66"/>
      <c r="E23" s="67"/>
      <c r="F23" s="68"/>
      <c r="G23" s="65"/>
      <c r="H23" s="69"/>
      <c r="I23" s="70"/>
      <c r="J23" s="70"/>
      <c r="K23" s="35" t="s">
        <v>65</v>
      </c>
      <c r="L23" s="77">
        <v>23</v>
      </c>
      <c r="M23" s="77"/>
      <c r="N23" s="72"/>
      <c r="O23" s="79" t="s">
        <v>177</v>
      </c>
      <c r="P23" s="81">
        <v>44407.914884259262</v>
      </c>
      <c r="Q23" s="79" t="s">
        <v>420</v>
      </c>
      <c r="R23" s="79"/>
      <c r="S23" s="79"/>
      <c r="T23" s="85" t="s">
        <v>494</v>
      </c>
      <c r="U23" s="83" t="str">
        <f>HYPERLINK("https://pbs.twimg.com/media/E7k3v88WUAEaaVZ.jpg")</f>
        <v>https://pbs.twimg.com/media/E7k3v88WUAEaaVZ.jpg</v>
      </c>
      <c r="V23" s="83" t="str">
        <f>HYPERLINK("https://pbs.twimg.com/media/E7k3v88WUAEaaVZ.jpg")</f>
        <v>https://pbs.twimg.com/media/E7k3v88WUAEaaVZ.jpg</v>
      </c>
      <c r="W23" s="81">
        <v>44407.914884259262</v>
      </c>
      <c r="X23" s="87">
        <v>44407</v>
      </c>
      <c r="Y23" s="85" t="s">
        <v>654</v>
      </c>
      <c r="Z23" s="83" t="str">
        <f>HYPERLINK("https://twitter.com/irbound/status/1421228468977668102")</f>
        <v>https://twitter.com/irbound/status/1421228468977668102</v>
      </c>
      <c r="AA23" s="79"/>
      <c r="AB23" s="79"/>
      <c r="AC23" s="85" t="s">
        <v>834</v>
      </c>
      <c r="AD23" s="79"/>
      <c r="AE23" s="79" t="b">
        <v>0</v>
      </c>
      <c r="AF23" s="79">
        <v>0</v>
      </c>
      <c r="AG23" s="85" t="s">
        <v>867</v>
      </c>
      <c r="AH23" s="79" t="b">
        <v>0</v>
      </c>
      <c r="AI23" s="79" t="s">
        <v>874</v>
      </c>
      <c r="AJ23" s="79"/>
      <c r="AK23" s="85" t="s">
        <v>867</v>
      </c>
      <c r="AL23" s="79" t="b">
        <v>0</v>
      </c>
      <c r="AM23" s="79">
        <v>0</v>
      </c>
      <c r="AN23" s="85" t="s">
        <v>867</v>
      </c>
      <c r="AO23" s="85" t="s">
        <v>887</v>
      </c>
      <c r="AP23" s="79" t="b">
        <v>0</v>
      </c>
      <c r="AQ23" s="85" t="s">
        <v>834</v>
      </c>
      <c r="AR23" s="79" t="s">
        <v>177</v>
      </c>
      <c r="AS23" s="79">
        <v>0</v>
      </c>
      <c r="AT23" s="79">
        <v>0</v>
      </c>
      <c r="AU23" s="79"/>
      <c r="AV23" s="79"/>
      <c r="AW23" s="79"/>
      <c r="AX23" s="79"/>
      <c r="AY23" s="79"/>
      <c r="AZ23" s="79"/>
      <c r="BA23" s="79"/>
      <c r="BB23" s="79"/>
      <c r="BC23">
        <v>22</v>
      </c>
      <c r="BD23" s="78" t="str">
        <f>REPLACE(INDEX(GroupVertices[Group], MATCH(Edges13[[#This Row],[Vertex 1]],GroupVertices[Vertex],0)),1,1,"")</f>
        <v>5</v>
      </c>
      <c r="BE23" s="78" t="str">
        <f>REPLACE(INDEX(GroupVertices[Group], MATCH(Edges13[[#This Row],[Vertex 2]],GroupVertices[Vertex],0)),1,1,"")</f>
        <v>5</v>
      </c>
    </row>
    <row r="24" spans="1:57" x14ac:dyDescent="0.25">
      <c r="A24" s="64" t="s">
        <v>294</v>
      </c>
      <c r="B24" s="64" t="s">
        <v>294</v>
      </c>
      <c r="C24" s="105"/>
      <c r="D24" s="123"/>
      <c r="E24" s="124"/>
      <c r="F24" s="104"/>
      <c r="G24" s="105"/>
      <c r="H24" s="125"/>
      <c r="I24" s="106"/>
      <c r="J24" s="106"/>
      <c r="K24" s="35" t="s">
        <v>65</v>
      </c>
      <c r="L24" s="126">
        <v>24</v>
      </c>
      <c r="M24" s="126"/>
      <c r="N24" s="72"/>
      <c r="O24" s="79" t="s">
        <v>177</v>
      </c>
      <c r="P24" s="81">
        <v>44407.923495370371</v>
      </c>
      <c r="Q24" s="79" t="s">
        <v>421</v>
      </c>
      <c r="R24" s="79"/>
      <c r="S24" s="79"/>
      <c r="T24" s="85" t="s">
        <v>461</v>
      </c>
      <c r="U24" s="83" t="str">
        <f>HYPERLINK("https://pbs.twimg.com/ext_tw_video_thumb/1421231504928219139/pu/img/6GnYrXL7LDZIE5lX.jpg")</f>
        <v>https://pbs.twimg.com/ext_tw_video_thumb/1421231504928219139/pu/img/6GnYrXL7LDZIE5lX.jpg</v>
      </c>
      <c r="V24" s="83" t="str">
        <f>HYPERLINK("https://pbs.twimg.com/ext_tw_video_thumb/1421231504928219139/pu/img/6GnYrXL7LDZIE5lX.jpg")</f>
        <v>https://pbs.twimg.com/ext_tw_video_thumb/1421231504928219139/pu/img/6GnYrXL7LDZIE5lX.jpg</v>
      </c>
      <c r="W24" s="81">
        <v>44407.923495370371</v>
      </c>
      <c r="X24" s="87">
        <v>44407</v>
      </c>
      <c r="Y24" s="85" t="s">
        <v>655</v>
      </c>
      <c r="Z24" s="83" t="str">
        <f>HYPERLINK("https://twitter.com/irbound/status/1421231589334437896")</f>
        <v>https://twitter.com/irbound/status/1421231589334437896</v>
      </c>
      <c r="AA24" s="79"/>
      <c r="AB24" s="79"/>
      <c r="AC24" s="85" t="s">
        <v>835</v>
      </c>
      <c r="AD24" s="79"/>
      <c r="AE24" s="79" t="b">
        <v>0</v>
      </c>
      <c r="AF24" s="79">
        <v>0</v>
      </c>
      <c r="AG24" s="85" t="s">
        <v>867</v>
      </c>
      <c r="AH24" s="79" t="b">
        <v>0</v>
      </c>
      <c r="AI24" s="79" t="s">
        <v>874</v>
      </c>
      <c r="AJ24" s="79"/>
      <c r="AK24" s="85" t="s">
        <v>867</v>
      </c>
      <c r="AL24" s="79" t="b">
        <v>0</v>
      </c>
      <c r="AM24" s="79">
        <v>0</v>
      </c>
      <c r="AN24" s="85" t="s">
        <v>867</v>
      </c>
      <c r="AO24" s="85" t="s">
        <v>887</v>
      </c>
      <c r="AP24" s="79" t="b">
        <v>0</v>
      </c>
      <c r="AQ24" s="85" t="s">
        <v>835</v>
      </c>
      <c r="AR24" s="79" t="s">
        <v>177</v>
      </c>
      <c r="AS24" s="79">
        <v>0</v>
      </c>
      <c r="AT24" s="79">
        <v>0</v>
      </c>
      <c r="AU24" s="79"/>
      <c r="AV24" s="79"/>
      <c r="AW24" s="79"/>
      <c r="AX24" s="79"/>
      <c r="AY24" s="79"/>
      <c r="AZ24" s="79"/>
      <c r="BA24" s="79"/>
      <c r="BB24" s="79"/>
      <c r="BC24">
        <v>22</v>
      </c>
      <c r="BD24" s="78" t="str">
        <f>REPLACE(INDEX(GroupVertices[Group], MATCH(Edges13[[#This Row],[Vertex 1]],GroupVertices[Vertex],0)),1,1,"")</f>
        <v>5</v>
      </c>
      <c r="BE24" s="78" t="str">
        <f>REPLACE(INDEX(GroupVertices[Group], MATCH(Edges13[[#This Row],[Vertex 2]],GroupVertices[Vertex],0)),1,1,"")</f>
        <v>5</v>
      </c>
    </row>
    <row r="25" spans="1:57" x14ac:dyDescent="0.25">
      <c r="A25" s="64" t="s">
        <v>289</v>
      </c>
      <c r="B25" s="64" t="s">
        <v>322</v>
      </c>
      <c r="C25" s="65"/>
      <c r="D25" s="66"/>
      <c r="E25" s="67"/>
      <c r="F25" s="68"/>
      <c r="G25" s="65"/>
      <c r="H25" s="69"/>
      <c r="I25" s="70"/>
      <c r="J25" s="70"/>
      <c r="K25" s="35" t="s">
        <v>65</v>
      </c>
      <c r="L25" s="77">
        <v>25</v>
      </c>
      <c r="M25" s="77"/>
      <c r="N25" s="72"/>
      <c r="O25" s="79" t="s">
        <v>339</v>
      </c>
      <c r="P25" s="81">
        <v>44389.924675925926</v>
      </c>
      <c r="Q25" s="79" t="s">
        <v>370</v>
      </c>
      <c r="R25" s="79"/>
      <c r="S25" s="79"/>
      <c r="T25" s="85" t="s">
        <v>461</v>
      </c>
      <c r="U25" s="83" t="str">
        <f>HYPERLINK("https://pbs.twimg.com/media/E6IOXacX0AIO80c.jpg")</f>
        <v>https://pbs.twimg.com/media/E6IOXacX0AIO80c.jpg</v>
      </c>
      <c r="V25" s="83" t="str">
        <f>HYPERLINK("https://pbs.twimg.com/media/E6IOXacX0AIO80c.jpg")</f>
        <v>https://pbs.twimg.com/media/E6IOXacX0AIO80c.jpg</v>
      </c>
      <c r="W25" s="81">
        <v>44389.924675925926</v>
      </c>
      <c r="X25" s="87">
        <v>44389</v>
      </c>
      <c r="Y25" s="85" t="s">
        <v>623</v>
      </c>
      <c r="Z25" s="83" t="str">
        <f>HYPERLINK("https://twitter.com/ucatonsville/status/1414709036063338496")</f>
        <v>https://twitter.com/ucatonsville/status/1414709036063338496</v>
      </c>
      <c r="AA25" s="79"/>
      <c r="AB25" s="79"/>
      <c r="AC25" s="85" t="s">
        <v>803</v>
      </c>
      <c r="AD25" s="79"/>
      <c r="AE25" s="79" t="b">
        <v>0</v>
      </c>
      <c r="AF25" s="79">
        <v>5</v>
      </c>
      <c r="AG25" s="85" t="s">
        <v>867</v>
      </c>
      <c r="AH25" s="79" t="b">
        <v>0</v>
      </c>
      <c r="AI25" s="79" t="s">
        <v>874</v>
      </c>
      <c r="AJ25" s="79"/>
      <c r="AK25" s="85" t="s">
        <v>867</v>
      </c>
      <c r="AL25" s="79" t="b">
        <v>0</v>
      </c>
      <c r="AM25" s="79">
        <v>3</v>
      </c>
      <c r="AN25" s="85" t="s">
        <v>867</v>
      </c>
      <c r="AO25" s="85" t="s">
        <v>883</v>
      </c>
      <c r="AP25" s="79" t="b">
        <v>0</v>
      </c>
      <c r="AQ25" s="85" t="s">
        <v>803</v>
      </c>
      <c r="AR25" s="79" t="s">
        <v>338</v>
      </c>
      <c r="AS25" s="79">
        <v>0</v>
      </c>
      <c r="AT25" s="79">
        <v>0</v>
      </c>
      <c r="AU25" s="79" t="s">
        <v>895</v>
      </c>
      <c r="AV25" s="79" t="s">
        <v>902</v>
      </c>
      <c r="AW25" s="79" t="s">
        <v>903</v>
      </c>
      <c r="AX25" s="79" t="s">
        <v>908</v>
      </c>
      <c r="AY25" s="79" t="s">
        <v>918</v>
      </c>
      <c r="AZ25" s="79" t="s">
        <v>908</v>
      </c>
      <c r="BA25" s="79" t="s">
        <v>931</v>
      </c>
      <c r="BB25" s="83" t="str">
        <f>HYPERLINK("https://api.twitter.com/1.1/geo/id/07d9e7f954086000.json")</f>
        <v>https://api.twitter.com/1.1/geo/id/07d9e7f954086000.json</v>
      </c>
      <c r="BC25">
        <v>16</v>
      </c>
      <c r="BD25" s="78" t="str">
        <f>REPLACE(INDEX(GroupVertices[Group], MATCH(Edges13[[#This Row],[Vertex 1]],GroupVertices[Vertex],0)),1,1,"")</f>
        <v>3</v>
      </c>
      <c r="BE25" s="78" t="str">
        <f>REPLACE(INDEX(GroupVertices[Group], MATCH(Edges13[[#This Row],[Vertex 2]],GroupVertices[Vertex],0)),1,1,"")</f>
        <v>3</v>
      </c>
    </row>
    <row r="26" spans="1:57" x14ac:dyDescent="0.25">
      <c r="A26" s="64" t="s">
        <v>289</v>
      </c>
      <c r="B26" s="64" t="s">
        <v>322</v>
      </c>
      <c r="C26" s="65"/>
      <c r="D26" s="66"/>
      <c r="E26" s="67"/>
      <c r="F26" s="68"/>
      <c r="G26" s="65"/>
      <c r="H26" s="69"/>
      <c r="I26" s="70"/>
      <c r="J26" s="70"/>
      <c r="K26" s="35" t="s">
        <v>65</v>
      </c>
      <c r="L26" s="77">
        <v>26</v>
      </c>
      <c r="M26" s="77"/>
      <c r="N26" s="72"/>
      <c r="O26" s="79" t="s">
        <v>339</v>
      </c>
      <c r="P26" s="81">
        <v>44389.928425925929</v>
      </c>
      <c r="Q26" s="79" t="s">
        <v>369</v>
      </c>
      <c r="R26" s="79"/>
      <c r="S26" s="79"/>
      <c r="T26" s="85" t="s">
        <v>461</v>
      </c>
      <c r="U26" s="83" t="str">
        <f>HYPERLINK("https://pbs.twimg.com/media/E6IPmASXMAAHX-l.jpg")</f>
        <v>https://pbs.twimg.com/media/E6IPmASXMAAHX-l.jpg</v>
      </c>
      <c r="V26" s="83" t="str">
        <f>HYPERLINK("https://pbs.twimg.com/media/E6IPmASXMAAHX-l.jpg")</f>
        <v>https://pbs.twimg.com/media/E6IPmASXMAAHX-l.jpg</v>
      </c>
      <c r="W26" s="81">
        <v>44389.928425925929</v>
      </c>
      <c r="X26" s="87">
        <v>44389</v>
      </c>
      <c r="Y26" s="85" t="s">
        <v>622</v>
      </c>
      <c r="Z26" s="83" t="str">
        <f>HYPERLINK("https://twitter.com/ucatonsville/status/1414710391532306434")</f>
        <v>https://twitter.com/ucatonsville/status/1414710391532306434</v>
      </c>
      <c r="AA26" s="79"/>
      <c r="AB26" s="79"/>
      <c r="AC26" s="85" t="s">
        <v>802</v>
      </c>
      <c r="AD26" s="79"/>
      <c r="AE26" s="79" t="b">
        <v>0</v>
      </c>
      <c r="AF26" s="79">
        <v>5</v>
      </c>
      <c r="AG26" s="85" t="s">
        <v>867</v>
      </c>
      <c r="AH26" s="79" t="b">
        <v>0</v>
      </c>
      <c r="AI26" s="79" t="s">
        <v>874</v>
      </c>
      <c r="AJ26" s="79"/>
      <c r="AK26" s="85" t="s">
        <v>867</v>
      </c>
      <c r="AL26" s="79" t="b">
        <v>0</v>
      </c>
      <c r="AM26" s="79">
        <v>4</v>
      </c>
      <c r="AN26" s="85" t="s">
        <v>867</v>
      </c>
      <c r="AO26" s="85" t="s">
        <v>883</v>
      </c>
      <c r="AP26" s="79" t="b">
        <v>0</v>
      </c>
      <c r="AQ26" s="85" t="s">
        <v>802</v>
      </c>
      <c r="AR26" s="79" t="s">
        <v>338</v>
      </c>
      <c r="AS26" s="79">
        <v>0</v>
      </c>
      <c r="AT26" s="79">
        <v>0</v>
      </c>
      <c r="AU26" s="79" t="s">
        <v>896</v>
      </c>
      <c r="AV26" s="79" t="s">
        <v>902</v>
      </c>
      <c r="AW26" s="79" t="s">
        <v>903</v>
      </c>
      <c r="AX26" s="79" t="s">
        <v>909</v>
      </c>
      <c r="AY26" s="79" t="s">
        <v>919</v>
      </c>
      <c r="AZ26" s="79" t="s">
        <v>909</v>
      </c>
      <c r="BA26" s="79" t="s">
        <v>931</v>
      </c>
      <c r="BB26" s="83" t="str">
        <f>HYPERLINK("https://api.twitter.com/1.1/geo/id/07d9f0071a084000.json")</f>
        <v>https://api.twitter.com/1.1/geo/id/07d9f0071a084000.json</v>
      </c>
      <c r="BC26">
        <v>16</v>
      </c>
      <c r="BD26" s="78" t="str">
        <f>REPLACE(INDEX(GroupVertices[Group], MATCH(Edges13[[#This Row],[Vertex 1]],GroupVertices[Vertex],0)),1,1,"")</f>
        <v>3</v>
      </c>
      <c r="BE26" s="78" t="str">
        <f>REPLACE(INDEX(GroupVertices[Group], MATCH(Edges13[[#This Row],[Vertex 2]],GroupVertices[Vertex],0)),1,1,"")</f>
        <v>3</v>
      </c>
    </row>
    <row r="27" spans="1:57" x14ac:dyDescent="0.25">
      <c r="A27" s="64" t="s">
        <v>289</v>
      </c>
      <c r="B27" s="64" t="s">
        <v>322</v>
      </c>
      <c r="C27" s="65"/>
      <c r="D27" s="66"/>
      <c r="E27" s="67"/>
      <c r="F27" s="68"/>
      <c r="G27" s="65"/>
      <c r="H27" s="69"/>
      <c r="I27" s="70"/>
      <c r="J27" s="70"/>
      <c r="K27" s="35" t="s">
        <v>65</v>
      </c>
      <c r="L27" s="77">
        <v>27</v>
      </c>
      <c r="M27" s="77"/>
      <c r="N27" s="72"/>
      <c r="O27" s="79" t="s">
        <v>339</v>
      </c>
      <c r="P27" s="81">
        <v>44389.931550925925</v>
      </c>
      <c r="Q27" s="79" t="s">
        <v>368</v>
      </c>
      <c r="R27" s="79"/>
      <c r="S27" s="79"/>
      <c r="T27" s="85" t="s">
        <v>461</v>
      </c>
      <c r="U27" s="83" t="str">
        <f>HYPERLINK("https://pbs.twimg.com/media/E6IQoc-XIAIEHeV.jpg")</f>
        <v>https://pbs.twimg.com/media/E6IQoc-XIAIEHeV.jpg</v>
      </c>
      <c r="V27" s="83" t="str">
        <f>HYPERLINK("https://pbs.twimg.com/media/E6IQoc-XIAIEHeV.jpg")</f>
        <v>https://pbs.twimg.com/media/E6IQoc-XIAIEHeV.jpg</v>
      </c>
      <c r="W27" s="81">
        <v>44389.931550925925</v>
      </c>
      <c r="X27" s="87">
        <v>44389</v>
      </c>
      <c r="Y27" s="85" t="s">
        <v>621</v>
      </c>
      <c r="Z27" s="83" t="str">
        <f>HYPERLINK("https://twitter.com/ucatonsville/status/1414711527953866752")</f>
        <v>https://twitter.com/ucatonsville/status/1414711527953866752</v>
      </c>
      <c r="AA27" s="79"/>
      <c r="AB27" s="79"/>
      <c r="AC27" s="85" t="s">
        <v>801</v>
      </c>
      <c r="AD27" s="79"/>
      <c r="AE27" s="79" t="b">
        <v>0</v>
      </c>
      <c r="AF27" s="79">
        <v>5</v>
      </c>
      <c r="AG27" s="85" t="s">
        <v>867</v>
      </c>
      <c r="AH27" s="79" t="b">
        <v>0</v>
      </c>
      <c r="AI27" s="79" t="s">
        <v>874</v>
      </c>
      <c r="AJ27" s="79"/>
      <c r="AK27" s="85" t="s">
        <v>867</v>
      </c>
      <c r="AL27" s="79" t="b">
        <v>0</v>
      </c>
      <c r="AM27" s="79">
        <v>4</v>
      </c>
      <c r="AN27" s="85" t="s">
        <v>867</v>
      </c>
      <c r="AO27" s="85" t="s">
        <v>883</v>
      </c>
      <c r="AP27" s="79" t="b">
        <v>0</v>
      </c>
      <c r="AQ27" s="85" t="s">
        <v>801</v>
      </c>
      <c r="AR27" s="79" t="s">
        <v>338</v>
      </c>
      <c r="AS27" s="79">
        <v>0</v>
      </c>
      <c r="AT27" s="79">
        <v>0</v>
      </c>
      <c r="AU27" s="79" t="s">
        <v>895</v>
      </c>
      <c r="AV27" s="79" t="s">
        <v>902</v>
      </c>
      <c r="AW27" s="79" t="s">
        <v>903</v>
      </c>
      <c r="AX27" s="79" t="s">
        <v>908</v>
      </c>
      <c r="AY27" s="79" t="s">
        <v>918</v>
      </c>
      <c r="AZ27" s="79" t="s">
        <v>908</v>
      </c>
      <c r="BA27" s="79" t="s">
        <v>931</v>
      </c>
      <c r="BB27" s="83" t="str">
        <f>HYPERLINK("https://api.twitter.com/1.1/geo/id/07d9e7f954086000.json")</f>
        <v>https://api.twitter.com/1.1/geo/id/07d9e7f954086000.json</v>
      </c>
      <c r="BC27">
        <v>16</v>
      </c>
      <c r="BD27" s="78" t="str">
        <f>REPLACE(INDEX(GroupVertices[Group], MATCH(Edges13[[#This Row],[Vertex 1]],GroupVertices[Vertex],0)),1,1,"")</f>
        <v>3</v>
      </c>
      <c r="BE27" s="78" t="str">
        <f>REPLACE(INDEX(GroupVertices[Group], MATCH(Edges13[[#This Row],[Vertex 2]],GroupVertices[Vertex],0)),1,1,"")</f>
        <v>3</v>
      </c>
    </row>
    <row r="28" spans="1:57" x14ac:dyDescent="0.25">
      <c r="A28" s="64" t="s">
        <v>289</v>
      </c>
      <c r="B28" s="64" t="s">
        <v>322</v>
      </c>
      <c r="C28" s="65"/>
      <c r="D28" s="66"/>
      <c r="E28" s="67"/>
      <c r="F28" s="68"/>
      <c r="G28" s="65"/>
      <c r="H28" s="69"/>
      <c r="I28" s="70"/>
      <c r="J28" s="70"/>
      <c r="K28" s="35" t="s">
        <v>65</v>
      </c>
      <c r="L28" s="77">
        <v>28</v>
      </c>
      <c r="M28" s="77"/>
      <c r="N28" s="72"/>
      <c r="O28" s="79" t="s">
        <v>340</v>
      </c>
      <c r="P28" s="81">
        <v>44403.859699074077</v>
      </c>
      <c r="Q28" s="79" t="s">
        <v>392</v>
      </c>
      <c r="R28" s="79"/>
      <c r="S28" s="79"/>
      <c r="T28" s="85" t="s">
        <v>461</v>
      </c>
      <c r="U28" s="83" t="str">
        <f>HYPERLINK("https://pbs.twimg.com/media/E7P_L-xXoAQ6N18.jpg")</f>
        <v>https://pbs.twimg.com/media/E7P_L-xXoAQ6N18.jpg</v>
      </c>
      <c r="V28" s="83" t="str">
        <f>HYPERLINK("https://pbs.twimg.com/media/E7P_L-xXoAQ6N18.jpg")</f>
        <v>https://pbs.twimg.com/media/E7P_L-xXoAQ6N18.jpg</v>
      </c>
      <c r="W28" s="81">
        <v>44403.859699074077</v>
      </c>
      <c r="X28" s="87">
        <v>44403</v>
      </c>
      <c r="Y28" s="85" t="s">
        <v>624</v>
      </c>
      <c r="Z28" s="83" t="str">
        <f>HYPERLINK("https://twitter.com/ucatonsville/status/1419758915957444613")</f>
        <v>https://twitter.com/ucatonsville/status/1419758915957444613</v>
      </c>
      <c r="AA28" s="79"/>
      <c r="AB28" s="79"/>
      <c r="AC28" s="85" t="s">
        <v>804</v>
      </c>
      <c r="AD28" s="79"/>
      <c r="AE28" s="79" t="b">
        <v>0</v>
      </c>
      <c r="AF28" s="79">
        <v>0</v>
      </c>
      <c r="AG28" s="85" t="s">
        <v>872</v>
      </c>
      <c r="AH28" s="79" t="b">
        <v>0</v>
      </c>
      <c r="AI28" s="79" t="s">
        <v>874</v>
      </c>
      <c r="AJ28" s="79"/>
      <c r="AK28" s="85" t="s">
        <v>867</v>
      </c>
      <c r="AL28" s="79" t="b">
        <v>0</v>
      </c>
      <c r="AM28" s="79">
        <v>0</v>
      </c>
      <c r="AN28" s="85" t="s">
        <v>867</v>
      </c>
      <c r="AO28" s="85" t="s">
        <v>883</v>
      </c>
      <c r="AP28" s="79" t="b">
        <v>0</v>
      </c>
      <c r="AQ28" s="85" t="s">
        <v>804</v>
      </c>
      <c r="AR28" s="79" t="s">
        <v>177</v>
      </c>
      <c r="AS28" s="79">
        <v>0</v>
      </c>
      <c r="AT28" s="79">
        <v>0</v>
      </c>
      <c r="AU28" s="79" t="s">
        <v>897</v>
      </c>
      <c r="AV28" s="79" t="s">
        <v>902</v>
      </c>
      <c r="AW28" s="79" t="s">
        <v>903</v>
      </c>
      <c r="AX28" s="79" t="s">
        <v>910</v>
      </c>
      <c r="AY28" s="79" t="s">
        <v>920</v>
      </c>
      <c r="AZ28" s="79" t="s">
        <v>926</v>
      </c>
      <c r="BA28" s="79" t="s">
        <v>930</v>
      </c>
      <c r="BB28" s="83" t="str">
        <f>HYPERLINK("https://api.twitter.com/1.1/geo/id/c0b8e8dc81930292.json")</f>
        <v>https://api.twitter.com/1.1/geo/id/c0b8e8dc81930292.json</v>
      </c>
      <c r="BC28">
        <v>16</v>
      </c>
      <c r="BD28" s="78" t="str">
        <f>REPLACE(INDEX(GroupVertices[Group], MATCH(Edges13[[#This Row],[Vertex 1]],GroupVertices[Vertex],0)),1,1,"")</f>
        <v>3</v>
      </c>
      <c r="BE28" s="78" t="str">
        <f>REPLACE(INDEX(GroupVertices[Group], MATCH(Edges13[[#This Row],[Vertex 2]],GroupVertices[Vertex],0)),1,1,"")</f>
        <v>3</v>
      </c>
    </row>
    <row r="29" spans="1:57" x14ac:dyDescent="0.25">
      <c r="A29" s="64" t="s">
        <v>289</v>
      </c>
      <c r="B29" s="64" t="s">
        <v>322</v>
      </c>
      <c r="C29" s="65"/>
      <c r="D29" s="66"/>
      <c r="E29" s="67"/>
      <c r="F29" s="68"/>
      <c r="G29" s="65"/>
      <c r="H29" s="69"/>
      <c r="I29" s="70"/>
      <c r="J29" s="70"/>
      <c r="K29" s="35" t="s">
        <v>65</v>
      </c>
      <c r="L29" s="77">
        <v>29</v>
      </c>
      <c r="M29" s="77"/>
      <c r="N29" s="72"/>
      <c r="O29" s="79" t="s">
        <v>339</v>
      </c>
      <c r="P29" s="81">
        <v>44404.613877314812</v>
      </c>
      <c r="Q29" s="79" t="s">
        <v>367</v>
      </c>
      <c r="R29" s="83" t="str">
        <f>HYPERLINK("https://www.youtube.com/shorts/qku6RAs0B3k?feature=share")</f>
        <v>https://www.youtube.com/shorts/qku6RAs0B3k?feature=share</v>
      </c>
      <c r="S29" s="79" t="s">
        <v>450</v>
      </c>
      <c r="T29" s="85" t="s">
        <v>478</v>
      </c>
      <c r="U29" s="83" t="str">
        <f>HYPERLINK("https://pbs.twimg.com/media/E7T3xyJWQAYfYP3.jpg")</f>
        <v>https://pbs.twimg.com/media/E7T3xyJWQAYfYP3.jpg</v>
      </c>
      <c r="V29" s="83" t="str">
        <f>HYPERLINK("https://pbs.twimg.com/media/E7T3xyJWQAYfYP3.jpg")</f>
        <v>https://pbs.twimg.com/media/E7T3xyJWQAYfYP3.jpg</v>
      </c>
      <c r="W29" s="81">
        <v>44404.613877314812</v>
      </c>
      <c r="X29" s="87">
        <v>44404</v>
      </c>
      <c r="Y29" s="85" t="s">
        <v>609</v>
      </c>
      <c r="Z29" s="83" t="str">
        <f>HYPERLINK("https://twitter.com/ucatonsville/status/1420032222283898895")</f>
        <v>https://twitter.com/ucatonsville/status/1420032222283898895</v>
      </c>
      <c r="AA29" s="79"/>
      <c r="AB29" s="79"/>
      <c r="AC29" s="85" t="s">
        <v>789</v>
      </c>
      <c r="AD29" s="79"/>
      <c r="AE29" s="79" t="b">
        <v>0</v>
      </c>
      <c r="AF29" s="79">
        <v>4</v>
      </c>
      <c r="AG29" s="85" t="s">
        <v>867</v>
      </c>
      <c r="AH29" s="79" t="b">
        <v>0</v>
      </c>
      <c r="AI29" s="79" t="s">
        <v>874</v>
      </c>
      <c r="AJ29" s="79"/>
      <c r="AK29" s="85" t="s">
        <v>867</v>
      </c>
      <c r="AL29" s="79" t="b">
        <v>0</v>
      </c>
      <c r="AM29" s="79">
        <v>3</v>
      </c>
      <c r="AN29" s="85" t="s">
        <v>867</v>
      </c>
      <c r="AO29" s="85" t="s">
        <v>883</v>
      </c>
      <c r="AP29" s="79" t="b">
        <v>0</v>
      </c>
      <c r="AQ29" s="85" t="s">
        <v>789</v>
      </c>
      <c r="AR29" s="79" t="s">
        <v>177</v>
      </c>
      <c r="AS29" s="79">
        <v>0</v>
      </c>
      <c r="AT29" s="79">
        <v>0</v>
      </c>
      <c r="AU29" s="79" t="s">
        <v>892</v>
      </c>
      <c r="AV29" s="79" t="s">
        <v>902</v>
      </c>
      <c r="AW29" s="79" t="s">
        <v>903</v>
      </c>
      <c r="AX29" s="79" t="s">
        <v>905</v>
      </c>
      <c r="AY29" s="79" t="s">
        <v>915</v>
      </c>
      <c r="AZ29" s="79" t="s">
        <v>905</v>
      </c>
      <c r="BA29" s="79" t="s">
        <v>931</v>
      </c>
      <c r="BB29" s="83" t="str">
        <f>HYPERLINK("https://api.twitter.com/1.1/geo/id/07d9ccb5d1086000.json")</f>
        <v>https://api.twitter.com/1.1/geo/id/07d9ccb5d1086000.json</v>
      </c>
      <c r="BC29">
        <v>16</v>
      </c>
      <c r="BD29" s="78" t="str">
        <f>REPLACE(INDEX(GroupVertices[Group], MATCH(Edges13[[#This Row],[Vertex 1]],GroupVertices[Vertex],0)),1,1,"")</f>
        <v>3</v>
      </c>
      <c r="BE29" s="78" t="str">
        <f>REPLACE(INDEX(GroupVertices[Group], MATCH(Edges13[[#This Row],[Vertex 2]],GroupVertices[Vertex],0)),1,1,"")</f>
        <v>3</v>
      </c>
    </row>
    <row r="30" spans="1:57" x14ac:dyDescent="0.25">
      <c r="A30" s="64" t="s">
        <v>289</v>
      </c>
      <c r="B30" s="64" t="s">
        <v>322</v>
      </c>
      <c r="C30" s="65"/>
      <c r="D30" s="66"/>
      <c r="E30" s="67"/>
      <c r="F30" s="68"/>
      <c r="G30" s="65"/>
      <c r="H30" s="69"/>
      <c r="I30" s="70"/>
      <c r="J30" s="70"/>
      <c r="K30" s="35" t="s">
        <v>65</v>
      </c>
      <c r="L30" s="77">
        <v>30</v>
      </c>
      <c r="M30" s="77"/>
      <c r="N30" s="72"/>
      <c r="O30" s="79" t="s">
        <v>339</v>
      </c>
      <c r="P30" s="81">
        <v>44404.614560185182</v>
      </c>
      <c r="Q30" s="79" t="s">
        <v>371</v>
      </c>
      <c r="R30" s="83" t="str">
        <f>HYPERLINK("https://youtube.com/shorts/qku6RAs")</f>
        <v>https://youtube.com/shorts/qku6RAs</v>
      </c>
      <c r="S30" s="79" t="s">
        <v>450</v>
      </c>
      <c r="T30" s="85" t="s">
        <v>478</v>
      </c>
      <c r="U30" s="79"/>
      <c r="V30" s="83" t="str">
        <f>HYPERLINK("https://pbs.twimg.com/profile_images/1280188684483076097/hDD1guXX_normal.jpg")</f>
        <v>https://pbs.twimg.com/profile_images/1280188684483076097/hDD1guXX_normal.jpg</v>
      </c>
      <c r="W30" s="81">
        <v>44404.614560185182</v>
      </c>
      <c r="X30" s="87">
        <v>44404</v>
      </c>
      <c r="Y30" s="85" t="s">
        <v>610</v>
      </c>
      <c r="Z30" s="83" t="str">
        <f>HYPERLINK("https://twitter.com/ucatonsville/status/1420032469043134480")</f>
        <v>https://twitter.com/ucatonsville/status/1420032469043134480</v>
      </c>
      <c r="AA30" s="79"/>
      <c r="AB30" s="79"/>
      <c r="AC30" s="85" t="s">
        <v>790</v>
      </c>
      <c r="AD30" s="79"/>
      <c r="AE30" s="79" t="b">
        <v>0</v>
      </c>
      <c r="AF30" s="79">
        <v>5</v>
      </c>
      <c r="AG30" s="85" t="s">
        <v>867</v>
      </c>
      <c r="AH30" s="79" t="b">
        <v>0</v>
      </c>
      <c r="AI30" s="79" t="s">
        <v>874</v>
      </c>
      <c r="AJ30" s="79"/>
      <c r="AK30" s="85" t="s">
        <v>867</v>
      </c>
      <c r="AL30" s="79" t="b">
        <v>0</v>
      </c>
      <c r="AM30" s="79">
        <v>3</v>
      </c>
      <c r="AN30" s="85" t="s">
        <v>867</v>
      </c>
      <c r="AO30" s="85" t="s">
        <v>883</v>
      </c>
      <c r="AP30" s="79" t="b">
        <v>0</v>
      </c>
      <c r="AQ30" s="85" t="s">
        <v>790</v>
      </c>
      <c r="AR30" s="79" t="s">
        <v>177</v>
      </c>
      <c r="AS30" s="79">
        <v>0</v>
      </c>
      <c r="AT30" s="79">
        <v>0</v>
      </c>
      <c r="AU30" s="79" t="s">
        <v>892</v>
      </c>
      <c r="AV30" s="79" t="s">
        <v>902</v>
      </c>
      <c r="AW30" s="79" t="s">
        <v>903</v>
      </c>
      <c r="AX30" s="79" t="s">
        <v>905</v>
      </c>
      <c r="AY30" s="79" t="s">
        <v>915</v>
      </c>
      <c r="AZ30" s="79" t="s">
        <v>905</v>
      </c>
      <c r="BA30" s="79" t="s">
        <v>931</v>
      </c>
      <c r="BB30" s="83" t="str">
        <f>HYPERLINK("https://api.twitter.com/1.1/geo/id/07d9ccb5d1086000.json")</f>
        <v>https://api.twitter.com/1.1/geo/id/07d9ccb5d1086000.json</v>
      </c>
      <c r="BC30">
        <v>16</v>
      </c>
      <c r="BD30" s="78" t="str">
        <f>REPLACE(INDEX(GroupVertices[Group], MATCH(Edges13[[#This Row],[Vertex 1]],GroupVertices[Vertex],0)),1,1,"")</f>
        <v>3</v>
      </c>
      <c r="BE30" s="78" t="str">
        <f>REPLACE(INDEX(GroupVertices[Group], MATCH(Edges13[[#This Row],[Vertex 2]],GroupVertices[Vertex],0)),1,1,"")</f>
        <v>3</v>
      </c>
    </row>
    <row r="31" spans="1:57" x14ac:dyDescent="0.25">
      <c r="A31" s="64" t="s">
        <v>289</v>
      </c>
      <c r="B31" s="64" t="s">
        <v>322</v>
      </c>
      <c r="C31" s="65"/>
      <c r="D31" s="66"/>
      <c r="E31" s="67"/>
      <c r="F31" s="68"/>
      <c r="G31" s="65"/>
      <c r="H31" s="69"/>
      <c r="I31" s="70"/>
      <c r="J31" s="70"/>
      <c r="K31" s="35" t="s">
        <v>65</v>
      </c>
      <c r="L31" s="77">
        <v>31</v>
      </c>
      <c r="M31" s="77"/>
      <c r="N31" s="72"/>
      <c r="O31" s="79" t="s">
        <v>340</v>
      </c>
      <c r="P31" s="81">
        <v>44405.982974537037</v>
      </c>
      <c r="Q31" s="79" t="s">
        <v>385</v>
      </c>
      <c r="R31" s="79"/>
      <c r="S31" s="79"/>
      <c r="T31" s="85" t="s">
        <v>461</v>
      </c>
      <c r="U31" s="83" t="str">
        <f>HYPERLINK("https://pbs.twimg.com/media/E7a7A6jX0AQDEwY.jpg")</f>
        <v>https://pbs.twimg.com/media/E7a7A6jX0AQDEwY.jpg</v>
      </c>
      <c r="V31" s="83" t="str">
        <f>HYPERLINK("https://pbs.twimg.com/media/E7a7A6jX0AQDEwY.jpg")</f>
        <v>https://pbs.twimg.com/media/E7a7A6jX0AQDEwY.jpg</v>
      </c>
      <c r="W31" s="81">
        <v>44405.982974537037</v>
      </c>
      <c r="X31" s="87">
        <v>44405</v>
      </c>
      <c r="Y31" s="85" t="s">
        <v>611</v>
      </c>
      <c r="Z31" s="83" t="str">
        <f>HYPERLINK("https://twitter.com/ucatonsville/status/1420528365354856453")</f>
        <v>https://twitter.com/ucatonsville/status/1420528365354856453</v>
      </c>
      <c r="AA31" s="79"/>
      <c r="AB31" s="79"/>
      <c r="AC31" s="85" t="s">
        <v>791</v>
      </c>
      <c r="AD31" s="79"/>
      <c r="AE31" s="79" t="b">
        <v>0</v>
      </c>
      <c r="AF31" s="79">
        <v>0</v>
      </c>
      <c r="AG31" s="85" t="s">
        <v>872</v>
      </c>
      <c r="AH31" s="79" t="b">
        <v>0</v>
      </c>
      <c r="AI31" s="79" t="s">
        <v>874</v>
      </c>
      <c r="AJ31" s="79"/>
      <c r="AK31" s="85" t="s">
        <v>867</v>
      </c>
      <c r="AL31" s="79" t="b">
        <v>0</v>
      </c>
      <c r="AM31" s="79">
        <v>0</v>
      </c>
      <c r="AN31" s="85" t="s">
        <v>867</v>
      </c>
      <c r="AO31" s="85" t="s">
        <v>883</v>
      </c>
      <c r="AP31" s="79" t="b">
        <v>0</v>
      </c>
      <c r="AQ31" s="85" t="s">
        <v>791</v>
      </c>
      <c r="AR31" s="79" t="s">
        <v>177</v>
      </c>
      <c r="AS31" s="79">
        <v>0</v>
      </c>
      <c r="AT31" s="79">
        <v>0</v>
      </c>
      <c r="AU31" s="79" t="s">
        <v>893</v>
      </c>
      <c r="AV31" s="79" t="s">
        <v>902</v>
      </c>
      <c r="AW31" s="79" t="s">
        <v>903</v>
      </c>
      <c r="AX31" s="79" t="s">
        <v>906</v>
      </c>
      <c r="AY31" s="79" t="s">
        <v>916</v>
      </c>
      <c r="AZ31" s="79" t="s">
        <v>906</v>
      </c>
      <c r="BA31" s="79" t="s">
        <v>931</v>
      </c>
      <c r="BB31" s="83" t="str">
        <f>HYPERLINK("https://api.twitter.com/1.1/geo/id/11dca57e8e54e001.json")</f>
        <v>https://api.twitter.com/1.1/geo/id/11dca57e8e54e001.json</v>
      </c>
      <c r="BC31">
        <v>16</v>
      </c>
      <c r="BD31" s="78" t="str">
        <f>REPLACE(INDEX(GroupVertices[Group], MATCH(Edges13[[#This Row],[Vertex 1]],GroupVertices[Vertex],0)),1,1,"")</f>
        <v>3</v>
      </c>
      <c r="BE31" s="78" t="str">
        <f>REPLACE(INDEX(GroupVertices[Group], MATCH(Edges13[[#This Row],[Vertex 2]],GroupVertices[Vertex],0)),1,1,"")</f>
        <v>3</v>
      </c>
    </row>
    <row r="32" spans="1:57" x14ac:dyDescent="0.25">
      <c r="A32" s="64" t="s">
        <v>289</v>
      </c>
      <c r="B32" s="64" t="s">
        <v>322</v>
      </c>
      <c r="C32" s="65"/>
      <c r="D32" s="66"/>
      <c r="E32" s="67"/>
      <c r="F32" s="68"/>
      <c r="G32" s="65"/>
      <c r="H32" s="69"/>
      <c r="I32" s="70"/>
      <c r="J32" s="70"/>
      <c r="K32" s="35" t="s">
        <v>65</v>
      </c>
      <c r="L32" s="77">
        <v>32</v>
      </c>
      <c r="M32" s="77"/>
      <c r="N32" s="72"/>
      <c r="O32" s="79" t="s">
        <v>340</v>
      </c>
      <c r="P32" s="81">
        <v>44405.984050925923</v>
      </c>
      <c r="Q32" s="79" t="s">
        <v>386</v>
      </c>
      <c r="R32" s="79"/>
      <c r="S32" s="79"/>
      <c r="T32" s="85" t="s">
        <v>461</v>
      </c>
      <c r="U32" s="83" t="str">
        <f>HYPERLINK("https://pbs.twimg.com/media/E7a7XzIWQAAyDbT.jpg")</f>
        <v>https://pbs.twimg.com/media/E7a7XzIWQAAyDbT.jpg</v>
      </c>
      <c r="V32" s="83" t="str">
        <f>HYPERLINK("https://pbs.twimg.com/media/E7a7XzIWQAAyDbT.jpg")</f>
        <v>https://pbs.twimg.com/media/E7a7XzIWQAAyDbT.jpg</v>
      </c>
      <c r="W32" s="81">
        <v>44405.984050925923</v>
      </c>
      <c r="X32" s="87">
        <v>44405</v>
      </c>
      <c r="Y32" s="85" t="s">
        <v>612</v>
      </c>
      <c r="Z32" s="83" t="str">
        <f>HYPERLINK("https://twitter.com/ucatonsville/status/1420528757392150530")</f>
        <v>https://twitter.com/ucatonsville/status/1420528757392150530</v>
      </c>
      <c r="AA32" s="79"/>
      <c r="AB32" s="79"/>
      <c r="AC32" s="85" t="s">
        <v>792</v>
      </c>
      <c r="AD32" s="79"/>
      <c r="AE32" s="79" t="b">
        <v>0</v>
      </c>
      <c r="AF32" s="79">
        <v>0</v>
      </c>
      <c r="AG32" s="85" t="s">
        <v>872</v>
      </c>
      <c r="AH32" s="79" t="b">
        <v>0</v>
      </c>
      <c r="AI32" s="79" t="s">
        <v>874</v>
      </c>
      <c r="AJ32" s="79"/>
      <c r="AK32" s="85" t="s">
        <v>867</v>
      </c>
      <c r="AL32" s="79" t="b">
        <v>0</v>
      </c>
      <c r="AM32" s="79">
        <v>0</v>
      </c>
      <c r="AN32" s="85" t="s">
        <v>867</v>
      </c>
      <c r="AO32" s="85" t="s">
        <v>883</v>
      </c>
      <c r="AP32" s="79" t="b">
        <v>0</v>
      </c>
      <c r="AQ32" s="85" t="s">
        <v>792</v>
      </c>
      <c r="AR32" s="79" t="s">
        <v>177</v>
      </c>
      <c r="AS32" s="79">
        <v>0</v>
      </c>
      <c r="AT32" s="79">
        <v>0</v>
      </c>
      <c r="AU32" s="79" t="s">
        <v>893</v>
      </c>
      <c r="AV32" s="79" t="s">
        <v>902</v>
      </c>
      <c r="AW32" s="79" t="s">
        <v>903</v>
      </c>
      <c r="AX32" s="79" t="s">
        <v>906</v>
      </c>
      <c r="AY32" s="79" t="s">
        <v>916</v>
      </c>
      <c r="AZ32" s="79" t="s">
        <v>906</v>
      </c>
      <c r="BA32" s="79" t="s">
        <v>931</v>
      </c>
      <c r="BB32" s="83" t="str">
        <f>HYPERLINK("https://api.twitter.com/1.1/geo/id/11dca57e8e54e001.json")</f>
        <v>https://api.twitter.com/1.1/geo/id/11dca57e8e54e001.json</v>
      </c>
      <c r="BC32">
        <v>16</v>
      </c>
      <c r="BD32" s="78" t="str">
        <f>REPLACE(INDEX(GroupVertices[Group], MATCH(Edges13[[#This Row],[Vertex 1]],GroupVertices[Vertex],0)),1,1,"")</f>
        <v>3</v>
      </c>
      <c r="BE32" s="78" t="str">
        <f>REPLACE(INDEX(GroupVertices[Group], MATCH(Edges13[[#This Row],[Vertex 2]],GroupVertices[Vertex],0)),1,1,"")</f>
        <v>3</v>
      </c>
    </row>
    <row r="33" spans="1:57" x14ac:dyDescent="0.25">
      <c r="A33" s="64" t="s">
        <v>289</v>
      </c>
      <c r="B33" s="64" t="s">
        <v>322</v>
      </c>
      <c r="C33" s="65"/>
      <c r="D33" s="66"/>
      <c r="E33" s="67"/>
      <c r="F33" s="68"/>
      <c r="G33" s="65"/>
      <c r="H33" s="69"/>
      <c r="I33" s="70"/>
      <c r="J33" s="70"/>
      <c r="K33" s="35" t="s">
        <v>65</v>
      </c>
      <c r="L33" s="77">
        <v>33</v>
      </c>
      <c r="M33" s="77"/>
      <c r="N33" s="72"/>
      <c r="O33" s="79" t="s">
        <v>340</v>
      </c>
      <c r="P33" s="81">
        <v>44405.984942129631</v>
      </c>
      <c r="Q33" s="79" t="s">
        <v>379</v>
      </c>
      <c r="R33" s="79"/>
      <c r="S33" s="79"/>
      <c r="T33" s="85" t="s">
        <v>461</v>
      </c>
      <c r="U33" s="83" t="str">
        <f>HYPERLINK("https://pbs.twimg.com/media/E7a7qL-X0AEub4f.jpg")</f>
        <v>https://pbs.twimg.com/media/E7a7qL-X0AEub4f.jpg</v>
      </c>
      <c r="V33" s="83" t="str">
        <f>HYPERLINK("https://pbs.twimg.com/media/E7a7qL-X0AEub4f.jpg")</f>
        <v>https://pbs.twimg.com/media/E7a7qL-X0AEub4f.jpg</v>
      </c>
      <c r="W33" s="81">
        <v>44405.984942129631</v>
      </c>
      <c r="X33" s="87">
        <v>44405</v>
      </c>
      <c r="Y33" s="85" t="s">
        <v>613</v>
      </c>
      <c r="Z33" s="83" t="str">
        <f>HYPERLINK("https://twitter.com/ucatonsville/status/1420529079518892034")</f>
        <v>https://twitter.com/ucatonsville/status/1420529079518892034</v>
      </c>
      <c r="AA33" s="79"/>
      <c r="AB33" s="79"/>
      <c r="AC33" s="85" t="s">
        <v>793</v>
      </c>
      <c r="AD33" s="79"/>
      <c r="AE33" s="79" t="b">
        <v>0</v>
      </c>
      <c r="AF33" s="79">
        <v>1</v>
      </c>
      <c r="AG33" s="85" t="s">
        <v>872</v>
      </c>
      <c r="AH33" s="79" t="b">
        <v>0</v>
      </c>
      <c r="AI33" s="79" t="s">
        <v>874</v>
      </c>
      <c r="AJ33" s="79"/>
      <c r="AK33" s="85" t="s">
        <v>867</v>
      </c>
      <c r="AL33" s="79" t="b">
        <v>0</v>
      </c>
      <c r="AM33" s="79">
        <v>1</v>
      </c>
      <c r="AN33" s="85" t="s">
        <v>867</v>
      </c>
      <c r="AO33" s="85" t="s">
        <v>883</v>
      </c>
      <c r="AP33" s="79" t="b">
        <v>0</v>
      </c>
      <c r="AQ33" s="85" t="s">
        <v>793</v>
      </c>
      <c r="AR33" s="79" t="s">
        <v>177</v>
      </c>
      <c r="AS33" s="79">
        <v>0</v>
      </c>
      <c r="AT33" s="79">
        <v>0</v>
      </c>
      <c r="AU33" s="79" t="s">
        <v>893</v>
      </c>
      <c r="AV33" s="79" t="s">
        <v>902</v>
      </c>
      <c r="AW33" s="79" t="s">
        <v>903</v>
      </c>
      <c r="AX33" s="79" t="s">
        <v>906</v>
      </c>
      <c r="AY33" s="79" t="s">
        <v>916</v>
      </c>
      <c r="AZ33" s="79" t="s">
        <v>906</v>
      </c>
      <c r="BA33" s="79" t="s">
        <v>931</v>
      </c>
      <c r="BB33" s="83" t="str">
        <f>HYPERLINK("https://api.twitter.com/1.1/geo/id/11dca57e8e54e001.json")</f>
        <v>https://api.twitter.com/1.1/geo/id/11dca57e8e54e001.json</v>
      </c>
      <c r="BC33">
        <v>16</v>
      </c>
      <c r="BD33" s="78" t="str">
        <f>REPLACE(INDEX(GroupVertices[Group], MATCH(Edges13[[#This Row],[Vertex 1]],GroupVertices[Vertex],0)),1,1,"")</f>
        <v>3</v>
      </c>
      <c r="BE33" s="78" t="str">
        <f>REPLACE(INDEX(GroupVertices[Group], MATCH(Edges13[[#This Row],[Vertex 2]],GroupVertices[Vertex],0)),1,1,"")</f>
        <v>3</v>
      </c>
    </row>
    <row r="34" spans="1:57" x14ac:dyDescent="0.25">
      <c r="A34" s="64" t="s">
        <v>289</v>
      </c>
      <c r="B34" s="64" t="s">
        <v>322</v>
      </c>
      <c r="C34" s="65"/>
      <c r="D34" s="66"/>
      <c r="E34" s="67"/>
      <c r="F34" s="68"/>
      <c r="G34" s="65"/>
      <c r="H34" s="69"/>
      <c r="I34" s="70"/>
      <c r="J34" s="70"/>
      <c r="K34" s="35" t="s">
        <v>65</v>
      </c>
      <c r="L34" s="77">
        <v>34</v>
      </c>
      <c r="M34" s="77"/>
      <c r="N34" s="72"/>
      <c r="O34" s="79" t="s">
        <v>340</v>
      </c>
      <c r="P34" s="81">
        <v>44405.98541666667</v>
      </c>
      <c r="Q34" s="79" t="s">
        <v>387</v>
      </c>
      <c r="R34" s="79"/>
      <c r="S34" s="79"/>
      <c r="T34" s="85" t="s">
        <v>461</v>
      </c>
      <c r="U34" s="83" t="str">
        <f>HYPERLINK("https://pbs.twimg.com/media/E7a70a7XEAQb9EK.jpg")</f>
        <v>https://pbs.twimg.com/media/E7a70a7XEAQb9EK.jpg</v>
      </c>
      <c r="V34" s="83" t="str">
        <f>HYPERLINK("https://pbs.twimg.com/media/E7a70a7XEAQb9EK.jpg")</f>
        <v>https://pbs.twimg.com/media/E7a70a7XEAQb9EK.jpg</v>
      </c>
      <c r="W34" s="81">
        <v>44405.98541666667</v>
      </c>
      <c r="X34" s="87">
        <v>44405</v>
      </c>
      <c r="Y34" s="85" t="s">
        <v>614</v>
      </c>
      <c r="Z34" s="83" t="str">
        <f>HYPERLINK("https://twitter.com/ucatonsville/status/1420529251510542348")</f>
        <v>https://twitter.com/ucatonsville/status/1420529251510542348</v>
      </c>
      <c r="AA34" s="79"/>
      <c r="AB34" s="79"/>
      <c r="AC34" s="85" t="s">
        <v>794</v>
      </c>
      <c r="AD34" s="79"/>
      <c r="AE34" s="79" t="b">
        <v>0</v>
      </c>
      <c r="AF34" s="79">
        <v>0</v>
      </c>
      <c r="AG34" s="85" t="s">
        <v>872</v>
      </c>
      <c r="AH34" s="79" t="b">
        <v>0</v>
      </c>
      <c r="AI34" s="79" t="s">
        <v>874</v>
      </c>
      <c r="AJ34" s="79"/>
      <c r="AK34" s="85" t="s">
        <v>867</v>
      </c>
      <c r="AL34" s="79" t="b">
        <v>0</v>
      </c>
      <c r="AM34" s="79">
        <v>0</v>
      </c>
      <c r="AN34" s="85" t="s">
        <v>867</v>
      </c>
      <c r="AO34" s="85" t="s">
        <v>883</v>
      </c>
      <c r="AP34" s="79" t="b">
        <v>0</v>
      </c>
      <c r="AQ34" s="85" t="s">
        <v>794</v>
      </c>
      <c r="AR34" s="79" t="s">
        <v>177</v>
      </c>
      <c r="AS34" s="79">
        <v>0</v>
      </c>
      <c r="AT34" s="79">
        <v>0</v>
      </c>
      <c r="AU34" s="79" t="s">
        <v>893</v>
      </c>
      <c r="AV34" s="79" t="s">
        <v>902</v>
      </c>
      <c r="AW34" s="79" t="s">
        <v>903</v>
      </c>
      <c r="AX34" s="79" t="s">
        <v>906</v>
      </c>
      <c r="AY34" s="79" t="s">
        <v>916</v>
      </c>
      <c r="AZ34" s="79" t="s">
        <v>906</v>
      </c>
      <c r="BA34" s="79" t="s">
        <v>931</v>
      </c>
      <c r="BB34" s="83" t="str">
        <f>HYPERLINK("https://api.twitter.com/1.1/geo/id/11dca57e8e54e001.json")</f>
        <v>https://api.twitter.com/1.1/geo/id/11dca57e8e54e001.json</v>
      </c>
      <c r="BC34">
        <v>16</v>
      </c>
      <c r="BD34" s="78" t="str">
        <f>REPLACE(INDEX(GroupVertices[Group], MATCH(Edges13[[#This Row],[Vertex 1]],GroupVertices[Vertex],0)),1,1,"")</f>
        <v>3</v>
      </c>
      <c r="BE34" s="78" t="str">
        <f>REPLACE(INDEX(GroupVertices[Group], MATCH(Edges13[[#This Row],[Vertex 2]],GroupVertices[Vertex],0)),1,1,"")</f>
        <v>3</v>
      </c>
    </row>
    <row r="35" spans="1:57" x14ac:dyDescent="0.25">
      <c r="A35" s="64" t="s">
        <v>289</v>
      </c>
      <c r="B35" s="64" t="s">
        <v>322</v>
      </c>
      <c r="C35" s="65"/>
      <c r="D35" s="66"/>
      <c r="E35" s="67"/>
      <c r="F35" s="68"/>
      <c r="G35" s="65"/>
      <c r="H35" s="69"/>
      <c r="I35" s="70"/>
      <c r="J35" s="70"/>
      <c r="K35" s="35" t="s">
        <v>65</v>
      </c>
      <c r="L35" s="77">
        <v>35</v>
      </c>
      <c r="M35" s="77"/>
      <c r="N35" s="72"/>
      <c r="O35" s="79" t="s">
        <v>340</v>
      </c>
      <c r="P35" s="81">
        <v>44405.986250000002</v>
      </c>
      <c r="Q35" s="79" t="s">
        <v>388</v>
      </c>
      <c r="R35" s="79"/>
      <c r="S35" s="79"/>
      <c r="T35" s="85" t="s">
        <v>461</v>
      </c>
      <c r="U35" s="83" t="str">
        <f>HYPERLINK("https://pbs.twimg.com/media/E7a8GjlXoAg2YCs.jpg")</f>
        <v>https://pbs.twimg.com/media/E7a8GjlXoAg2YCs.jpg</v>
      </c>
      <c r="V35" s="83" t="str">
        <f>HYPERLINK("https://pbs.twimg.com/media/E7a8GjlXoAg2YCs.jpg")</f>
        <v>https://pbs.twimg.com/media/E7a8GjlXoAg2YCs.jpg</v>
      </c>
      <c r="W35" s="81">
        <v>44405.986250000002</v>
      </c>
      <c r="X35" s="87">
        <v>44405</v>
      </c>
      <c r="Y35" s="85" t="s">
        <v>615</v>
      </c>
      <c r="Z35" s="83" t="str">
        <f>HYPERLINK("https://twitter.com/ucatonsville/status/1420529556025380864")</f>
        <v>https://twitter.com/ucatonsville/status/1420529556025380864</v>
      </c>
      <c r="AA35" s="79"/>
      <c r="AB35" s="79"/>
      <c r="AC35" s="85" t="s">
        <v>795</v>
      </c>
      <c r="AD35" s="79"/>
      <c r="AE35" s="79" t="b">
        <v>0</v>
      </c>
      <c r="AF35" s="79">
        <v>0</v>
      </c>
      <c r="AG35" s="85" t="s">
        <v>872</v>
      </c>
      <c r="AH35" s="79" t="b">
        <v>0</v>
      </c>
      <c r="AI35" s="79" t="s">
        <v>874</v>
      </c>
      <c r="AJ35" s="79"/>
      <c r="AK35" s="85" t="s">
        <v>867</v>
      </c>
      <c r="AL35" s="79" t="b">
        <v>0</v>
      </c>
      <c r="AM35" s="79">
        <v>0</v>
      </c>
      <c r="AN35" s="85" t="s">
        <v>867</v>
      </c>
      <c r="AO35" s="85" t="s">
        <v>883</v>
      </c>
      <c r="AP35" s="79" t="b">
        <v>0</v>
      </c>
      <c r="AQ35" s="85" t="s">
        <v>795</v>
      </c>
      <c r="AR35" s="79" t="s">
        <v>177</v>
      </c>
      <c r="AS35" s="79">
        <v>0</v>
      </c>
      <c r="AT35" s="79">
        <v>0</v>
      </c>
      <c r="AU35" s="79"/>
      <c r="AV35" s="79"/>
      <c r="AW35" s="79"/>
      <c r="AX35" s="79"/>
      <c r="AY35" s="79"/>
      <c r="AZ35" s="79"/>
      <c r="BA35" s="79"/>
      <c r="BB35" s="79"/>
      <c r="BC35">
        <v>16</v>
      </c>
      <c r="BD35" s="78" t="str">
        <f>REPLACE(INDEX(GroupVertices[Group], MATCH(Edges13[[#This Row],[Vertex 1]],GroupVertices[Vertex],0)),1,1,"")</f>
        <v>3</v>
      </c>
      <c r="BE35" s="78" t="str">
        <f>REPLACE(INDEX(GroupVertices[Group], MATCH(Edges13[[#This Row],[Vertex 2]],GroupVertices[Vertex],0)),1,1,"")</f>
        <v>3</v>
      </c>
    </row>
    <row r="36" spans="1:57" x14ac:dyDescent="0.25">
      <c r="A36" s="64" t="s">
        <v>289</v>
      </c>
      <c r="B36" s="64" t="s">
        <v>322</v>
      </c>
      <c r="C36" s="65"/>
      <c r="D36" s="66"/>
      <c r="E36" s="67"/>
      <c r="F36" s="68"/>
      <c r="G36" s="65"/>
      <c r="H36" s="69"/>
      <c r="I36" s="70"/>
      <c r="J36" s="70"/>
      <c r="K36" s="35" t="s">
        <v>65</v>
      </c>
      <c r="L36" s="77">
        <v>36</v>
      </c>
      <c r="M36" s="77"/>
      <c r="N36" s="72"/>
      <c r="O36" s="79" t="s">
        <v>340</v>
      </c>
      <c r="P36" s="81">
        <v>44405.986550925925</v>
      </c>
      <c r="Q36" s="79" t="s">
        <v>389</v>
      </c>
      <c r="R36" s="79"/>
      <c r="S36" s="79"/>
      <c r="T36" s="85" t="s">
        <v>461</v>
      </c>
      <c r="U36" s="83" t="str">
        <f>HYPERLINK("https://pbs.twimg.com/media/E7a8M1bXEAQWb44.jpg")</f>
        <v>https://pbs.twimg.com/media/E7a8M1bXEAQWb44.jpg</v>
      </c>
      <c r="V36" s="83" t="str">
        <f>HYPERLINK("https://pbs.twimg.com/media/E7a8M1bXEAQWb44.jpg")</f>
        <v>https://pbs.twimg.com/media/E7a8M1bXEAQWb44.jpg</v>
      </c>
      <c r="W36" s="81">
        <v>44405.986550925925</v>
      </c>
      <c r="X36" s="87">
        <v>44405</v>
      </c>
      <c r="Y36" s="85" t="s">
        <v>616</v>
      </c>
      <c r="Z36" s="83" t="str">
        <f>HYPERLINK("https://twitter.com/ucatonsville/status/1420529664280469510")</f>
        <v>https://twitter.com/ucatonsville/status/1420529664280469510</v>
      </c>
      <c r="AA36" s="79"/>
      <c r="AB36" s="79"/>
      <c r="AC36" s="85" t="s">
        <v>796</v>
      </c>
      <c r="AD36" s="79"/>
      <c r="AE36" s="79" t="b">
        <v>0</v>
      </c>
      <c r="AF36" s="79">
        <v>0</v>
      </c>
      <c r="AG36" s="85" t="s">
        <v>872</v>
      </c>
      <c r="AH36" s="79" t="b">
        <v>0</v>
      </c>
      <c r="AI36" s="79" t="s">
        <v>874</v>
      </c>
      <c r="AJ36" s="79"/>
      <c r="AK36" s="85" t="s">
        <v>867</v>
      </c>
      <c r="AL36" s="79" t="b">
        <v>0</v>
      </c>
      <c r="AM36" s="79">
        <v>0</v>
      </c>
      <c r="AN36" s="85" t="s">
        <v>867</v>
      </c>
      <c r="AO36" s="85" t="s">
        <v>883</v>
      </c>
      <c r="AP36" s="79" t="b">
        <v>0</v>
      </c>
      <c r="AQ36" s="85" t="s">
        <v>796</v>
      </c>
      <c r="AR36" s="79" t="s">
        <v>177</v>
      </c>
      <c r="AS36" s="79">
        <v>0</v>
      </c>
      <c r="AT36" s="79">
        <v>0</v>
      </c>
      <c r="AU36" s="79"/>
      <c r="AV36" s="79"/>
      <c r="AW36" s="79"/>
      <c r="AX36" s="79"/>
      <c r="AY36" s="79"/>
      <c r="AZ36" s="79"/>
      <c r="BA36" s="79"/>
      <c r="BB36" s="79"/>
      <c r="BC36">
        <v>16</v>
      </c>
      <c r="BD36" s="78" t="str">
        <f>REPLACE(INDEX(GroupVertices[Group], MATCH(Edges13[[#This Row],[Vertex 1]],GroupVertices[Vertex],0)),1,1,"")</f>
        <v>3</v>
      </c>
      <c r="BE36" s="78" t="str">
        <f>REPLACE(INDEX(GroupVertices[Group], MATCH(Edges13[[#This Row],[Vertex 2]],GroupVertices[Vertex],0)),1,1,"")</f>
        <v>3</v>
      </c>
    </row>
    <row r="37" spans="1:57" x14ac:dyDescent="0.25">
      <c r="A37" s="64" t="s">
        <v>289</v>
      </c>
      <c r="B37" s="64" t="s">
        <v>322</v>
      </c>
      <c r="C37" s="65"/>
      <c r="D37" s="66"/>
      <c r="E37" s="67"/>
      <c r="F37" s="68"/>
      <c r="G37" s="65"/>
      <c r="H37" s="69"/>
      <c r="I37" s="70"/>
      <c r="J37" s="70"/>
      <c r="K37" s="35" t="s">
        <v>65</v>
      </c>
      <c r="L37" s="77">
        <v>37</v>
      </c>
      <c r="M37" s="77"/>
      <c r="N37" s="72"/>
      <c r="O37" s="79" t="s">
        <v>340</v>
      </c>
      <c r="P37" s="81">
        <v>44405.987962962965</v>
      </c>
      <c r="Q37" s="79" t="s">
        <v>390</v>
      </c>
      <c r="R37" s="79"/>
      <c r="S37" s="79"/>
      <c r="T37" s="85" t="s">
        <v>461</v>
      </c>
      <c r="U37" s="83" t="str">
        <f>HYPERLINK("https://pbs.twimg.com/media/E7a8qbhWYAAJ_Pp.jpg")</f>
        <v>https://pbs.twimg.com/media/E7a8qbhWYAAJ_Pp.jpg</v>
      </c>
      <c r="V37" s="83" t="str">
        <f>HYPERLINK("https://pbs.twimg.com/media/E7a8qbhWYAAJ_Pp.jpg")</f>
        <v>https://pbs.twimg.com/media/E7a8qbhWYAAJ_Pp.jpg</v>
      </c>
      <c r="W37" s="81">
        <v>44405.987962962965</v>
      </c>
      <c r="X37" s="87">
        <v>44405</v>
      </c>
      <c r="Y37" s="85" t="s">
        <v>617</v>
      </c>
      <c r="Z37" s="83" t="str">
        <f>HYPERLINK("https://twitter.com/ucatonsville/status/1420530173947088905")</f>
        <v>https://twitter.com/ucatonsville/status/1420530173947088905</v>
      </c>
      <c r="AA37" s="79"/>
      <c r="AB37" s="79"/>
      <c r="AC37" s="85" t="s">
        <v>797</v>
      </c>
      <c r="AD37" s="79"/>
      <c r="AE37" s="79" t="b">
        <v>0</v>
      </c>
      <c r="AF37" s="79">
        <v>0</v>
      </c>
      <c r="AG37" s="85" t="s">
        <v>872</v>
      </c>
      <c r="AH37" s="79" t="b">
        <v>0</v>
      </c>
      <c r="AI37" s="79" t="s">
        <v>874</v>
      </c>
      <c r="AJ37" s="79"/>
      <c r="AK37" s="85" t="s">
        <v>867</v>
      </c>
      <c r="AL37" s="79" t="b">
        <v>0</v>
      </c>
      <c r="AM37" s="79">
        <v>0</v>
      </c>
      <c r="AN37" s="85" t="s">
        <v>867</v>
      </c>
      <c r="AO37" s="85" t="s">
        <v>883</v>
      </c>
      <c r="AP37" s="79" t="b">
        <v>0</v>
      </c>
      <c r="AQ37" s="85" t="s">
        <v>797</v>
      </c>
      <c r="AR37" s="79" t="s">
        <v>177</v>
      </c>
      <c r="AS37" s="79">
        <v>0</v>
      </c>
      <c r="AT37" s="79">
        <v>0</v>
      </c>
      <c r="AU37" s="79"/>
      <c r="AV37" s="79"/>
      <c r="AW37" s="79"/>
      <c r="AX37" s="79"/>
      <c r="AY37" s="79"/>
      <c r="AZ37" s="79"/>
      <c r="BA37" s="79"/>
      <c r="BB37" s="79"/>
      <c r="BC37">
        <v>16</v>
      </c>
      <c r="BD37" s="78" t="str">
        <f>REPLACE(INDEX(GroupVertices[Group], MATCH(Edges13[[#This Row],[Vertex 1]],GroupVertices[Vertex],0)),1,1,"")</f>
        <v>3</v>
      </c>
      <c r="BE37" s="78" t="str">
        <f>REPLACE(INDEX(GroupVertices[Group], MATCH(Edges13[[#This Row],[Vertex 2]],GroupVertices[Vertex],0)),1,1,"")</f>
        <v>3</v>
      </c>
    </row>
    <row r="38" spans="1:57" x14ac:dyDescent="0.25">
      <c r="A38" s="64" t="s">
        <v>289</v>
      </c>
      <c r="B38" s="64" t="s">
        <v>322</v>
      </c>
      <c r="C38" s="65"/>
      <c r="D38" s="66"/>
      <c r="E38" s="67"/>
      <c r="F38" s="68"/>
      <c r="G38" s="65"/>
      <c r="H38" s="69"/>
      <c r="I38" s="70"/>
      <c r="J38" s="70"/>
      <c r="K38" s="35" t="s">
        <v>65</v>
      </c>
      <c r="L38" s="77">
        <v>38</v>
      </c>
      <c r="M38" s="77"/>
      <c r="N38" s="72"/>
      <c r="O38" s="79" t="s">
        <v>340</v>
      </c>
      <c r="P38" s="81">
        <v>44405.997476851851</v>
      </c>
      <c r="Q38" s="79" t="s">
        <v>378</v>
      </c>
      <c r="R38" s="79"/>
      <c r="S38" s="79"/>
      <c r="T38" s="85" t="s">
        <v>461</v>
      </c>
      <c r="U38" s="83" t="str">
        <f>HYPERLINK("https://pbs.twimg.com/media/E7a_y_LXIAEIoB-.jpg")</f>
        <v>https://pbs.twimg.com/media/E7a_y_LXIAEIoB-.jpg</v>
      </c>
      <c r="V38" s="83" t="str">
        <f>HYPERLINK("https://pbs.twimg.com/media/E7a_y_LXIAEIoB-.jpg")</f>
        <v>https://pbs.twimg.com/media/E7a_y_LXIAEIoB-.jpg</v>
      </c>
      <c r="W38" s="81">
        <v>44405.997476851851</v>
      </c>
      <c r="X38" s="87">
        <v>44405</v>
      </c>
      <c r="Y38" s="85" t="s">
        <v>618</v>
      </c>
      <c r="Z38" s="83" t="str">
        <f>HYPERLINK("https://twitter.com/ucatonsville/status/1420533623971848193")</f>
        <v>https://twitter.com/ucatonsville/status/1420533623971848193</v>
      </c>
      <c r="AA38" s="79"/>
      <c r="AB38" s="79"/>
      <c r="AC38" s="85" t="s">
        <v>798</v>
      </c>
      <c r="AD38" s="79"/>
      <c r="AE38" s="79" t="b">
        <v>0</v>
      </c>
      <c r="AF38" s="79">
        <v>1</v>
      </c>
      <c r="AG38" s="85" t="s">
        <v>872</v>
      </c>
      <c r="AH38" s="79" t="b">
        <v>0</v>
      </c>
      <c r="AI38" s="79" t="s">
        <v>874</v>
      </c>
      <c r="AJ38" s="79"/>
      <c r="AK38" s="85" t="s">
        <v>867</v>
      </c>
      <c r="AL38" s="79" t="b">
        <v>0</v>
      </c>
      <c r="AM38" s="79">
        <v>1</v>
      </c>
      <c r="AN38" s="85" t="s">
        <v>867</v>
      </c>
      <c r="AO38" s="85" t="s">
        <v>883</v>
      </c>
      <c r="AP38" s="79" t="b">
        <v>0</v>
      </c>
      <c r="AQ38" s="85" t="s">
        <v>798</v>
      </c>
      <c r="AR38" s="79" t="s">
        <v>177</v>
      </c>
      <c r="AS38" s="79">
        <v>0</v>
      </c>
      <c r="AT38" s="79">
        <v>0</v>
      </c>
      <c r="AU38" s="79" t="s">
        <v>894</v>
      </c>
      <c r="AV38" s="79" t="s">
        <v>902</v>
      </c>
      <c r="AW38" s="79" t="s">
        <v>903</v>
      </c>
      <c r="AX38" s="79" t="s">
        <v>907</v>
      </c>
      <c r="AY38" s="79" t="s">
        <v>917</v>
      </c>
      <c r="AZ38" s="79" t="s">
        <v>907</v>
      </c>
      <c r="BA38" s="79" t="s">
        <v>931</v>
      </c>
      <c r="BB38" s="83" t="str">
        <f>HYPERLINK("https://api.twitter.com/1.1/geo/id/07d9ec6f99488000.json")</f>
        <v>https://api.twitter.com/1.1/geo/id/07d9ec6f99488000.json</v>
      </c>
      <c r="BC38">
        <v>16</v>
      </c>
      <c r="BD38" s="78" t="str">
        <f>REPLACE(INDEX(GroupVertices[Group], MATCH(Edges13[[#This Row],[Vertex 1]],GroupVertices[Vertex],0)),1,1,"")</f>
        <v>3</v>
      </c>
      <c r="BE38" s="78" t="str">
        <f>REPLACE(INDEX(GroupVertices[Group], MATCH(Edges13[[#This Row],[Vertex 2]],GroupVertices[Vertex],0)),1,1,"")</f>
        <v>3</v>
      </c>
    </row>
    <row r="39" spans="1:57" x14ac:dyDescent="0.25">
      <c r="A39" s="64" t="s">
        <v>289</v>
      </c>
      <c r="B39" s="64" t="s">
        <v>322</v>
      </c>
      <c r="C39" s="65"/>
      <c r="D39" s="66"/>
      <c r="E39" s="67"/>
      <c r="F39" s="68"/>
      <c r="G39" s="65"/>
      <c r="H39" s="69"/>
      <c r="I39" s="70"/>
      <c r="J39" s="70"/>
      <c r="K39" s="35" t="s">
        <v>65</v>
      </c>
      <c r="L39" s="77">
        <v>39</v>
      </c>
      <c r="M39" s="77"/>
      <c r="N39" s="72"/>
      <c r="O39" s="79" t="s">
        <v>339</v>
      </c>
      <c r="P39" s="81">
        <v>44406.62605324074</v>
      </c>
      <c r="Q39" s="79" t="s">
        <v>366</v>
      </c>
      <c r="R39" s="79"/>
      <c r="S39" s="79"/>
      <c r="T39" s="85" t="s">
        <v>461</v>
      </c>
      <c r="U39" s="83" t="str">
        <f>HYPERLINK("https://pbs.twimg.com/media/E7eO9zIVUAEjK-g.jpg")</f>
        <v>https://pbs.twimg.com/media/E7eO9zIVUAEjK-g.jpg</v>
      </c>
      <c r="V39" s="83" t="str">
        <f>HYPERLINK("https://pbs.twimg.com/media/E7eO9zIVUAEjK-g.jpg")</f>
        <v>https://pbs.twimg.com/media/E7eO9zIVUAEjK-g.jpg</v>
      </c>
      <c r="W39" s="81">
        <v>44406.62605324074</v>
      </c>
      <c r="X39" s="87">
        <v>44406</v>
      </c>
      <c r="Y39" s="85" t="s">
        <v>619</v>
      </c>
      <c r="Z39" s="83" t="str">
        <f>HYPERLINK("https://twitter.com/ucatonsville/status/1420761412998209539")</f>
        <v>https://twitter.com/ucatonsville/status/1420761412998209539</v>
      </c>
      <c r="AA39" s="79"/>
      <c r="AB39" s="79"/>
      <c r="AC39" s="85" t="s">
        <v>799</v>
      </c>
      <c r="AD39" s="79"/>
      <c r="AE39" s="79" t="b">
        <v>0</v>
      </c>
      <c r="AF39" s="79">
        <v>6</v>
      </c>
      <c r="AG39" s="85" t="s">
        <v>867</v>
      </c>
      <c r="AH39" s="79" t="b">
        <v>0</v>
      </c>
      <c r="AI39" s="79" t="s">
        <v>874</v>
      </c>
      <c r="AJ39" s="79"/>
      <c r="AK39" s="85" t="s">
        <v>867</v>
      </c>
      <c r="AL39" s="79" t="b">
        <v>0</v>
      </c>
      <c r="AM39" s="79">
        <v>4</v>
      </c>
      <c r="AN39" s="85" t="s">
        <v>867</v>
      </c>
      <c r="AO39" s="85" t="s">
        <v>883</v>
      </c>
      <c r="AP39" s="79" t="b">
        <v>0</v>
      </c>
      <c r="AQ39" s="85" t="s">
        <v>799</v>
      </c>
      <c r="AR39" s="79" t="s">
        <v>177</v>
      </c>
      <c r="AS39" s="79">
        <v>0</v>
      </c>
      <c r="AT39" s="79">
        <v>0</v>
      </c>
      <c r="AU39" s="79" t="s">
        <v>894</v>
      </c>
      <c r="AV39" s="79" t="s">
        <v>902</v>
      </c>
      <c r="AW39" s="79" t="s">
        <v>903</v>
      </c>
      <c r="AX39" s="79" t="s">
        <v>907</v>
      </c>
      <c r="AY39" s="79" t="s">
        <v>917</v>
      </c>
      <c r="AZ39" s="79" t="s">
        <v>907</v>
      </c>
      <c r="BA39" s="79" t="s">
        <v>931</v>
      </c>
      <c r="BB39" s="83" t="str">
        <f>HYPERLINK("https://api.twitter.com/1.1/geo/id/07d9ec6f99488000.json")</f>
        <v>https://api.twitter.com/1.1/geo/id/07d9ec6f99488000.json</v>
      </c>
      <c r="BC39">
        <v>16</v>
      </c>
      <c r="BD39" s="78" t="str">
        <f>REPLACE(INDEX(GroupVertices[Group], MATCH(Edges13[[#This Row],[Vertex 1]],GroupVertices[Vertex],0)),1,1,"")</f>
        <v>3</v>
      </c>
      <c r="BE39" s="78" t="str">
        <f>REPLACE(INDEX(GroupVertices[Group], MATCH(Edges13[[#This Row],[Vertex 2]],GroupVertices[Vertex],0)),1,1,"")</f>
        <v>3</v>
      </c>
    </row>
    <row r="40" spans="1:57" x14ac:dyDescent="0.25">
      <c r="A40" s="64" t="s">
        <v>289</v>
      </c>
      <c r="B40" s="64" t="s">
        <v>322</v>
      </c>
      <c r="C40" s="65"/>
      <c r="D40" s="66"/>
      <c r="E40" s="67"/>
      <c r="F40" s="68"/>
      <c r="G40" s="65"/>
      <c r="H40" s="69"/>
      <c r="I40" s="70"/>
      <c r="J40" s="70"/>
      <c r="K40" s="35" t="s">
        <v>65</v>
      </c>
      <c r="L40" s="77">
        <v>40</v>
      </c>
      <c r="M40" s="77"/>
      <c r="N40" s="72"/>
      <c r="O40" s="79" t="s">
        <v>339</v>
      </c>
      <c r="P40" s="81">
        <v>44407.767523148148</v>
      </c>
      <c r="Q40" s="79" t="s">
        <v>391</v>
      </c>
      <c r="R40" s="83" t="str">
        <f>HYPERLINK("https://youtu.be/AblrrbQT5AE")</f>
        <v>https://youtu.be/AblrrbQT5AE</v>
      </c>
      <c r="S40" s="79" t="s">
        <v>454</v>
      </c>
      <c r="T40" s="85" t="s">
        <v>461</v>
      </c>
      <c r="U40" s="79"/>
      <c r="V40" s="83" t="str">
        <f>HYPERLINK("https://pbs.twimg.com/profile_images/1280188684483076097/hDD1guXX_normal.jpg")</f>
        <v>https://pbs.twimg.com/profile_images/1280188684483076097/hDD1guXX_normal.jpg</v>
      </c>
      <c r="W40" s="81">
        <v>44407.767523148148</v>
      </c>
      <c r="X40" s="87">
        <v>44407</v>
      </c>
      <c r="Y40" s="85" t="s">
        <v>620</v>
      </c>
      <c r="Z40" s="83" t="str">
        <f>HYPERLINK("https://twitter.com/ucatonsville/status/1421175066356850692")</f>
        <v>https://twitter.com/ucatonsville/status/1421175066356850692</v>
      </c>
      <c r="AA40" s="79"/>
      <c r="AB40" s="79"/>
      <c r="AC40" s="85" t="s">
        <v>800</v>
      </c>
      <c r="AD40" s="79"/>
      <c r="AE40" s="79" t="b">
        <v>0</v>
      </c>
      <c r="AF40" s="79">
        <v>0</v>
      </c>
      <c r="AG40" s="85" t="s">
        <v>867</v>
      </c>
      <c r="AH40" s="79" t="b">
        <v>0</v>
      </c>
      <c r="AI40" s="79" t="s">
        <v>874</v>
      </c>
      <c r="AJ40" s="79"/>
      <c r="AK40" s="85" t="s">
        <v>867</v>
      </c>
      <c r="AL40" s="79" t="b">
        <v>0</v>
      </c>
      <c r="AM40" s="79">
        <v>0</v>
      </c>
      <c r="AN40" s="85" t="s">
        <v>867</v>
      </c>
      <c r="AO40" s="85" t="s">
        <v>883</v>
      </c>
      <c r="AP40" s="79" t="b">
        <v>0</v>
      </c>
      <c r="AQ40" s="85" t="s">
        <v>800</v>
      </c>
      <c r="AR40" s="79" t="s">
        <v>177</v>
      </c>
      <c r="AS40" s="79">
        <v>0</v>
      </c>
      <c r="AT40" s="79">
        <v>0</v>
      </c>
      <c r="AU40" s="79"/>
      <c r="AV40" s="79"/>
      <c r="AW40" s="79"/>
      <c r="AX40" s="79"/>
      <c r="AY40" s="79"/>
      <c r="AZ40" s="79"/>
      <c r="BA40" s="79"/>
      <c r="BB40" s="79"/>
      <c r="BC40">
        <v>16</v>
      </c>
      <c r="BD40" s="78" t="str">
        <f>REPLACE(INDEX(GroupVertices[Group], MATCH(Edges13[[#This Row],[Vertex 1]],GroupVertices[Vertex],0)),1,1,"")</f>
        <v>3</v>
      </c>
      <c r="BE40" s="78" t="str">
        <f>REPLACE(INDEX(GroupVertices[Group], MATCH(Edges13[[#This Row],[Vertex 2]],GroupVertices[Vertex],0)),1,1,"")</f>
        <v>3</v>
      </c>
    </row>
    <row r="41" spans="1:57" x14ac:dyDescent="0.25">
      <c r="A41" s="64" t="s">
        <v>267</v>
      </c>
      <c r="B41" s="64" t="s">
        <v>289</v>
      </c>
      <c r="C41" s="65"/>
      <c r="D41" s="66"/>
      <c r="E41" s="67"/>
      <c r="F41" s="68"/>
      <c r="G41" s="65"/>
      <c r="H41" s="69"/>
      <c r="I41" s="70"/>
      <c r="J41" s="70"/>
      <c r="K41" s="35" t="s">
        <v>65</v>
      </c>
      <c r="L41" s="77">
        <v>41</v>
      </c>
      <c r="M41" s="77"/>
      <c r="N41" s="72"/>
      <c r="O41" s="79" t="s">
        <v>337</v>
      </c>
      <c r="P41" s="81">
        <v>44406.628321759257</v>
      </c>
      <c r="Q41" s="79" t="s">
        <v>371</v>
      </c>
      <c r="R41" s="83" t="str">
        <f>HYPERLINK("https://youtube.com/shorts/qku6RAs")</f>
        <v>https://youtube.com/shorts/qku6RAs</v>
      </c>
      <c r="S41" s="79" t="s">
        <v>450</v>
      </c>
      <c r="T41" s="85" t="s">
        <v>478</v>
      </c>
      <c r="U41" s="79"/>
      <c r="V41" s="83" t="str">
        <f>HYPERLINK("https://pbs.twimg.com/profile_images/1398299805156360194/2uVusLCs_normal.jpg")</f>
        <v>https://pbs.twimg.com/profile_images/1398299805156360194/2uVusLCs_normal.jpg</v>
      </c>
      <c r="W41" s="81">
        <v>44406.628321759257</v>
      </c>
      <c r="X41" s="87">
        <v>44406</v>
      </c>
      <c r="Y41" s="85" t="s">
        <v>573</v>
      </c>
      <c r="Z41" s="83" t="str">
        <f>HYPERLINK("https://twitter.com/ms_tabu/status/1420762232816914432")</f>
        <v>https://twitter.com/ms_tabu/status/1420762232816914432</v>
      </c>
      <c r="AA41" s="79"/>
      <c r="AB41" s="79"/>
      <c r="AC41" s="85" t="s">
        <v>752</v>
      </c>
      <c r="AD41" s="79"/>
      <c r="AE41" s="79" t="b">
        <v>0</v>
      </c>
      <c r="AF41" s="79">
        <v>0</v>
      </c>
      <c r="AG41" s="85" t="s">
        <v>867</v>
      </c>
      <c r="AH41" s="79" t="b">
        <v>0</v>
      </c>
      <c r="AI41" s="79" t="s">
        <v>874</v>
      </c>
      <c r="AJ41" s="79"/>
      <c r="AK41" s="85" t="s">
        <v>867</v>
      </c>
      <c r="AL41" s="79" t="b">
        <v>0</v>
      </c>
      <c r="AM41" s="79">
        <v>3</v>
      </c>
      <c r="AN41" s="85" t="s">
        <v>790</v>
      </c>
      <c r="AO41" s="85" t="s">
        <v>887</v>
      </c>
      <c r="AP41" s="79" t="b">
        <v>0</v>
      </c>
      <c r="AQ41" s="85" t="s">
        <v>790</v>
      </c>
      <c r="AR41" s="79" t="s">
        <v>177</v>
      </c>
      <c r="AS41" s="79">
        <v>0</v>
      </c>
      <c r="AT41" s="79">
        <v>0</v>
      </c>
      <c r="AU41" s="79"/>
      <c r="AV41" s="79"/>
      <c r="AW41" s="79"/>
      <c r="AX41" s="79"/>
      <c r="AY41" s="79"/>
      <c r="AZ41" s="79"/>
      <c r="BA41" s="79"/>
      <c r="BB41" s="79"/>
      <c r="BC41">
        <v>12</v>
      </c>
      <c r="BD41" s="78" t="str">
        <f>REPLACE(INDEX(GroupVertices[Group], MATCH(Edges13[[#This Row],[Vertex 1]],GroupVertices[Vertex],0)),1,1,"")</f>
        <v>3</v>
      </c>
      <c r="BE41" s="78" t="str">
        <f>REPLACE(INDEX(GroupVertices[Group], MATCH(Edges13[[#This Row],[Vertex 2]],GroupVertices[Vertex],0)),1,1,"")</f>
        <v>3</v>
      </c>
    </row>
    <row r="42" spans="1:57" x14ac:dyDescent="0.25">
      <c r="A42" s="64" t="s">
        <v>267</v>
      </c>
      <c r="B42" s="64" t="s">
        <v>289</v>
      </c>
      <c r="C42" s="65"/>
      <c r="D42" s="66"/>
      <c r="E42" s="67"/>
      <c r="F42" s="68"/>
      <c r="G42" s="65"/>
      <c r="H42" s="69"/>
      <c r="I42" s="70"/>
      <c r="J42" s="70"/>
      <c r="K42" s="35" t="s">
        <v>65</v>
      </c>
      <c r="L42" s="77">
        <v>43</v>
      </c>
      <c r="M42" s="77"/>
      <c r="N42" s="72"/>
      <c r="O42" s="79" t="s">
        <v>337</v>
      </c>
      <c r="P42" s="81">
        <v>44406.628391203703</v>
      </c>
      <c r="Q42" s="79" t="s">
        <v>367</v>
      </c>
      <c r="R42" s="83" t="str">
        <f>HYPERLINK("https://www.youtube.com/shorts/qku6RAs0B3k?feature=share")</f>
        <v>https://www.youtube.com/shorts/qku6RAs0B3k?feature=share</v>
      </c>
      <c r="S42" s="79" t="s">
        <v>450</v>
      </c>
      <c r="T42" s="85" t="s">
        <v>478</v>
      </c>
      <c r="U42" s="83" t="str">
        <f>HYPERLINK("https://pbs.twimg.com/media/E7T3xyJWQAYfYP3.jpg")</f>
        <v>https://pbs.twimg.com/media/E7T3xyJWQAYfYP3.jpg</v>
      </c>
      <c r="V42" s="83" t="str">
        <f>HYPERLINK("https://pbs.twimg.com/media/E7T3xyJWQAYfYP3.jpg")</f>
        <v>https://pbs.twimg.com/media/E7T3xyJWQAYfYP3.jpg</v>
      </c>
      <c r="W42" s="81">
        <v>44406.628391203703</v>
      </c>
      <c r="X42" s="87">
        <v>44406</v>
      </c>
      <c r="Y42" s="85" t="s">
        <v>574</v>
      </c>
      <c r="Z42" s="83" t="str">
        <f>HYPERLINK("https://twitter.com/ms_tabu/status/1420762259693973506")</f>
        <v>https://twitter.com/ms_tabu/status/1420762259693973506</v>
      </c>
      <c r="AA42" s="79"/>
      <c r="AB42" s="79"/>
      <c r="AC42" s="85" t="s">
        <v>753</v>
      </c>
      <c r="AD42" s="79"/>
      <c r="AE42" s="79" t="b">
        <v>0</v>
      </c>
      <c r="AF42" s="79">
        <v>0</v>
      </c>
      <c r="AG42" s="85" t="s">
        <v>867</v>
      </c>
      <c r="AH42" s="79" t="b">
        <v>0</v>
      </c>
      <c r="AI42" s="79" t="s">
        <v>874</v>
      </c>
      <c r="AJ42" s="79"/>
      <c r="AK42" s="85" t="s">
        <v>867</v>
      </c>
      <c r="AL42" s="79" t="b">
        <v>0</v>
      </c>
      <c r="AM42" s="79">
        <v>3</v>
      </c>
      <c r="AN42" s="85" t="s">
        <v>789</v>
      </c>
      <c r="AO42" s="85" t="s">
        <v>887</v>
      </c>
      <c r="AP42" s="79" t="b">
        <v>0</v>
      </c>
      <c r="AQ42" s="85" t="s">
        <v>789</v>
      </c>
      <c r="AR42" s="79" t="s">
        <v>177</v>
      </c>
      <c r="AS42" s="79">
        <v>0</v>
      </c>
      <c r="AT42" s="79">
        <v>0</v>
      </c>
      <c r="AU42" s="79"/>
      <c r="AV42" s="79"/>
      <c r="AW42" s="79"/>
      <c r="AX42" s="79"/>
      <c r="AY42" s="79"/>
      <c r="AZ42" s="79"/>
      <c r="BA42" s="79"/>
      <c r="BB42" s="79"/>
      <c r="BC42">
        <v>12</v>
      </c>
      <c r="BD42" s="78" t="str">
        <f>REPLACE(INDEX(GroupVertices[Group], MATCH(Edges13[[#This Row],[Vertex 1]],GroupVertices[Vertex],0)),1,1,"")</f>
        <v>3</v>
      </c>
      <c r="BE42" s="78" t="str">
        <f>REPLACE(INDEX(GroupVertices[Group], MATCH(Edges13[[#This Row],[Vertex 2]],GroupVertices[Vertex],0)),1,1,"")</f>
        <v>3</v>
      </c>
    </row>
    <row r="43" spans="1:57" x14ac:dyDescent="0.25">
      <c r="A43" s="64" t="s">
        <v>267</v>
      </c>
      <c r="B43" s="64" t="s">
        <v>289</v>
      </c>
      <c r="C43" s="65"/>
      <c r="D43" s="66"/>
      <c r="E43" s="67"/>
      <c r="F43" s="68"/>
      <c r="G43" s="65"/>
      <c r="H43" s="69"/>
      <c r="I43" s="70"/>
      <c r="J43" s="70"/>
      <c r="K43" s="35" t="s">
        <v>65</v>
      </c>
      <c r="L43" s="77">
        <v>45</v>
      </c>
      <c r="M43" s="77"/>
      <c r="N43" s="72"/>
      <c r="O43" s="79" t="s">
        <v>337</v>
      </c>
      <c r="P43" s="81">
        <v>44406.629178240742</v>
      </c>
      <c r="Q43" s="79" t="s">
        <v>368</v>
      </c>
      <c r="R43" s="79"/>
      <c r="S43" s="79"/>
      <c r="T43" s="85" t="s">
        <v>461</v>
      </c>
      <c r="U43" s="83" t="str">
        <f>HYPERLINK("https://pbs.twimg.com/media/E6IQoc-XIAIEHeV.jpg")</f>
        <v>https://pbs.twimg.com/media/E6IQoc-XIAIEHeV.jpg</v>
      </c>
      <c r="V43" s="83" t="str">
        <f>HYPERLINK("https://pbs.twimg.com/media/E6IQoc-XIAIEHeV.jpg")</f>
        <v>https://pbs.twimg.com/media/E6IQoc-XIAIEHeV.jpg</v>
      </c>
      <c r="W43" s="81">
        <v>44406.629178240742</v>
      </c>
      <c r="X43" s="87">
        <v>44406</v>
      </c>
      <c r="Y43" s="85" t="s">
        <v>575</v>
      </c>
      <c r="Z43" s="83" t="str">
        <f>HYPERLINK("https://twitter.com/ms_tabu/status/1420762541416869895")</f>
        <v>https://twitter.com/ms_tabu/status/1420762541416869895</v>
      </c>
      <c r="AA43" s="79"/>
      <c r="AB43" s="79"/>
      <c r="AC43" s="85" t="s">
        <v>754</v>
      </c>
      <c r="AD43" s="79"/>
      <c r="AE43" s="79" t="b">
        <v>0</v>
      </c>
      <c r="AF43" s="79">
        <v>0</v>
      </c>
      <c r="AG43" s="85" t="s">
        <v>867</v>
      </c>
      <c r="AH43" s="79" t="b">
        <v>0</v>
      </c>
      <c r="AI43" s="79" t="s">
        <v>874</v>
      </c>
      <c r="AJ43" s="79"/>
      <c r="AK43" s="85" t="s">
        <v>867</v>
      </c>
      <c r="AL43" s="79" t="b">
        <v>0</v>
      </c>
      <c r="AM43" s="79">
        <v>4</v>
      </c>
      <c r="AN43" s="85" t="s">
        <v>801</v>
      </c>
      <c r="AO43" s="85" t="s">
        <v>887</v>
      </c>
      <c r="AP43" s="79" t="b">
        <v>0</v>
      </c>
      <c r="AQ43" s="85" t="s">
        <v>801</v>
      </c>
      <c r="AR43" s="79" t="s">
        <v>177</v>
      </c>
      <c r="AS43" s="79">
        <v>0</v>
      </c>
      <c r="AT43" s="79">
        <v>0</v>
      </c>
      <c r="AU43" s="79"/>
      <c r="AV43" s="79"/>
      <c r="AW43" s="79"/>
      <c r="AX43" s="79"/>
      <c r="AY43" s="79"/>
      <c r="AZ43" s="79"/>
      <c r="BA43" s="79"/>
      <c r="BB43" s="79"/>
      <c r="BC43">
        <v>12</v>
      </c>
      <c r="BD43" s="78" t="str">
        <f>REPLACE(INDEX(GroupVertices[Group], MATCH(Edges13[[#This Row],[Vertex 1]],GroupVertices[Vertex],0)),1,1,"")</f>
        <v>3</v>
      </c>
      <c r="BE43" s="78" t="str">
        <f>REPLACE(INDEX(GroupVertices[Group], MATCH(Edges13[[#This Row],[Vertex 2]],GroupVertices[Vertex],0)),1,1,"")</f>
        <v>3</v>
      </c>
    </row>
    <row r="44" spans="1:57" x14ac:dyDescent="0.25">
      <c r="A44" s="64" t="s">
        <v>267</v>
      </c>
      <c r="B44" s="64" t="s">
        <v>289</v>
      </c>
      <c r="C44" s="65"/>
      <c r="D44" s="66"/>
      <c r="E44" s="67"/>
      <c r="F44" s="68"/>
      <c r="G44" s="65"/>
      <c r="H44" s="69"/>
      <c r="I44" s="70"/>
      <c r="J44" s="70"/>
      <c r="K44" s="35" t="s">
        <v>65</v>
      </c>
      <c r="L44" s="77">
        <v>47</v>
      </c>
      <c r="M44" s="77"/>
      <c r="N44" s="72"/>
      <c r="O44" s="79" t="s">
        <v>337</v>
      </c>
      <c r="P44" s="81">
        <v>44406.629236111112</v>
      </c>
      <c r="Q44" s="79" t="s">
        <v>369</v>
      </c>
      <c r="R44" s="79"/>
      <c r="S44" s="79"/>
      <c r="T44" s="85" t="s">
        <v>461</v>
      </c>
      <c r="U44" s="83" t="str">
        <f>HYPERLINK("https://pbs.twimg.com/media/E6IPmASXMAAHX-l.jpg")</f>
        <v>https://pbs.twimg.com/media/E6IPmASXMAAHX-l.jpg</v>
      </c>
      <c r="V44" s="83" t="str">
        <f>HYPERLINK("https://pbs.twimg.com/media/E6IPmASXMAAHX-l.jpg")</f>
        <v>https://pbs.twimg.com/media/E6IPmASXMAAHX-l.jpg</v>
      </c>
      <c r="W44" s="81">
        <v>44406.629236111112</v>
      </c>
      <c r="X44" s="87">
        <v>44406</v>
      </c>
      <c r="Y44" s="85" t="s">
        <v>576</v>
      </c>
      <c r="Z44" s="83" t="str">
        <f>HYPERLINK("https://twitter.com/ms_tabu/status/1420762565572022277")</f>
        <v>https://twitter.com/ms_tabu/status/1420762565572022277</v>
      </c>
      <c r="AA44" s="79"/>
      <c r="AB44" s="79"/>
      <c r="AC44" s="85" t="s">
        <v>755</v>
      </c>
      <c r="AD44" s="79"/>
      <c r="AE44" s="79" t="b">
        <v>0</v>
      </c>
      <c r="AF44" s="79">
        <v>0</v>
      </c>
      <c r="AG44" s="85" t="s">
        <v>867</v>
      </c>
      <c r="AH44" s="79" t="b">
        <v>0</v>
      </c>
      <c r="AI44" s="79" t="s">
        <v>874</v>
      </c>
      <c r="AJ44" s="79"/>
      <c r="AK44" s="85" t="s">
        <v>867</v>
      </c>
      <c r="AL44" s="79" t="b">
        <v>0</v>
      </c>
      <c r="AM44" s="79">
        <v>4</v>
      </c>
      <c r="AN44" s="85" t="s">
        <v>802</v>
      </c>
      <c r="AO44" s="85" t="s">
        <v>887</v>
      </c>
      <c r="AP44" s="79" t="b">
        <v>0</v>
      </c>
      <c r="AQ44" s="85" t="s">
        <v>802</v>
      </c>
      <c r="AR44" s="79" t="s">
        <v>177</v>
      </c>
      <c r="AS44" s="79">
        <v>0</v>
      </c>
      <c r="AT44" s="79">
        <v>0</v>
      </c>
      <c r="AU44" s="79"/>
      <c r="AV44" s="79"/>
      <c r="AW44" s="79"/>
      <c r="AX44" s="79"/>
      <c r="AY44" s="79"/>
      <c r="AZ44" s="79"/>
      <c r="BA44" s="79"/>
      <c r="BB44" s="79"/>
      <c r="BC44">
        <v>12</v>
      </c>
      <c r="BD44" s="78" t="str">
        <f>REPLACE(INDEX(GroupVertices[Group], MATCH(Edges13[[#This Row],[Vertex 1]],GroupVertices[Vertex],0)),1,1,"")</f>
        <v>3</v>
      </c>
      <c r="BE44" s="78" t="str">
        <f>REPLACE(INDEX(GroupVertices[Group], MATCH(Edges13[[#This Row],[Vertex 2]],GroupVertices[Vertex],0)),1,1,"")</f>
        <v>3</v>
      </c>
    </row>
    <row r="45" spans="1:57" x14ac:dyDescent="0.25">
      <c r="A45" s="64" t="s">
        <v>267</v>
      </c>
      <c r="B45" s="64" t="s">
        <v>289</v>
      </c>
      <c r="C45" s="65"/>
      <c r="D45" s="66"/>
      <c r="E45" s="67"/>
      <c r="F45" s="68"/>
      <c r="G45" s="65"/>
      <c r="H45" s="69"/>
      <c r="I45" s="70"/>
      <c r="J45" s="70"/>
      <c r="K45" s="35" t="s">
        <v>65</v>
      </c>
      <c r="L45" s="77">
        <v>49</v>
      </c>
      <c r="M45" s="77"/>
      <c r="N45" s="72"/>
      <c r="O45" s="79" t="s">
        <v>337</v>
      </c>
      <c r="P45" s="81">
        <v>44406.629282407404</v>
      </c>
      <c r="Q45" s="79" t="s">
        <v>370</v>
      </c>
      <c r="R45" s="79"/>
      <c r="S45" s="79"/>
      <c r="T45" s="85" t="s">
        <v>461</v>
      </c>
      <c r="U45" s="83" t="str">
        <f>HYPERLINK("https://pbs.twimg.com/media/E6IOXacX0AIO80c.jpg")</f>
        <v>https://pbs.twimg.com/media/E6IOXacX0AIO80c.jpg</v>
      </c>
      <c r="V45" s="83" t="str">
        <f>HYPERLINK("https://pbs.twimg.com/media/E6IOXacX0AIO80c.jpg")</f>
        <v>https://pbs.twimg.com/media/E6IOXacX0AIO80c.jpg</v>
      </c>
      <c r="W45" s="81">
        <v>44406.629282407404</v>
      </c>
      <c r="X45" s="87">
        <v>44406</v>
      </c>
      <c r="Y45" s="85" t="s">
        <v>577</v>
      </c>
      <c r="Z45" s="83" t="str">
        <f>HYPERLINK("https://twitter.com/ms_tabu/status/1420762579748724739")</f>
        <v>https://twitter.com/ms_tabu/status/1420762579748724739</v>
      </c>
      <c r="AA45" s="79"/>
      <c r="AB45" s="79"/>
      <c r="AC45" s="85" t="s">
        <v>756</v>
      </c>
      <c r="AD45" s="79"/>
      <c r="AE45" s="79" t="b">
        <v>0</v>
      </c>
      <c r="AF45" s="79">
        <v>0</v>
      </c>
      <c r="AG45" s="85" t="s">
        <v>867</v>
      </c>
      <c r="AH45" s="79" t="b">
        <v>0</v>
      </c>
      <c r="AI45" s="79" t="s">
        <v>874</v>
      </c>
      <c r="AJ45" s="79"/>
      <c r="AK45" s="85" t="s">
        <v>867</v>
      </c>
      <c r="AL45" s="79" t="b">
        <v>0</v>
      </c>
      <c r="AM45" s="79">
        <v>3</v>
      </c>
      <c r="AN45" s="85" t="s">
        <v>803</v>
      </c>
      <c r="AO45" s="85" t="s">
        <v>887</v>
      </c>
      <c r="AP45" s="79" t="b">
        <v>0</v>
      </c>
      <c r="AQ45" s="85" t="s">
        <v>803</v>
      </c>
      <c r="AR45" s="79" t="s">
        <v>177</v>
      </c>
      <c r="AS45" s="79">
        <v>0</v>
      </c>
      <c r="AT45" s="79">
        <v>0</v>
      </c>
      <c r="AU45" s="79"/>
      <c r="AV45" s="79"/>
      <c r="AW45" s="79"/>
      <c r="AX45" s="79"/>
      <c r="AY45" s="79"/>
      <c r="AZ45" s="79"/>
      <c r="BA45" s="79"/>
      <c r="BB45" s="79"/>
      <c r="BC45">
        <v>12</v>
      </c>
      <c r="BD45" s="78" t="str">
        <f>REPLACE(INDEX(GroupVertices[Group], MATCH(Edges13[[#This Row],[Vertex 1]],GroupVertices[Vertex],0)),1,1,"")</f>
        <v>3</v>
      </c>
      <c r="BE45" s="78" t="str">
        <f>REPLACE(INDEX(GroupVertices[Group], MATCH(Edges13[[#This Row],[Vertex 2]],GroupVertices[Vertex],0)),1,1,"")</f>
        <v>3</v>
      </c>
    </row>
    <row r="46" spans="1:57" x14ac:dyDescent="0.25">
      <c r="A46" s="64" t="s">
        <v>267</v>
      </c>
      <c r="B46" s="64" t="s">
        <v>289</v>
      </c>
      <c r="C46" s="65"/>
      <c r="D46" s="66"/>
      <c r="E46" s="67"/>
      <c r="F46" s="68"/>
      <c r="G46" s="65"/>
      <c r="H46" s="69"/>
      <c r="I46" s="70"/>
      <c r="J46" s="70"/>
      <c r="K46" s="35" t="s">
        <v>65</v>
      </c>
      <c r="L46" s="77">
        <v>51</v>
      </c>
      <c r="M46" s="77"/>
      <c r="N46" s="72"/>
      <c r="O46" s="79" t="s">
        <v>337</v>
      </c>
      <c r="P46" s="81">
        <v>44406.638159722221</v>
      </c>
      <c r="Q46" s="79" t="s">
        <v>366</v>
      </c>
      <c r="R46" s="79"/>
      <c r="S46" s="79"/>
      <c r="T46" s="85" t="s">
        <v>461</v>
      </c>
      <c r="U46" s="83" t="str">
        <f>HYPERLINK("https://pbs.twimg.com/media/E7eO9zIVUAEjK-g.jpg")</f>
        <v>https://pbs.twimg.com/media/E7eO9zIVUAEjK-g.jpg</v>
      </c>
      <c r="V46" s="83" t="str">
        <f>HYPERLINK("https://pbs.twimg.com/media/E7eO9zIVUAEjK-g.jpg")</f>
        <v>https://pbs.twimg.com/media/E7eO9zIVUAEjK-g.jpg</v>
      </c>
      <c r="W46" s="81">
        <v>44406.638159722221</v>
      </c>
      <c r="X46" s="87">
        <v>44406</v>
      </c>
      <c r="Y46" s="85" t="s">
        <v>578</v>
      </c>
      <c r="Z46" s="83" t="str">
        <f>HYPERLINK("https://twitter.com/ms_tabu/status/1420765797316714501")</f>
        <v>https://twitter.com/ms_tabu/status/1420765797316714501</v>
      </c>
      <c r="AA46" s="79"/>
      <c r="AB46" s="79"/>
      <c r="AC46" s="85" t="s">
        <v>757</v>
      </c>
      <c r="AD46" s="79"/>
      <c r="AE46" s="79" t="b">
        <v>0</v>
      </c>
      <c r="AF46" s="79">
        <v>0</v>
      </c>
      <c r="AG46" s="85" t="s">
        <v>867</v>
      </c>
      <c r="AH46" s="79" t="b">
        <v>0</v>
      </c>
      <c r="AI46" s="79" t="s">
        <v>874</v>
      </c>
      <c r="AJ46" s="79"/>
      <c r="AK46" s="85" t="s">
        <v>867</v>
      </c>
      <c r="AL46" s="79" t="b">
        <v>0</v>
      </c>
      <c r="AM46" s="79">
        <v>4</v>
      </c>
      <c r="AN46" s="85" t="s">
        <v>799</v>
      </c>
      <c r="AO46" s="85" t="s">
        <v>887</v>
      </c>
      <c r="AP46" s="79" t="b">
        <v>0</v>
      </c>
      <c r="AQ46" s="85" t="s">
        <v>799</v>
      </c>
      <c r="AR46" s="79" t="s">
        <v>177</v>
      </c>
      <c r="AS46" s="79">
        <v>0</v>
      </c>
      <c r="AT46" s="79">
        <v>0</v>
      </c>
      <c r="AU46" s="79"/>
      <c r="AV46" s="79"/>
      <c r="AW46" s="79"/>
      <c r="AX46" s="79"/>
      <c r="AY46" s="79"/>
      <c r="AZ46" s="79"/>
      <c r="BA46" s="79"/>
      <c r="BB46" s="79"/>
      <c r="BC46">
        <v>12</v>
      </c>
      <c r="BD46" s="78" t="str">
        <f>REPLACE(INDEX(GroupVertices[Group], MATCH(Edges13[[#This Row],[Vertex 1]],GroupVertices[Vertex],0)),1,1,"")</f>
        <v>3</v>
      </c>
      <c r="BE46" s="78" t="str">
        <f>REPLACE(INDEX(GroupVertices[Group], MATCH(Edges13[[#This Row],[Vertex 2]],GroupVertices[Vertex],0)),1,1,"")</f>
        <v>3</v>
      </c>
    </row>
    <row r="47" spans="1:57" x14ac:dyDescent="0.25">
      <c r="A47" s="64" t="s">
        <v>265</v>
      </c>
      <c r="B47" s="64" t="s">
        <v>289</v>
      </c>
      <c r="C47" s="65"/>
      <c r="D47" s="66"/>
      <c r="E47" s="67"/>
      <c r="F47" s="68"/>
      <c r="G47" s="65"/>
      <c r="H47" s="69"/>
      <c r="I47" s="70"/>
      <c r="J47" s="70"/>
      <c r="K47" s="35" t="s">
        <v>65</v>
      </c>
      <c r="L47" s="77">
        <v>64</v>
      </c>
      <c r="M47" s="77"/>
      <c r="N47" s="72"/>
      <c r="O47" s="79" t="s">
        <v>337</v>
      </c>
      <c r="P47" s="81">
        <v>44406.629803240743</v>
      </c>
      <c r="Q47" s="79" t="s">
        <v>366</v>
      </c>
      <c r="R47" s="79"/>
      <c r="S47" s="79"/>
      <c r="T47" s="85" t="s">
        <v>461</v>
      </c>
      <c r="U47" s="83" t="str">
        <f>HYPERLINK("https://pbs.twimg.com/media/E7eO9zIVUAEjK-g.jpg")</f>
        <v>https://pbs.twimg.com/media/E7eO9zIVUAEjK-g.jpg</v>
      </c>
      <c r="V47" s="83" t="str">
        <f>HYPERLINK("https://pbs.twimg.com/media/E7eO9zIVUAEjK-g.jpg")</f>
        <v>https://pbs.twimg.com/media/E7eO9zIVUAEjK-g.jpg</v>
      </c>
      <c r="W47" s="81">
        <v>44406.629803240743</v>
      </c>
      <c r="X47" s="87">
        <v>44406</v>
      </c>
      <c r="Y47" s="85" t="s">
        <v>563</v>
      </c>
      <c r="Z47" s="83" t="str">
        <f>HYPERLINK("https://twitter.com/tabuwinslow/status/1420762771801530374")</f>
        <v>https://twitter.com/tabuwinslow/status/1420762771801530374</v>
      </c>
      <c r="AA47" s="79"/>
      <c r="AB47" s="79"/>
      <c r="AC47" s="85" t="s">
        <v>742</v>
      </c>
      <c r="AD47" s="79"/>
      <c r="AE47" s="79" t="b">
        <v>0</v>
      </c>
      <c r="AF47" s="79">
        <v>0</v>
      </c>
      <c r="AG47" s="85" t="s">
        <v>867</v>
      </c>
      <c r="AH47" s="79" t="b">
        <v>0</v>
      </c>
      <c r="AI47" s="79" t="s">
        <v>874</v>
      </c>
      <c r="AJ47" s="79"/>
      <c r="AK47" s="85" t="s">
        <v>867</v>
      </c>
      <c r="AL47" s="79" t="b">
        <v>0</v>
      </c>
      <c r="AM47" s="79">
        <v>4</v>
      </c>
      <c r="AN47" s="85" t="s">
        <v>799</v>
      </c>
      <c r="AO47" s="85" t="s">
        <v>887</v>
      </c>
      <c r="AP47" s="79" t="b">
        <v>0</v>
      </c>
      <c r="AQ47" s="85" t="s">
        <v>799</v>
      </c>
      <c r="AR47" s="79" t="s">
        <v>177</v>
      </c>
      <c r="AS47" s="79">
        <v>0</v>
      </c>
      <c r="AT47" s="79">
        <v>0</v>
      </c>
      <c r="AU47" s="79"/>
      <c r="AV47" s="79"/>
      <c r="AW47" s="79"/>
      <c r="AX47" s="79"/>
      <c r="AY47" s="79"/>
      <c r="AZ47" s="79"/>
      <c r="BA47" s="79"/>
      <c r="BB47" s="79"/>
      <c r="BC47">
        <v>10</v>
      </c>
      <c r="BD47" s="78" t="str">
        <f>REPLACE(INDEX(GroupVertices[Group], MATCH(Edges13[[#This Row],[Vertex 1]],GroupVertices[Vertex],0)),1,1,"")</f>
        <v>3</v>
      </c>
      <c r="BE47" s="78" t="str">
        <f>REPLACE(INDEX(GroupVertices[Group], MATCH(Edges13[[#This Row],[Vertex 2]],GroupVertices[Vertex],0)),1,1,"")</f>
        <v>3</v>
      </c>
    </row>
    <row r="48" spans="1:57" x14ac:dyDescent="0.25">
      <c r="A48" s="64" t="s">
        <v>265</v>
      </c>
      <c r="B48" s="64" t="s">
        <v>289</v>
      </c>
      <c r="C48" s="65"/>
      <c r="D48" s="66"/>
      <c r="E48" s="67"/>
      <c r="F48" s="68"/>
      <c r="G48" s="65"/>
      <c r="H48" s="69"/>
      <c r="I48" s="70"/>
      <c r="J48" s="70"/>
      <c r="K48" s="35" t="s">
        <v>65</v>
      </c>
      <c r="L48" s="77">
        <v>66</v>
      </c>
      <c r="M48" s="77"/>
      <c r="N48" s="72"/>
      <c r="O48" s="79" t="s">
        <v>337</v>
      </c>
      <c r="P48" s="81">
        <v>44406.629988425928</v>
      </c>
      <c r="Q48" s="79" t="s">
        <v>367</v>
      </c>
      <c r="R48" s="83" t="str">
        <f>HYPERLINK("https://www.youtube.com/shorts/qku6RAs0B3k?feature=share")</f>
        <v>https://www.youtube.com/shorts/qku6RAs0B3k?feature=share</v>
      </c>
      <c r="S48" s="79" t="s">
        <v>450</v>
      </c>
      <c r="T48" s="85" t="s">
        <v>478</v>
      </c>
      <c r="U48" s="83" t="str">
        <f>HYPERLINK("https://pbs.twimg.com/media/E7T3xyJWQAYfYP3.jpg")</f>
        <v>https://pbs.twimg.com/media/E7T3xyJWQAYfYP3.jpg</v>
      </c>
      <c r="V48" s="83" t="str">
        <f>HYPERLINK("https://pbs.twimg.com/media/E7T3xyJWQAYfYP3.jpg")</f>
        <v>https://pbs.twimg.com/media/E7T3xyJWQAYfYP3.jpg</v>
      </c>
      <c r="W48" s="81">
        <v>44406.629988425928</v>
      </c>
      <c r="X48" s="87">
        <v>44406</v>
      </c>
      <c r="Y48" s="85" t="s">
        <v>564</v>
      </c>
      <c r="Z48" s="83" t="str">
        <f>HYPERLINK("https://twitter.com/tabuwinslow/status/1420762838113587200")</f>
        <v>https://twitter.com/tabuwinslow/status/1420762838113587200</v>
      </c>
      <c r="AA48" s="79"/>
      <c r="AB48" s="79"/>
      <c r="AC48" s="85" t="s">
        <v>743</v>
      </c>
      <c r="AD48" s="79"/>
      <c r="AE48" s="79" t="b">
        <v>0</v>
      </c>
      <c r="AF48" s="79">
        <v>0</v>
      </c>
      <c r="AG48" s="85" t="s">
        <v>867</v>
      </c>
      <c r="AH48" s="79" t="b">
        <v>0</v>
      </c>
      <c r="AI48" s="79" t="s">
        <v>874</v>
      </c>
      <c r="AJ48" s="79"/>
      <c r="AK48" s="85" t="s">
        <v>867</v>
      </c>
      <c r="AL48" s="79" t="b">
        <v>0</v>
      </c>
      <c r="AM48" s="79">
        <v>3</v>
      </c>
      <c r="AN48" s="85" t="s">
        <v>789</v>
      </c>
      <c r="AO48" s="85" t="s">
        <v>887</v>
      </c>
      <c r="AP48" s="79" t="b">
        <v>0</v>
      </c>
      <c r="AQ48" s="85" t="s">
        <v>789</v>
      </c>
      <c r="AR48" s="79" t="s">
        <v>177</v>
      </c>
      <c r="AS48" s="79">
        <v>0</v>
      </c>
      <c r="AT48" s="79">
        <v>0</v>
      </c>
      <c r="AU48" s="79"/>
      <c r="AV48" s="79"/>
      <c r="AW48" s="79"/>
      <c r="AX48" s="79"/>
      <c r="AY48" s="79"/>
      <c r="AZ48" s="79"/>
      <c r="BA48" s="79"/>
      <c r="BB48" s="79"/>
      <c r="BC48">
        <v>10</v>
      </c>
      <c r="BD48" s="78" t="str">
        <f>REPLACE(INDEX(GroupVertices[Group], MATCH(Edges13[[#This Row],[Vertex 1]],GroupVertices[Vertex],0)),1,1,"")</f>
        <v>3</v>
      </c>
      <c r="BE48" s="78" t="str">
        <f>REPLACE(INDEX(GroupVertices[Group], MATCH(Edges13[[#This Row],[Vertex 2]],GroupVertices[Vertex],0)),1,1,"")</f>
        <v>3</v>
      </c>
    </row>
    <row r="49" spans="1:57" x14ac:dyDescent="0.25">
      <c r="A49" s="64" t="s">
        <v>265</v>
      </c>
      <c r="B49" s="64" t="s">
        <v>289</v>
      </c>
      <c r="C49" s="65"/>
      <c r="D49" s="66"/>
      <c r="E49" s="67"/>
      <c r="F49" s="68"/>
      <c r="G49" s="65"/>
      <c r="H49" s="69"/>
      <c r="I49" s="70"/>
      <c r="J49" s="70"/>
      <c r="K49" s="35" t="s">
        <v>65</v>
      </c>
      <c r="L49" s="77">
        <v>68</v>
      </c>
      <c r="M49" s="77"/>
      <c r="N49" s="72"/>
      <c r="O49" s="79" t="s">
        <v>337</v>
      </c>
      <c r="P49" s="81">
        <v>44406.630613425928</v>
      </c>
      <c r="Q49" s="79" t="s">
        <v>368</v>
      </c>
      <c r="R49" s="79"/>
      <c r="S49" s="79"/>
      <c r="T49" s="85" t="s">
        <v>461</v>
      </c>
      <c r="U49" s="83" t="str">
        <f>HYPERLINK("https://pbs.twimg.com/media/E6IQoc-XIAIEHeV.jpg")</f>
        <v>https://pbs.twimg.com/media/E6IQoc-XIAIEHeV.jpg</v>
      </c>
      <c r="V49" s="83" t="str">
        <f>HYPERLINK("https://pbs.twimg.com/media/E6IQoc-XIAIEHeV.jpg")</f>
        <v>https://pbs.twimg.com/media/E6IQoc-XIAIEHeV.jpg</v>
      </c>
      <c r="W49" s="81">
        <v>44406.630613425928</v>
      </c>
      <c r="X49" s="87">
        <v>44406</v>
      </c>
      <c r="Y49" s="85" t="s">
        <v>565</v>
      </c>
      <c r="Z49" s="83" t="str">
        <f>HYPERLINK("https://twitter.com/tabuwinslow/status/1420763064908099589")</f>
        <v>https://twitter.com/tabuwinslow/status/1420763064908099589</v>
      </c>
      <c r="AA49" s="79"/>
      <c r="AB49" s="79"/>
      <c r="AC49" s="85" t="s">
        <v>744</v>
      </c>
      <c r="AD49" s="79"/>
      <c r="AE49" s="79" t="b">
        <v>0</v>
      </c>
      <c r="AF49" s="79">
        <v>0</v>
      </c>
      <c r="AG49" s="85" t="s">
        <v>867</v>
      </c>
      <c r="AH49" s="79" t="b">
        <v>0</v>
      </c>
      <c r="AI49" s="79" t="s">
        <v>874</v>
      </c>
      <c r="AJ49" s="79"/>
      <c r="AK49" s="85" t="s">
        <v>867</v>
      </c>
      <c r="AL49" s="79" t="b">
        <v>0</v>
      </c>
      <c r="AM49" s="79">
        <v>4</v>
      </c>
      <c r="AN49" s="85" t="s">
        <v>801</v>
      </c>
      <c r="AO49" s="85" t="s">
        <v>887</v>
      </c>
      <c r="AP49" s="79" t="b">
        <v>0</v>
      </c>
      <c r="AQ49" s="85" t="s">
        <v>801</v>
      </c>
      <c r="AR49" s="79" t="s">
        <v>177</v>
      </c>
      <c r="AS49" s="79">
        <v>0</v>
      </c>
      <c r="AT49" s="79">
        <v>0</v>
      </c>
      <c r="AU49" s="79"/>
      <c r="AV49" s="79"/>
      <c r="AW49" s="79"/>
      <c r="AX49" s="79"/>
      <c r="AY49" s="79"/>
      <c r="AZ49" s="79"/>
      <c r="BA49" s="79"/>
      <c r="BB49" s="79"/>
      <c r="BC49">
        <v>10</v>
      </c>
      <c r="BD49" s="78" t="str">
        <f>REPLACE(INDEX(GroupVertices[Group], MATCH(Edges13[[#This Row],[Vertex 1]],GroupVertices[Vertex],0)),1,1,"")</f>
        <v>3</v>
      </c>
      <c r="BE49" s="78" t="str">
        <f>REPLACE(INDEX(GroupVertices[Group], MATCH(Edges13[[#This Row],[Vertex 2]],GroupVertices[Vertex],0)),1,1,"")</f>
        <v>3</v>
      </c>
    </row>
    <row r="50" spans="1:57" x14ac:dyDescent="0.25">
      <c r="A50" s="64" t="s">
        <v>265</v>
      </c>
      <c r="B50" s="64" t="s">
        <v>289</v>
      </c>
      <c r="C50" s="65"/>
      <c r="D50" s="66"/>
      <c r="E50" s="67"/>
      <c r="F50" s="68"/>
      <c r="G50" s="65"/>
      <c r="H50" s="69"/>
      <c r="I50" s="70"/>
      <c r="J50" s="70"/>
      <c r="K50" s="35" t="s">
        <v>65</v>
      </c>
      <c r="L50" s="77">
        <v>70</v>
      </c>
      <c r="M50" s="77"/>
      <c r="N50" s="72"/>
      <c r="O50" s="79" t="s">
        <v>337</v>
      </c>
      <c r="P50" s="81">
        <v>44406.630694444444</v>
      </c>
      <c r="Q50" s="79" t="s">
        <v>369</v>
      </c>
      <c r="R50" s="79"/>
      <c r="S50" s="79"/>
      <c r="T50" s="85" t="s">
        <v>461</v>
      </c>
      <c r="U50" s="83" t="str">
        <f>HYPERLINK("https://pbs.twimg.com/media/E6IPmASXMAAHX-l.jpg")</f>
        <v>https://pbs.twimg.com/media/E6IPmASXMAAHX-l.jpg</v>
      </c>
      <c r="V50" s="83" t="str">
        <f>HYPERLINK("https://pbs.twimg.com/media/E6IPmASXMAAHX-l.jpg")</f>
        <v>https://pbs.twimg.com/media/E6IPmASXMAAHX-l.jpg</v>
      </c>
      <c r="W50" s="81">
        <v>44406.630694444444</v>
      </c>
      <c r="X50" s="87">
        <v>44406</v>
      </c>
      <c r="Y50" s="85" t="s">
        <v>566</v>
      </c>
      <c r="Z50" s="83" t="str">
        <f>HYPERLINK("https://twitter.com/tabuwinslow/status/1420763091483054099")</f>
        <v>https://twitter.com/tabuwinslow/status/1420763091483054099</v>
      </c>
      <c r="AA50" s="79"/>
      <c r="AB50" s="79"/>
      <c r="AC50" s="85" t="s">
        <v>745</v>
      </c>
      <c r="AD50" s="79"/>
      <c r="AE50" s="79" t="b">
        <v>0</v>
      </c>
      <c r="AF50" s="79">
        <v>0</v>
      </c>
      <c r="AG50" s="85" t="s">
        <v>867</v>
      </c>
      <c r="AH50" s="79" t="b">
        <v>0</v>
      </c>
      <c r="AI50" s="79" t="s">
        <v>874</v>
      </c>
      <c r="AJ50" s="79"/>
      <c r="AK50" s="85" t="s">
        <v>867</v>
      </c>
      <c r="AL50" s="79" t="b">
        <v>0</v>
      </c>
      <c r="AM50" s="79">
        <v>4</v>
      </c>
      <c r="AN50" s="85" t="s">
        <v>802</v>
      </c>
      <c r="AO50" s="85" t="s">
        <v>887</v>
      </c>
      <c r="AP50" s="79" t="b">
        <v>0</v>
      </c>
      <c r="AQ50" s="85" t="s">
        <v>802</v>
      </c>
      <c r="AR50" s="79" t="s">
        <v>177</v>
      </c>
      <c r="AS50" s="79">
        <v>0</v>
      </c>
      <c r="AT50" s="79">
        <v>0</v>
      </c>
      <c r="AU50" s="79"/>
      <c r="AV50" s="79"/>
      <c r="AW50" s="79"/>
      <c r="AX50" s="79"/>
      <c r="AY50" s="79"/>
      <c r="AZ50" s="79"/>
      <c r="BA50" s="79"/>
      <c r="BB50" s="79"/>
      <c r="BC50">
        <v>10</v>
      </c>
      <c r="BD50" s="78" t="str">
        <f>REPLACE(INDEX(GroupVertices[Group], MATCH(Edges13[[#This Row],[Vertex 1]],GroupVertices[Vertex],0)),1,1,"")</f>
        <v>3</v>
      </c>
      <c r="BE50" s="78" t="str">
        <f>REPLACE(INDEX(GroupVertices[Group], MATCH(Edges13[[#This Row],[Vertex 2]],GroupVertices[Vertex],0)),1,1,"")</f>
        <v>3</v>
      </c>
    </row>
    <row r="51" spans="1:57" x14ac:dyDescent="0.25">
      <c r="A51" s="64" t="s">
        <v>265</v>
      </c>
      <c r="B51" s="64" t="s">
        <v>289</v>
      </c>
      <c r="C51" s="65"/>
      <c r="D51" s="66"/>
      <c r="E51" s="67"/>
      <c r="F51" s="68"/>
      <c r="G51" s="65"/>
      <c r="H51" s="69"/>
      <c r="I51" s="70"/>
      <c r="J51" s="70"/>
      <c r="K51" s="35" t="s">
        <v>65</v>
      </c>
      <c r="L51" s="77">
        <v>72</v>
      </c>
      <c r="M51" s="77"/>
      <c r="N51" s="72"/>
      <c r="O51" s="79" t="s">
        <v>337</v>
      </c>
      <c r="P51" s="81">
        <v>44406.630729166667</v>
      </c>
      <c r="Q51" s="79" t="s">
        <v>370</v>
      </c>
      <c r="R51" s="79"/>
      <c r="S51" s="79"/>
      <c r="T51" s="85" t="s">
        <v>461</v>
      </c>
      <c r="U51" s="83" t="str">
        <f>HYPERLINK("https://pbs.twimg.com/media/E6IOXacX0AIO80c.jpg")</f>
        <v>https://pbs.twimg.com/media/E6IOXacX0AIO80c.jpg</v>
      </c>
      <c r="V51" s="83" t="str">
        <f>HYPERLINK("https://pbs.twimg.com/media/E6IOXacX0AIO80c.jpg")</f>
        <v>https://pbs.twimg.com/media/E6IOXacX0AIO80c.jpg</v>
      </c>
      <c r="W51" s="81">
        <v>44406.630729166667</v>
      </c>
      <c r="X51" s="87">
        <v>44406</v>
      </c>
      <c r="Y51" s="85" t="s">
        <v>567</v>
      </c>
      <c r="Z51" s="83" t="str">
        <f>HYPERLINK("https://twitter.com/tabuwinslow/status/1420763104921767937")</f>
        <v>https://twitter.com/tabuwinslow/status/1420763104921767937</v>
      </c>
      <c r="AA51" s="79"/>
      <c r="AB51" s="79"/>
      <c r="AC51" s="85" t="s">
        <v>746</v>
      </c>
      <c r="AD51" s="79"/>
      <c r="AE51" s="79" t="b">
        <v>0</v>
      </c>
      <c r="AF51" s="79">
        <v>0</v>
      </c>
      <c r="AG51" s="85" t="s">
        <v>867</v>
      </c>
      <c r="AH51" s="79" t="b">
        <v>0</v>
      </c>
      <c r="AI51" s="79" t="s">
        <v>874</v>
      </c>
      <c r="AJ51" s="79"/>
      <c r="AK51" s="85" t="s">
        <v>867</v>
      </c>
      <c r="AL51" s="79" t="b">
        <v>0</v>
      </c>
      <c r="AM51" s="79">
        <v>3</v>
      </c>
      <c r="AN51" s="85" t="s">
        <v>803</v>
      </c>
      <c r="AO51" s="85" t="s">
        <v>887</v>
      </c>
      <c r="AP51" s="79" t="b">
        <v>0</v>
      </c>
      <c r="AQ51" s="85" t="s">
        <v>803</v>
      </c>
      <c r="AR51" s="79" t="s">
        <v>177</v>
      </c>
      <c r="AS51" s="79">
        <v>0</v>
      </c>
      <c r="AT51" s="79">
        <v>0</v>
      </c>
      <c r="AU51" s="79"/>
      <c r="AV51" s="79"/>
      <c r="AW51" s="79"/>
      <c r="AX51" s="79"/>
      <c r="AY51" s="79"/>
      <c r="AZ51" s="79"/>
      <c r="BA51" s="79"/>
      <c r="BB51" s="79"/>
      <c r="BC51">
        <v>10</v>
      </c>
      <c r="BD51" s="78" t="str">
        <f>REPLACE(INDEX(GroupVertices[Group], MATCH(Edges13[[#This Row],[Vertex 1]],GroupVertices[Vertex],0)),1,1,"")</f>
        <v>3</v>
      </c>
      <c r="BE51" s="78" t="str">
        <f>REPLACE(INDEX(GroupVertices[Group], MATCH(Edges13[[#This Row],[Vertex 2]],GroupVertices[Vertex],0)),1,1,"")</f>
        <v>3</v>
      </c>
    </row>
    <row r="52" spans="1:57" x14ac:dyDescent="0.25">
      <c r="A52" s="64" t="s">
        <v>266</v>
      </c>
      <c r="B52" s="64" t="s">
        <v>289</v>
      </c>
      <c r="C52" s="65"/>
      <c r="D52" s="66"/>
      <c r="E52" s="67"/>
      <c r="F52" s="68"/>
      <c r="G52" s="65"/>
      <c r="H52" s="69"/>
      <c r="I52" s="70"/>
      <c r="J52" s="70"/>
      <c r="K52" s="35" t="s">
        <v>65</v>
      </c>
      <c r="L52" s="77">
        <v>74</v>
      </c>
      <c r="M52" s="77"/>
      <c r="N52" s="72"/>
      <c r="O52" s="79" t="s">
        <v>337</v>
      </c>
      <c r="P52" s="81">
        <v>44406.631203703706</v>
      </c>
      <c r="Q52" s="79" t="s">
        <v>366</v>
      </c>
      <c r="R52" s="79"/>
      <c r="S52" s="79"/>
      <c r="T52" s="85" t="s">
        <v>461</v>
      </c>
      <c r="U52" s="83" t="str">
        <f>HYPERLINK("https://pbs.twimg.com/media/E7eO9zIVUAEjK-g.jpg")</f>
        <v>https://pbs.twimg.com/media/E7eO9zIVUAEjK-g.jpg</v>
      </c>
      <c r="V52" s="83" t="str">
        <f>HYPERLINK("https://pbs.twimg.com/media/E7eO9zIVUAEjK-g.jpg")</f>
        <v>https://pbs.twimg.com/media/E7eO9zIVUAEjK-g.jpg</v>
      </c>
      <c r="W52" s="81">
        <v>44406.631203703706</v>
      </c>
      <c r="X52" s="87">
        <v>44406</v>
      </c>
      <c r="Y52" s="85" t="s">
        <v>568</v>
      </c>
      <c r="Z52" s="83" t="str">
        <f>HYPERLINK("https://twitter.com/letsplayballan1/status/1420763276665933824")</f>
        <v>https://twitter.com/letsplayballan1/status/1420763276665933824</v>
      </c>
      <c r="AA52" s="79"/>
      <c r="AB52" s="79"/>
      <c r="AC52" s="85" t="s">
        <v>747</v>
      </c>
      <c r="AD52" s="79"/>
      <c r="AE52" s="79" t="b">
        <v>0</v>
      </c>
      <c r="AF52" s="79">
        <v>0</v>
      </c>
      <c r="AG52" s="85" t="s">
        <v>867</v>
      </c>
      <c r="AH52" s="79" t="b">
        <v>0</v>
      </c>
      <c r="AI52" s="79" t="s">
        <v>874</v>
      </c>
      <c r="AJ52" s="79"/>
      <c r="AK52" s="85" t="s">
        <v>867</v>
      </c>
      <c r="AL52" s="79" t="b">
        <v>0</v>
      </c>
      <c r="AM52" s="79">
        <v>4</v>
      </c>
      <c r="AN52" s="85" t="s">
        <v>799</v>
      </c>
      <c r="AO52" s="85" t="s">
        <v>887</v>
      </c>
      <c r="AP52" s="79" t="b">
        <v>0</v>
      </c>
      <c r="AQ52" s="85" t="s">
        <v>799</v>
      </c>
      <c r="AR52" s="79" t="s">
        <v>177</v>
      </c>
      <c r="AS52" s="79">
        <v>0</v>
      </c>
      <c r="AT52" s="79">
        <v>0</v>
      </c>
      <c r="AU52" s="79"/>
      <c r="AV52" s="79"/>
      <c r="AW52" s="79"/>
      <c r="AX52" s="79"/>
      <c r="AY52" s="79"/>
      <c r="AZ52" s="79"/>
      <c r="BA52" s="79"/>
      <c r="BB52" s="79"/>
      <c r="BC52">
        <v>10</v>
      </c>
      <c r="BD52" s="78" t="str">
        <f>REPLACE(INDEX(GroupVertices[Group], MATCH(Edges13[[#This Row],[Vertex 1]],GroupVertices[Vertex],0)),1,1,"")</f>
        <v>3</v>
      </c>
      <c r="BE52" s="78" t="str">
        <f>REPLACE(INDEX(GroupVertices[Group], MATCH(Edges13[[#This Row],[Vertex 2]],GroupVertices[Vertex],0)),1,1,"")</f>
        <v>3</v>
      </c>
    </row>
    <row r="53" spans="1:57" x14ac:dyDescent="0.25">
      <c r="A53" s="64" t="s">
        <v>266</v>
      </c>
      <c r="B53" s="64" t="s">
        <v>289</v>
      </c>
      <c r="C53" s="65"/>
      <c r="D53" s="66"/>
      <c r="E53" s="67"/>
      <c r="F53" s="68"/>
      <c r="G53" s="65"/>
      <c r="H53" s="69"/>
      <c r="I53" s="70"/>
      <c r="J53" s="70"/>
      <c r="K53" s="35" t="s">
        <v>65</v>
      </c>
      <c r="L53" s="77">
        <v>76</v>
      </c>
      <c r="M53" s="77"/>
      <c r="N53" s="72"/>
      <c r="O53" s="79" t="s">
        <v>337</v>
      </c>
      <c r="P53" s="81">
        <v>44406.631354166668</v>
      </c>
      <c r="Q53" s="79" t="s">
        <v>367</v>
      </c>
      <c r="R53" s="83" t="str">
        <f>HYPERLINK("https://www.youtube.com/shorts/qku6RAs0B3k?feature=share")</f>
        <v>https://www.youtube.com/shorts/qku6RAs0B3k?feature=share</v>
      </c>
      <c r="S53" s="79" t="s">
        <v>450</v>
      </c>
      <c r="T53" s="85" t="s">
        <v>478</v>
      </c>
      <c r="U53" s="83" t="str">
        <f>HYPERLINK("https://pbs.twimg.com/media/E7T3xyJWQAYfYP3.jpg")</f>
        <v>https://pbs.twimg.com/media/E7T3xyJWQAYfYP3.jpg</v>
      </c>
      <c r="V53" s="83" t="str">
        <f>HYPERLINK("https://pbs.twimg.com/media/E7T3xyJWQAYfYP3.jpg")</f>
        <v>https://pbs.twimg.com/media/E7T3xyJWQAYfYP3.jpg</v>
      </c>
      <c r="W53" s="81">
        <v>44406.631354166668</v>
      </c>
      <c r="X53" s="87">
        <v>44406</v>
      </c>
      <c r="Y53" s="85" t="s">
        <v>569</v>
      </c>
      <c r="Z53" s="83" t="str">
        <f>HYPERLINK("https://twitter.com/letsplayballan1/status/1420763333368688643")</f>
        <v>https://twitter.com/letsplayballan1/status/1420763333368688643</v>
      </c>
      <c r="AA53" s="79"/>
      <c r="AB53" s="79"/>
      <c r="AC53" s="85" t="s">
        <v>748</v>
      </c>
      <c r="AD53" s="79"/>
      <c r="AE53" s="79" t="b">
        <v>0</v>
      </c>
      <c r="AF53" s="79">
        <v>0</v>
      </c>
      <c r="AG53" s="85" t="s">
        <v>867</v>
      </c>
      <c r="AH53" s="79" t="b">
        <v>0</v>
      </c>
      <c r="AI53" s="79" t="s">
        <v>874</v>
      </c>
      <c r="AJ53" s="79"/>
      <c r="AK53" s="85" t="s">
        <v>867</v>
      </c>
      <c r="AL53" s="79" t="b">
        <v>0</v>
      </c>
      <c r="AM53" s="79">
        <v>3</v>
      </c>
      <c r="AN53" s="85" t="s">
        <v>789</v>
      </c>
      <c r="AO53" s="85" t="s">
        <v>887</v>
      </c>
      <c r="AP53" s="79" t="b">
        <v>0</v>
      </c>
      <c r="AQ53" s="85" t="s">
        <v>789</v>
      </c>
      <c r="AR53" s="79" t="s">
        <v>177</v>
      </c>
      <c r="AS53" s="79">
        <v>0</v>
      </c>
      <c r="AT53" s="79">
        <v>0</v>
      </c>
      <c r="AU53" s="79"/>
      <c r="AV53" s="79"/>
      <c r="AW53" s="79"/>
      <c r="AX53" s="79"/>
      <c r="AY53" s="79"/>
      <c r="AZ53" s="79"/>
      <c r="BA53" s="79"/>
      <c r="BB53" s="79"/>
      <c r="BC53">
        <v>10</v>
      </c>
      <c r="BD53" s="78" t="str">
        <f>REPLACE(INDEX(GroupVertices[Group], MATCH(Edges13[[#This Row],[Vertex 1]],GroupVertices[Vertex],0)),1,1,"")</f>
        <v>3</v>
      </c>
      <c r="BE53" s="78" t="str">
        <f>REPLACE(INDEX(GroupVertices[Group], MATCH(Edges13[[#This Row],[Vertex 2]],GroupVertices[Vertex],0)),1,1,"")</f>
        <v>3</v>
      </c>
    </row>
    <row r="54" spans="1:57" x14ac:dyDescent="0.25">
      <c r="A54" s="64" t="s">
        <v>266</v>
      </c>
      <c r="B54" s="64" t="s">
        <v>289</v>
      </c>
      <c r="C54" s="65"/>
      <c r="D54" s="66"/>
      <c r="E54" s="67"/>
      <c r="F54" s="68"/>
      <c r="G54" s="65"/>
      <c r="H54" s="69"/>
      <c r="I54" s="70"/>
      <c r="J54" s="70"/>
      <c r="K54" s="35" t="s">
        <v>65</v>
      </c>
      <c r="L54" s="77">
        <v>78</v>
      </c>
      <c r="M54" s="77"/>
      <c r="N54" s="72"/>
      <c r="O54" s="79" t="s">
        <v>337</v>
      </c>
      <c r="P54" s="81">
        <v>44406.631956018522</v>
      </c>
      <c r="Q54" s="79" t="s">
        <v>368</v>
      </c>
      <c r="R54" s="79"/>
      <c r="S54" s="79"/>
      <c r="T54" s="85" t="s">
        <v>461</v>
      </c>
      <c r="U54" s="83" t="str">
        <f>HYPERLINK("https://pbs.twimg.com/media/E6IQoc-XIAIEHeV.jpg")</f>
        <v>https://pbs.twimg.com/media/E6IQoc-XIAIEHeV.jpg</v>
      </c>
      <c r="V54" s="83" t="str">
        <f>HYPERLINK("https://pbs.twimg.com/media/E6IQoc-XIAIEHeV.jpg")</f>
        <v>https://pbs.twimg.com/media/E6IQoc-XIAIEHeV.jpg</v>
      </c>
      <c r="W54" s="81">
        <v>44406.631956018522</v>
      </c>
      <c r="X54" s="87">
        <v>44406</v>
      </c>
      <c r="Y54" s="85" t="s">
        <v>570</v>
      </c>
      <c r="Z54" s="83" t="str">
        <f>HYPERLINK("https://twitter.com/letsplayballan1/status/1420763549677277184")</f>
        <v>https://twitter.com/letsplayballan1/status/1420763549677277184</v>
      </c>
      <c r="AA54" s="79"/>
      <c r="AB54" s="79"/>
      <c r="AC54" s="85" t="s">
        <v>749</v>
      </c>
      <c r="AD54" s="79"/>
      <c r="AE54" s="79" t="b">
        <v>0</v>
      </c>
      <c r="AF54" s="79">
        <v>0</v>
      </c>
      <c r="AG54" s="85" t="s">
        <v>867</v>
      </c>
      <c r="AH54" s="79" t="b">
        <v>0</v>
      </c>
      <c r="AI54" s="79" t="s">
        <v>874</v>
      </c>
      <c r="AJ54" s="79"/>
      <c r="AK54" s="85" t="s">
        <v>867</v>
      </c>
      <c r="AL54" s="79" t="b">
        <v>0</v>
      </c>
      <c r="AM54" s="79">
        <v>4</v>
      </c>
      <c r="AN54" s="85" t="s">
        <v>801</v>
      </c>
      <c r="AO54" s="85" t="s">
        <v>887</v>
      </c>
      <c r="AP54" s="79" t="b">
        <v>0</v>
      </c>
      <c r="AQ54" s="85" t="s">
        <v>801</v>
      </c>
      <c r="AR54" s="79" t="s">
        <v>177</v>
      </c>
      <c r="AS54" s="79">
        <v>0</v>
      </c>
      <c r="AT54" s="79">
        <v>0</v>
      </c>
      <c r="AU54" s="79"/>
      <c r="AV54" s="79"/>
      <c r="AW54" s="79"/>
      <c r="AX54" s="79"/>
      <c r="AY54" s="79"/>
      <c r="AZ54" s="79"/>
      <c r="BA54" s="79"/>
      <c r="BB54" s="79"/>
      <c r="BC54">
        <v>10</v>
      </c>
      <c r="BD54" s="78" t="str">
        <f>REPLACE(INDEX(GroupVertices[Group], MATCH(Edges13[[#This Row],[Vertex 1]],GroupVertices[Vertex],0)),1,1,"")</f>
        <v>3</v>
      </c>
      <c r="BE54" s="78" t="str">
        <f>REPLACE(INDEX(GroupVertices[Group], MATCH(Edges13[[#This Row],[Vertex 2]],GroupVertices[Vertex],0)),1,1,"")</f>
        <v>3</v>
      </c>
    </row>
    <row r="55" spans="1:57" x14ac:dyDescent="0.25">
      <c r="A55" s="64" t="s">
        <v>266</v>
      </c>
      <c r="B55" s="108" t="s">
        <v>289</v>
      </c>
      <c r="C55" s="65"/>
      <c r="D55" s="66"/>
      <c r="E55" s="67"/>
      <c r="F55" s="68"/>
      <c r="G55" s="65"/>
      <c r="H55" s="69"/>
      <c r="I55" s="70"/>
      <c r="J55" s="70"/>
      <c r="K55" s="35" t="s">
        <v>65</v>
      </c>
      <c r="L55" s="77">
        <v>80</v>
      </c>
      <c r="M55" s="77"/>
      <c r="N55" s="72"/>
      <c r="O55" s="79" t="s">
        <v>337</v>
      </c>
      <c r="P55" s="81">
        <v>44406.632025462961</v>
      </c>
      <c r="Q55" s="79" t="s">
        <v>369</v>
      </c>
      <c r="R55" s="79"/>
      <c r="S55" s="79"/>
      <c r="T55" s="85" t="s">
        <v>461</v>
      </c>
      <c r="U55" s="83" t="str">
        <f>HYPERLINK("https://pbs.twimg.com/media/E6IPmASXMAAHX-l.jpg")</f>
        <v>https://pbs.twimg.com/media/E6IPmASXMAAHX-l.jpg</v>
      </c>
      <c r="V55" s="83" t="str">
        <f>HYPERLINK("https://pbs.twimg.com/media/E6IPmASXMAAHX-l.jpg")</f>
        <v>https://pbs.twimg.com/media/E6IPmASXMAAHX-l.jpg</v>
      </c>
      <c r="W55" s="81">
        <v>44406.632025462961</v>
      </c>
      <c r="X55" s="87">
        <v>44406</v>
      </c>
      <c r="Y55" s="85" t="s">
        <v>571</v>
      </c>
      <c r="Z55" s="83" t="str">
        <f>HYPERLINK("https://twitter.com/letsplayballan1/status/1420763574218207233")</f>
        <v>https://twitter.com/letsplayballan1/status/1420763574218207233</v>
      </c>
      <c r="AA55" s="79"/>
      <c r="AB55" s="79"/>
      <c r="AC55" s="85" t="s">
        <v>750</v>
      </c>
      <c r="AD55" s="79"/>
      <c r="AE55" s="79" t="b">
        <v>0</v>
      </c>
      <c r="AF55" s="79">
        <v>0</v>
      </c>
      <c r="AG55" s="85" t="s">
        <v>867</v>
      </c>
      <c r="AH55" s="79" t="b">
        <v>0</v>
      </c>
      <c r="AI55" s="79" t="s">
        <v>874</v>
      </c>
      <c r="AJ55" s="79"/>
      <c r="AK55" s="85" t="s">
        <v>867</v>
      </c>
      <c r="AL55" s="79" t="b">
        <v>0</v>
      </c>
      <c r="AM55" s="79">
        <v>4</v>
      </c>
      <c r="AN55" s="85" t="s">
        <v>802</v>
      </c>
      <c r="AO55" s="85" t="s">
        <v>887</v>
      </c>
      <c r="AP55" s="79" t="b">
        <v>0</v>
      </c>
      <c r="AQ55" s="85" t="s">
        <v>802</v>
      </c>
      <c r="AR55" s="79" t="s">
        <v>177</v>
      </c>
      <c r="AS55" s="79">
        <v>0</v>
      </c>
      <c r="AT55" s="79">
        <v>0</v>
      </c>
      <c r="AU55" s="79"/>
      <c r="AV55" s="79"/>
      <c r="AW55" s="79"/>
      <c r="AX55" s="79"/>
      <c r="AY55" s="79"/>
      <c r="AZ55" s="79"/>
      <c r="BA55" s="79"/>
      <c r="BB55" s="79"/>
      <c r="BC55">
        <v>10</v>
      </c>
      <c r="BD55" s="78" t="str">
        <f>REPLACE(INDEX(GroupVertices[Group], MATCH(Edges13[[#This Row],[Vertex 1]],GroupVertices[Vertex],0)),1,1,"")</f>
        <v>3</v>
      </c>
      <c r="BE55" s="78" t="str">
        <f>REPLACE(INDEX(GroupVertices[Group], MATCH(Edges13[[#This Row],[Vertex 2]],GroupVertices[Vertex],0)),1,1,"")</f>
        <v>3</v>
      </c>
    </row>
    <row r="56" spans="1:57" x14ac:dyDescent="0.25">
      <c r="A56" s="64" t="s">
        <v>266</v>
      </c>
      <c r="B56" s="64" t="s">
        <v>289</v>
      </c>
      <c r="C56" s="65"/>
      <c r="D56" s="66"/>
      <c r="E56" s="67"/>
      <c r="F56" s="68"/>
      <c r="G56" s="65"/>
      <c r="H56" s="69"/>
      <c r="I56" s="70"/>
      <c r="J56" s="70"/>
      <c r="K56" s="35" t="s">
        <v>65</v>
      </c>
      <c r="L56" s="77">
        <v>82</v>
      </c>
      <c r="M56" s="77"/>
      <c r="N56" s="72"/>
      <c r="O56" s="79" t="s">
        <v>337</v>
      </c>
      <c r="P56" s="81">
        <v>44406.632060185184</v>
      </c>
      <c r="Q56" s="79" t="s">
        <v>370</v>
      </c>
      <c r="R56" s="79"/>
      <c r="S56" s="79"/>
      <c r="T56" s="85" t="s">
        <v>461</v>
      </c>
      <c r="U56" s="83" t="str">
        <f>HYPERLINK("https://pbs.twimg.com/media/E6IOXacX0AIO80c.jpg")</f>
        <v>https://pbs.twimg.com/media/E6IOXacX0AIO80c.jpg</v>
      </c>
      <c r="V56" s="83" t="str">
        <f>HYPERLINK("https://pbs.twimg.com/media/E6IOXacX0AIO80c.jpg")</f>
        <v>https://pbs.twimg.com/media/E6IOXacX0AIO80c.jpg</v>
      </c>
      <c r="W56" s="81">
        <v>44406.632060185184</v>
      </c>
      <c r="X56" s="87">
        <v>44406</v>
      </c>
      <c r="Y56" s="85" t="s">
        <v>572</v>
      </c>
      <c r="Z56" s="83" t="str">
        <f>HYPERLINK("https://twitter.com/letsplayballan1/status/1420763585798627331")</f>
        <v>https://twitter.com/letsplayballan1/status/1420763585798627331</v>
      </c>
      <c r="AA56" s="79"/>
      <c r="AB56" s="79"/>
      <c r="AC56" s="85" t="s">
        <v>751</v>
      </c>
      <c r="AD56" s="79"/>
      <c r="AE56" s="79" t="b">
        <v>0</v>
      </c>
      <c r="AF56" s="79">
        <v>0</v>
      </c>
      <c r="AG56" s="85" t="s">
        <v>867</v>
      </c>
      <c r="AH56" s="79" t="b">
        <v>0</v>
      </c>
      <c r="AI56" s="79" t="s">
        <v>874</v>
      </c>
      <c r="AJ56" s="79"/>
      <c r="AK56" s="85" t="s">
        <v>867</v>
      </c>
      <c r="AL56" s="79" t="b">
        <v>0</v>
      </c>
      <c r="AM56" s="79">
        <v>3</v>
      </c>
      <c r="AN56" s="85" t="s">
        <v>803</v>
      </c>
      <c r="AO56" s="85" t="s">
        <v>887</v>
      </c>
      <c r="AP56" s="79" t="b">
        <v>0</v>
      </c>
      <c r="AQ56" s="85" t="s">
        <v>803</v>
      </c>
      <c r="AR56" s="79" t="s">
        <v>177</v>
      </c>
      <c r="AS56" s="79">
        <v>0</v>
      </c>
      <c r="AT56" s="79">
        <v>0</v>
      </c>
      <c r="AU56" s="79"/>
      <c r="AV56" s="79"/>
      <c r="AW56" s="79"/>
      <c r="AX56" s="79"/>
      <c r="AY56" s="79"/>
      <c r="AZ56" s="79"/>
      <c r="BA56" s="79"/>
      <c r="BB56" s="79"/>
      <c r="BC56">
        <v>10</v>
      </c>
      <c r="BD56" s="78" t="str">
        <f>REPLACE(INDEX(GroupVertices[Group], MATCH(Edges13[[#This Row],[Vertex 1]],GroupVertices[Vertex],0)),1,1,"")</f>
        <v>3</v>
      </c>
      <c r="BE56" s="78" t="str">
        <f>REPLACE(INDEX(GroupVertices[Group], MATCH(Edges13[[#This Row],[Vertex 2]],GroupVertices[Vertex],0)),1,1,"")</f>
        <v>3</v>
      </c>
    </row>
    <row r="57" spans="1:57" x14ac:dyDescent="0.25">
      <c r="A57" s="64" t="s">
        <v>285</v>
      </c>
      <c r="B57" s="64" t="s">
        <v>289</v>
      </c>
      <c r="C57" s="65"/>
      <c r="D57" s="66"/>
      <c r="E57" s="67"/>
      <c r="F57" s="68"/>
      <c r="G57" s="65"/>
      <c r="H57" s="69"/>
      <c r="I57" s="70"/>
      <c r="J57" s="70"/>
      <c r="K57" s="35" t="s">
        <v>65</v>
      </c>
      <c r="L57" s="77">
        <v>100</v>
      </c>
      <c r="M57" s="77"/>
      <c r="N57" s="72"/>
      <c r="O57" s="79" t="s">
        <v>337</v>
      </c>
      <c r="P57" s="81">
        <v>44406.162118055552</v>
      </c>
      <c r="Q57" s="79" t="s">
        <v>378</v>
      </c>
      <c r="R57" s="79"/>
      <c r="S57" s="79"/>
      <c r="T57" s="85" t="s">
        <v>461</v>
      </c>
      <c r="U57" s="83" t="str">
        <f>HYPERLINK("https://pbs.twimg.com/media/E7a_y_LXIAEIoB-.jpg")</f>
        <v>https://pbs.twimg.com/media/E7a_y_LXIAEIoB-.jpg</v>
      </c>
      <c r="V57" s="83" t="str">
        <f>HYPERLINK("https://pbs.twimg.com/media/E7a_y_LXIAEIoB-.jpg")</f>
        <v>https://pbs.twimg.com/media/E7a_y_LXIAEIoB-.jpg</v>
      </c>
      <c r="W57" s="81">
        <v>44406.162118055552</v>
      </c>
      <c r="X57" s="87">
        <v>44406</v>
      </c>
      <c r="Y57" s="85" t="s">
        <v>599</v>
      </c>
      <c r="Z57" s="83" t="str">
        <f>HYPERLINK("https://twitter.com/edabipi/status/1420593286717321217")</f>
        <v>https://twitter.com/edabipi/status/1420593286717321217</v>
      </c>
      <c r="AA57" s="79"/>
      <c r="AB57" s="79"/>
      <c r="AC57" s="85" t="s">
        <v>779</v>
      </c>
      <c r="AD57" s="79"/>
      <c r="AE57" s="79" t="b">
        <v>0</v>
      </c>
      <c r="AF57" s="79">
        <v>0</v>
      </c>
      <c r="AG57" s="85" t="s">
        <v>867</v>
      </c>
      <c r="AH57" s="79" t="b">
        <v>0</v>
      </c>
      <c r="AI57" s="79" t="s">
        <v>874</v>
      </c>
      <c r="AJ57" s="79"/>
      <c r="AK57" s="85" t="s">
        <v>867</v>
      </c>
      <c r="AL57" s="79" t="b">
        <v>0</v>
      </c>
      <c r="AM57" s="79">
        <v>1</v>
      </c>
      <c r="AN57" s="85" t="s">
        <v>798</v>
      </c>
      <c r="AO57" s="85" t="s">
        <v>883</v>
      </c>
      <c r="AP57" s="79" t="b">
        <v>0</v>
      </c>
      <c r="AQ57" s="85" t="s">
        <v>798</v>
      </c>
      <c r="AR57" s="79" t="s">
        <v>177</v>
      </c>
      <c r="AS57" s="79">
        <v>0</v>
      </c>
      <c r="AT57" s="79">
        <v>0</v>
      </c>
      <c r="AU57" s="79"/>
      <c r="AV57" s="79"/>
      <c r="AW57" s="79"/>
      <c r="AX57" s="79"/>
      <c r="AY57" s="79"/>
      <c r="AZ57" s="79"/>
      <c r="BA57" s="79"/>
      <c r="BB57" s="79"/>
      <c r="BC57">
        <v>6</v>
      </c>
      <c r="BD57" s="78" t="str">
        <f>REPLACE(INDEX(GroupVertices[Group], MATCH(Edges13[[#This Row],[Vertex 1]],GroupVertices[Vertex],0)),1,1,"")</f>
        <v>3</v>
      </c>
      <c r="BE57" s="78" t="str">
        <f>REPLACE(INDEX(GroupVertices[Group], MATCH(Edges13[[#This Row],[Vertex 2]],GroupVertices[Vertex],0)),1,1,"")</f>
        <v>3</v>
      </c>
    </row>
    <row r="58" spans="1:57" x14ac:dyDescent="0.25">
      <c r="A58" s="64" t="s">
        <v>285</v>
      </c>
      <c r="B58" s="64" t="s">
        <v>289</v>
      </c>
      <c r="C58" s="65"/>
      <c r="D58" s="66"/>
      <c r="E58" s="67"/>
      <c r="F58" s="68"/>
      <c r="G58" s="65"/>
      <c r="H58" s="69"/>
      <c r="I58" s="70"/>
      <c r="J58" s="70"/>
      <c r="K58" s="35" t="s">
        <v>65</v>
      </c>
      <c r="L58" s="77">
        <v>102</v>
      </c>
      <c r="M58" s="77"/>
      <c r="N58" s="72"/>
      <c r="O58" s="79" t="s">
        <v>337</v>
      </c>
      <c r="P58" s="81">
        <v>44406.162175925929</v>
      </c>
      <c r="Q58" s="79" t="s">
        <v>379</v>
      </c>
      <c r="R58" s="79"/>
      <c r="S58" s="79"/>
      <c r="T58" s="85" t="s">
        <v>461</v>
      </c>
      <c r="U58" s="83" t="str">
        <f>HYPERLINK("https://pbs.twimg.com/media/E7a7qL-X0AEub4f.jpg")</f>
        <v>https://pbs.twimg.com/media/E7a7qL-X0AEub4f.jpg</v>
      </c>
      <c r="V58" s="83" t="str">
        <f>HYPERLINK("https://pbs.twimg.com/media/E7a7qL-X0AEub4f.jpg")</f>
        <v>https://pbs.twimg.com/media/E7a7qL-X0AEub4f.jpg</v>
      </c>
      <c r="W58" s="81">
        <v>44406.162175925929</v>
      </c>
      <c r="X58" s="87">
        <v>44406</v>
      </c>
      <c r="Y58" s="85" t="s">
        <v>600</v>
      </c>
      <c r="Z58" s="83" t="str">
        <f>HYPERLINK("https://twitter.com/edabipi/status/1420593306489196551")</f>
        <v>https://twitter.com/edabipi/status/1420593306489196551</v>
      </c>
      <c r="AA58" s="79"/>
      <c r="AB58" s="79"/>
      <c r="AC58" s="85" t="s">
        <v>780</v>
      </c>
      <c r="AD58" s="79"/>
      <c r="AE58" s="79" t="b">
        <v>0</v>
      </c>
      <c r="AF58" s="79">
        <v>0</v>
      </c>
      <c r="AG58" s="85" t="s">
        <v>867</v>
      </c>
      <c r="AH58" s="79" t="b">
        <v>0</v>
      </c>
      <c r="AI58" s="79" t="s">
        <v>874</v>
      </c>
      <c r="AJ58" s="79"/>
      <c r="AK58" s="85" t="s">
        <v>867</v>
      </c>
      <c r="AL58" s="79" t="b">
        <v>0</v>
      </c>
      <c r="AM58" s="79">
        <v>1</v>
      </c>
      <c r="AN58" s="85" t="s">
        <v>793</v>
      </c>
      <c r="AO58" s="85" t="s">
        <v>883</v>
      </c>
      <c r="AP58" s="79" t="b">
        <v>0</v>
      </c>
      <c r="AQ58" s="85" t="s">
        <v>793</v>
      </c>
      <c r="AR58" s="79" t="s">
        <v>177</v>
      </c>
      <c r="AS58" s="79">
        <v>0</v>
      </c>
      <c r="AT58" s="79">
        <v>0</v>
      </c>
      <c r="AU58" s="79"/>
      <c r="AV58" s="79"/>
      <c r="AW58" s="79"/>
      <c r="AX58" s="79"/>
      <c r="AY58" s="79"/>
      <c r="AZ58" s="79"/>
      <c r="BA58" s="79"/>
      <c r="BB58" s="79"/>
      <c r="BC58">
        <v>6</v>
      </c>
      <c r="BD58" s="78" t="str">
        <f>REPLACE(INDEX(GroupVertices[Group], MATCH(Edges13[[#This Row],[Vertex 1]],GroupVertices[Vertex],0)),1,1,"")</f>
        <v>3</v>
      </c>
      <c r="BE58" s="78" t="str">
        <f>REPLACE(INDEX(GroupVertices[Group], MATCH(Edges13[[#This Row],[Vertex 2]],GroupVertices[Vertex],0)),1,1,"")</f>
        <v>3</v>
      </c>
    </row>
    <row r="59" spans="1:57" x14ac:dyDescent="0.25">
      <c r="A59" s="64" t="s">
        <v>285</v>
      </c>
      <c r="B59" s="64" t="s">
        <v>289</v>
      </c>
      <c r="C59" s="65"/>
      <c r="D59" s="66"/>
      <c r="E59" s="67"/>
      <c r="F59" s="68"/>
      <c r="G59" s="65"/>
      <c r="H59" s="69"/>
      <c r="I59" s="70"/>
      <c r="J59" s="70"/>
      <c r="K59" s="35" t="s">
        <v>65</v>
      </c>
      <c r="L59" s="77">
        <v>104</v>
      </c>
      <c r="M59" s="77"/>
      <c r="N59" s="72"/>
      <c r="O59" s="79" t="s">
        <v>337</v>
      </c>
      <c r="P59" s="81">
        <v>44407.72797453704</v>
      </c>
      <c r="Q59" s="79" t="s">
        <v>366</v>
      </c>
      <c r="R59" s="79"/>
      <c r="S59" s="79"/>
      <c r="T59" s="85" t="s">
        <v>461</v>
      </c>
      <c r="U59" s="83" t="str">
        <f>HYPERLINK("https://pbs.twimg.com/media/E7eO9zIVUAEjK-g.jpg")</f>
        <v>https://pbs.twimg.com/media/E7eO9zIVUAEjK-g.jpg</v>
      </c>
      <c r="V59" s="83" t="str">
        <f>HYPERLINK("https://pbs.twimg.com/media/E7eO9zIVUAEjK-g.jpg")</f>
        <v>https://pbs.twimg.com/media/E7eO9zIVUAEjK-g.jpg</v>
      </c>
      <c r="W59" s="81">
        <v>44407.72797453704</v>
      </c>
      <c r="X59" s="87">
        <v>44407</v>
      </c>
      <c r="Y59" s="85" t="s">
        <v>601</v>
      </c>
      <c r="Z59" s="83" t="str">
        <f>HYPERLINK("https://twitter.com/edabipi/status/1421160732494860294")</f>
        <v>https://twitter.com/edabipi/status/1421160732494860294</v>
      </c>
      <c r="AA59" s="79"/>
      <c r="AB59" s="79"/>
      <c r="AC59" s="85" t="s">
        <v>781</v>
      </c>
      <c r="AD59" s="79"/>
      <c r="AE59" s="79" t="b">
        <v>0</v>
      </c>
      <c r="AF59" s="79">
        <v>0</v>
      </c>
      <c r="AG59" s="85" t="s">
        <v>867</v>
      </c>
      <c r="AH59" s="79" t="b">
        <v>0</v>
      </c>
      <c r="AI59" s="79" t="s">
        <v>874</v>
      </c>
      <c r="AJ59" s="79"/>
      <c r="AK59" s="85" t="s">
        <v>867</v>
      </c>
      <c r="AL59" s="79" t="b">
        <v>0</v>
      </c>
      <c r="AM59" s="79">
        <v>4</v>
      </c>
      <c r="AN59" s="85" t="s">
        <v>799</v>
      </c>
      <c r="AO59" s="85" t="s">
        <v>883</v>
      </c>
      <c r="AP59" s="79" t="b">
        <v>0</v>
      </c>
      <c r="AQ59" s="85" t="s">
        <v>799</v>
      </c>
      <c r="AR59" s="79" t="s">
        <v>177</v>
      </c>
      <c r="AS59" s="79">
        <v>0</v>
      </c>
      <c r="AT59" s="79">
        <v>0</v>
      </c>
      <c r="AU59" s="79"/>
      <c r="AV59" s="79"/>
      <c r="AW59" s="79"/>
      <c r="AX59" s="79"/>
      <c r="AY59" s="79"/>
      <c r="AZ59" s="79"/>
      <c r="BA59" s="79"/>
      <c r="BB59" s="79"/>
      <c r="BC59">
        <v>6</v>
      </c>
      <c r="BD59" s="78" t="str">
        <f>REPLACE(INDEX(GroupVertices[Group], MATCH(Edges13[[#This Row],[Vertex 1]],GroupVertices[Vertex],0)),1,1,"")</f>
        <v>3</v>
      </c>
      <c r="BE59" s="78" t="str">
        <f>REPLACE(INDEX(GroupVertices[Group], MATCH(Edges13[[#This Row],[Vertex 2]],GroupVertices[Vertex],0)),1,1,"")</f>
        <v>3</v>
      </c>
    </row>
    <row r="60" spans="1:57" x14ac:dyDescent="0.25">
      <c r="A60" s="64" t="s">
        <v>299</v>
      </c>
      <c r="B60" s="64" t="s">
        <v>299</v>
      </c>
      <c r="C60" s="65"/>
      <c r="D60" s="66"/>
      <c r="E60" s="67"/>
      <c r="F60" s="68"/>
      <c r="G60" s="65"/>
      <c r="H60" s="69"/>
      <c r="I60" s="70"/>
      <c r="J60" s="70"/>
      <c r="K60" s="35" t="s">
        <v>65</v>
      </c>
      <c r="L60" s="77">
        <v>106</v>
      </c>
      <c r="M60" s="77"/>
      <c r="N60" s="72"/>
      <c r="O60" s="79" t="s">
        <v>177</v>
      </c>
      <c r="P60" s="81">
        <v>44401.762499999997</v>
      </c>
      <c r="Q60" s="79" t="s">
        <v>440</v>
      </c>
      <c r="R60" s="79"/>
      <c r="S60" s="79"/>
      <c r="T60" s="85" t="s">
        <v>506</v>
      </c>
      <c r="U60" s="83" t="str">
        <f>HYPERLINK("https://pbs.twimg.com/media/E4LuRbFVEAEufsH.jpg")</f>
        <v>https://pbs.twimg.com/media/E4LuRbFVEAEufsH.jpg</v>
      </c>
      <c r="V60" s="83" t="str">
        <f>HYPERLINK("https://pbs.twimg.com/media/E4LuRbFVEAEufsH.jpg")</f>
        <v>https://pbs.twimg.com/media/E4LuRbFVEAEufsH.jpg</v>
      </c>
      <c r="W60" s="81">
        <v>44401.762499999997</v>
      </c>
      <c r="X60" s="87">
        <v>44401</v>
      </c>
      <c r="Y60" s="85" t="s">
        <v>679</v>
      </c>
      <c r="Z60" s="83" t="str">
        <f>HYPERLINK("https://twitter.com/mycencalwestop/status/1418998917220474885")</f>
        <v>https://twitter.com/mycencalwestop/status/1418998917220474885</v>
      </c>
      <c r="AA60" s="79"/>
      <c r="AB60" s="79"/>
      <c r="AC60" s="85" t="s">
        <v>859</v>
      </c>
      <c r="AD60" s="79"/>
      <c r="AE60" s="79" t="b">
        <v>0</v>
      </c>
      <c r="AF60" s="79">
        <v>0</v>
      </c>
      <c r="AG60" s="85" t="s">
        <v>867</v>
      </c>
      <c r="AH60" s="79" t="b">
        <v>0</v>
      </c>
      <c r="AI60" s="79" t="s">
        <v>874</v>
      </c>
      <c r="AJ60" s="79"/>
      <c r="AK60" s="85" t="s">
        <v>867</v>
      </c>
      <c r="AL60" s="79" t="b">
        <v>0</v>
      </c>
      <c r="AM60" s="79">
        <v>0</v>
      </c>
      <c r="AN60" s="85" t="s">
        <v>867</v>
      </c>
      <c r="AO60" s="85" t="s">
        <v>891</v>
      </c>
      <c r="AP60" s="79" t="b">
        <v>0</v>
      </c>
      <c r="AQ60" s="85" t="s">
        <v>859</v>
      </c>
      <c r="AR60" s="79" t="s">
        <v>177</v>
      </c>
      <c r="AS60" s="79">
        <v>0</v>
      </c>
      <c r="AT60" s="79">
        <v>0</v>
      </c>
      <c r="AU60" s="79"/>
      <c r="AV60" s="79"/>
      <c r="AW60" s="79"/>
      <c r="AX60" s="79"/>
      <c r="AY60" s="79"/>
      <c r="AZ60" s="79"/>
      <c r="BA60" s="79"/>
      <c r="BB60" s="79"/>
      <c r="BC60">
        <v>6</v>
      </c>
      <c r="BD60" s="78" t="str">
        <f>REPLACE(INDEX(GroupVertices[Group], MATCH(Edges13[[#This Row],[Vertex 1]],GroupVertices[Vertex],0)),1,1,"")</f>
        <v>1</v>
      </c>
      <c r="BE60" s="78" t="str">
        <f>REPLACE(INDEX(GroupVertices[Group], MATCH(Edges13[[#This Row],[Vertex 2]],GroupVertices[Vertex],0)),1,1,"")</f>
        <v>1</v>
      </c>
    </row>
    <row r="61" spans="1:57" x14ac:dyDescent="0.25">
      <c r="A61" s="64" t="s">
        <v>299</v>
      </c>
      <c r="B61" s="64" t="s">
        <v>299</v>
      </c>
      <c r="C61" s="65"/>
      <c r="D61" s="66"/>
      <c r="E61" s="67"/>
      <c r="F61" s="68"/>
      <c r="G61" s="65"/>
      <c r="H61" s="69"/>
      <c r="I61" s="70"/>
      <c r="J61" s="70"/>
      <c r="K61" s="35" t="s">
        <v>65</v>
      </c>
      <c r="L61" s="77">
        <v>107</v>
      </c>
      <c r="M61" s="77"/>
      <c r="N61" s="72"/>
      <c r="O61" s="79" t="s">
        <v>177</v>
      </c>
      <c r="P61" s="81">
        <v>44403.665972222225</v>
      </c>
      <c r="Q61" s="79" t="s">
        <v>441</v>
      </c>
      <c r="R61" s="79"/>
      <c r="S61" s="79"/>
      <c r="T61" s="85" t="s">
        <v>507</v>
      </c>
      <c r="U61" s="83" t="str">
        <f>HYPERLINK("https://pbs.twimg.com/media/E3-Sw9gVoAAcici.jpg")</f>
        <v>https://pbs.twimg.com/media/E3-Sw9gVoAAcici.jpg</v>
      </c>
      <c r="V61" s="83" t="str">
        <f>HYPERLINK("https://pbs.twimg.com/media/E3-Sw9gVoAAcici.jpg")</f>
        <v>https://pbs.twimg.com/media/E3-Sw9gVoAAcici.jpg</v>
      </c>
      <c r="W61" s="81">
        <v>44403.665972222225</v>
      </c>
      <c r="X61" s="87">
        <v>44403</v>
      </c>
      <c r="Y61" s="85" t="s">
        <v>680</v>
      </c>
      <c r="Z61" s="83" t="str">
        <f>HYPERLINK("https://twitter.com/mycencalwestop/status/1419688712351387650")</f>
        <v>https://twitter.com/mycencalwestop/status/1419688712351387650</v>
      </c>
      <c r="AA61" s="79"/>
      <c r="AB61" s="79"/>
      <c r="AC61" s="85" t="s">
        <v>860</v>
      </c>
      <c r="AD61" s="79"/>
      <c r="AE61" s="79" t="b">
        <v>0</v>
      </c>
      <c r="AF61" s="79">
        <v>1</v>
      </c>
      <c r="AG61" s="85" t="s">
        <v>867</v>
      </c>
      <c r="AH61" s="79" t="b">
        <v>0</v>
      </c>
      <c r="AI61" s="79" t="s">
        <v>874</v>
      </c>
      <c r="AJ61" s="79"/>
      <c r="AK61" s="85" t="s">
        <v>867</v>
      </c>
      <c r="AL61" s="79" t="b">
        <v>0</v>
      </c>
      <c r="AM61" s="79">
        <v>0</v>
      </c>
      <c r="AN61" s="85" t="s">
        <v>867</v>
      </c>
      <c r="AO61" s="85" t="s">
        <v>891</v>
      </c>
      <c r="AP61" s="79" t="b">
        <v>0</v>
      </c>
      <c r="AQ61" s="85" t="s">
        <v>860</v>
      </c>
      <c r="AR61" s="79" t="s">
        <v>177</v>
      </c>
      <c r="AS61" s="79">
        <v>0</v>
      </c>
      <c r="AT61" s="79">
        <v>0</v>
      </c>
      <c r="AU61" s="79"/>
      <c r="AV61" s="79"/>
      <c r="AW61" s="79"/>
      <c r="AX61" s="79"/>
      <c r="AY61" s="79"/>
      <c r="AZ61" s="79"/>
      <c r="BA61" s="79"/>
      <c r="BB61" s="79"/>
      <c r="BC61">
        <v>6</v>
      </c>
      <c r="BD61" s="78" t="str">
        <f>REPLACE(INDEX(GroupVertices[Group], MATCH(Edges13[[#This Row],[Vertex 1]],GroupVertices[Vertex],0)),1,1,"")</f>
        <v>1</v>
      </c>
      <c r="BE61" s="78" t="str">
        <f>REPLACE(INDEX(GroupVertices[Group], MATCH(Edges13[[#This Row],[Vertex 2]],GroupVertices[Vertex],0)),1,1,"")</f>
        <v>1</v>
      </c>
    </row>
    <row r="62" spans="1:57" x14ac:dyDescent="0.25">
      <c r="A62" s="64" t="s">
        <v>299</v>
      </c>
      <c r="B62" s="64" t="s">
        <v>299</v>
      </c>
      <c r="C62" s="65"/>
      <c r="D62" s="66"/>
      <c r="E62" s="67"/>
      <c r="F62" s="68"/>
      <c r="G62" s="65"/>
      <c r="H62" s="69"/>
      <c r="I62" s="70"/>
      <c r="J62" s="70"/>
      <c r="K62" s="35" t="s">
        <v>65</v>
      </c>
      <c r="L62" s="77">
        <v>108</v>
      </c>
      <c r="M62" s="77"/>
      <c r="N62" s="72"/>
      <c r="O62" s="79" t="s">
        <v>177</v>
      </c>
      <c r="P62" s="81">
        <v>44405.804861111108</v>
      </c>
      <c r="Q62" s="79" t="s">
        <v>442</v>
      </c>
      <c r="R62" s="79"/>
      <c r="S62" s="79"/>
      <c r="T62" s="85" t="s">
        <v>506</v>
      </c>
      <c r="U62" s="79"/>
      <c r="V62" s="83" t="str">
        <f>HYPERLINK("https://pbs.twimg.com/profile_images/1323297412480262144/loo-7mMs_normal.jpg")</f>
        <v>https://pbs.twimg.com/profile_images/1323297412480262144/loo-7mMs_normal.jpg</v>
      </c>
      <c r="W62" s="81">
        <v>44405.804861111108</v>
      </c>
      <c r="X62" s="87">
        <v>44405</v>
      </c>
      <c r="Y62" s="85" t="s">
        <v>681</v>
      </c>
      <c r="Z62" s="83" t="str">
        <f>HYPERLINK("https://twitter.com/mycencalwestop/status/1420463820179492873")</f>
        <v>https://twitter.com/mycencalwestop/status/1420463820179492873</v>
      </c>
      <c r="AA62" s="79"/>
      <c r="AB62" s="79"/>
      <c r="AC62" s="85" t="s">
        <v>861</v>
      </c>
      <c r="AD62" s="79"/>
      <c r="AE62" s="79" t="b">
        <v>0</v>
      </c>
      <c r="AF62" s="79">
        <v>0</v>
      </c>
      <c r="AG62" s="85" t="s">
        <v>867</v>
      </c>
      <c r="AH62" s="79" t="b">
        <v>0</v>
      </c>
      <c r="AI62" s="79" t="s">
        <v>874</v>
      </c>
      <c r="AJ62" s="79"/>
      <c r="AK62" s="85" t="s">
        <v>867</v>
      </c>
      <c r="AL62" s="79" t="b">
        <v>0</v>
      </c>
      <c r="AM62" s="79">
        <v>0</v>
      </c>
      <c r="AN62" s="85" t="s">
        <v>867</v>
      </c>
      <c r="AO62" s="85" t="s">
        <v>891</v>
      </c>
      <c r="AP62" s="79" t="b">
        <v>0</v>
      </c>
      <c r="AQ62" s="85" t="s">
        <v>861</v>
      </c>
      <c r="AR62" s="79" t="s">
        <v>177</v>
      </c>
      <c r="AS62" s="79">
        <v>0</v>
      </c>
      <c r="AT62" s="79">
        <v>0</v>
      </c>
      <c r="AU62" s="79"/>
      <c r="AV62" s="79"/>
      <c r="AW62" s="79"/>
      <c r="AX62" s="79"/>
      <c r="AY62" s="79"/>
      <c r="AZ62" s="79"/>
      <c r="BA62" s="79"/>
      <c r="BB62" s="79"/>
      <c r="BC62">
        <v>6</v>
      </c>
      <c r="BD62" s="78" t="str">
        <f>REPLACE(INDEX(GroupVertices[Group], MATCH(Edges13[[#This Row],[Vertex 1]],GroupVertices[Vertex],0)),1,1,"")</f>
        <v>1</v>
      </c>
      <c r="BE62" s="78" t="str">
        <f>REPLACE(INDEX(GroupVertices[Group], MATCH(Edges13[[#This Row],[Vertex 2]],GroupVertices[Vertex],0)),1,1,"")</f>
        <v>1</v>
      </c>
    </row>
    <row r="63" spans="1:57" x14ac:dyDescent="0.25">
      <c r="A63" s="64" t="s">
        <v>299</v>
      </c>
      <c r="B63" s="64" t="s">
        <v>299</v>
      </c>
      <c r="C63" s="65"/>
      <c r="D63" s="66"/>
      <c r="E63" s="67"/>
      <c r="F63" s="68"/>
      <c r="G63" s="65"/>
      <c r="H63" s="69"/>
      <c r="I63" s="70"/>
      <c r="J63" s="70"/>
      <c r="K63" s="35" t="s">
        <v>65</v>
      </c>
      <c r="L63" s="77">
        <v>109</v>
      </c>
      <c r="M63" s="77"/>
      <c r="N63" s="72"/>
      <c r="O63" s="79" t="s">
        <v>177</v>
      </c>
      <c r="P63" s="81">
        <v>44405.88653935185</v>
      </c>
      <c r="Q63" s="79" t="s">
        <v>443</v>
      </c>
      <c r="R63" s="83" t="str">
        <f>HYPERLINK("https://www.chronicle.com/newsletter/the-edge/2021-07-28")</f>
        <v>https://www.chronicle.com/newsletter/the-edge/2021-07-28</v>
      </c>
      <c r="S63" s="79" t="s">
        <v>459</v>
      </c>
      <c r="T63" s="85" t="s">
        <v>508</v>
      </c>
      <c r="U63" s="79"/>
      <c r="V63" s="83" t="str">
        <f>HYPERLINK("https://pbs.twimg.com/profile_images/1323297412480262144/loo-7mMs_normal.jpg")</f>
        <v>https://pbs.twimg.com/profile_images/1323297412480262144/loo-7mMs_normal.jpg</v>
      </c>
      <c r="W63" s="81">
        <v>44405.88653935185</v>
      </c>
      <c r="X63" s="87">
        <v>44405</v>
      </c>
      <c r="Y63" s="85" t="s">
        <v>682</v>
      </c>
      <c r="Z63" s="83" t="str">
        <f>HYPERLINK("https://twitter.com/mycencalwestop/status/1420493421563703297")</f>
        <v>https://twitter.com/mycencalwestop/status/1420493421563703297</v>
      </c>
      <c r="AA63" s="79"/>
      <c r="AB63" s="79"/>
      <c r="AC63" s="85" t="s">
        <v>862</v>
      </c>
      <c r="AD63" s="79"/>
      <c r="AE63" s="79" t="b">
        <v>0</v>
      </c>
      <c r="AF63" s="79">
        <v>0</v>
      </c>
      <c r="AG63" s="85" t="s">
        <v>867</v>
      </c>
      <c r="AH63" s="79" t="b">
        <v>0</v>
      </c>
      <c r="AI63" s="79" t="s">
        <v>874</v>
      </c>
      <c r="AJ63" s="79"/>
      <c r="AK63" s="85" t="s">
        <v>867</v>
      </c>
      <c r="AL63" s="79" t="b">
        <v>0</v>
      </c>
      <c r="AM63" s="79">
        <v>0</v>
      </c>
      <c r="AN63" s="85" t="s">
        <v>867</v>
      </c>
      <c r="AO63" s="85" t="s">
        <v>891</v>
      </c>
      <c r="AP63" s="79" t="b">
        <v>0</v>
      </c>
      <c r="AQ63" s="85" t="s">
        <v>862</v>
      </c>
      <c r="AR63" s="79" t="s">
        <v>177</v>
      </c>
      <c r="AS63" s="79">
        <v>0</v>
      </c>
      <c r="AT63" s="79">
        <v>0</v>
      </c>
      <c r="AU63" s="79"/>
      <c r="AV63" s="79"/>
      <c r="AW63" s="79"/>
      <c r="AX63" s="79"/>
      <c r="AY63" s="79"/>
      <c r="AZ63" s="79"/>
      <c r="BA63" s="79"/>
      <c r="BB63" s="79"/>
      <c r="BC63">
        <v>6</v>
      </c>
      <c r="BD63" s="78" t="str">
        <f>REPLACE(INDEX(GroupVertices[Group], MATCH(Edges13[[#This Row],[Vertex 1]],GroupVertices[Vertex],0)),1,1,"")</f>
        <v>1</v>
      </c>
      <c r="BE63" s="78" t="str">
        <f>REPLACE(INDEX(GroupVertices[Group], MATCH(Edges13[[#This Row],[Vertex 2]],GroupVertices[Vertex],0)),1,1,"")</f>
        <v>1</v>
      </c>
    </row>
    <row r="64" spans="1:57" x14ac:dyDescent="0.25">
      <c r="A64" s="64" t="s">
        <v>299</v>
      </c>
      <c r="B64" s="64" t="s">
        <v>299</v>
      </c>
      <c r="C64" s="65"/>
      <c r="D64" s="66"/>
      <c r="E64" s="67"/>
      <c r="F64" s="68"/>
      <c r="G64" s="65"/>
      <c r="H64" s="69"/>
      <c r="I64" s="70"/>
      <c r="J64" s="70"/>
      <c r="K64" s="35" t="s">
        <v>65</v>
      </c>
      <c r="L64" s="77">
        <v>110</v>
      </c>
      <c r="M64" s="77"/>
      <c r="N64" s="72"/>
      <c r="O64" s="79" t="s">
        <v>177</v>
      </c>
      <c r="P64" s="81">
        <v>44408.93577546296</v>
      </c>
      <c r="Q64" s="79" t="s">
        <v>444</v>
      </c>
      <c r="R64" s="79"/>
      <c r="S64" s="79"/>
      <c r="T64" s="85" t="s">
        <v>461</v>
      </c>
      <c r="U64" s="83" t="str">
        <f>HYPERLINK("https://pbs.twimg.com/media/E7qIOzGUcAIUR57.jpg")</f>
        <v>https://pbs.twimg.com/media/E7qIOzGUcAIUR57.jpg</v>
      </c>
      <c r="V64" s="83" t="str">
        <f>HYPERLINK("https://pbs.twimg.com/media/E7qIOzGUcAIUR57.jpg")</f>
        <v>https://pbs.twimg.com/media/E7qIOzGUcAIUR57.jpg</v>
      </c>
      <c r="W64" s="81">
        <v>44408.93577546296</v>
      </c>
      <c r="X64" s="87">
        <v>44408</v>
      </c>
      <c r="Y64" s="85" t="s">
        <v>683</v>
      </c>
      <c r="Z64" s="83" t="str">
        <f>HYPERLINK("https://twitter.com/mycencalwestop/status/1421598426752446470")</f>
        <v>https://twitter.com/mycencalwestop/status/1421598426752446470</v>
      </c>
      <c r="AA64" s="79"/>
      <c r="AB64" s="79"/>
      <c r="AC64" s="85" t="s">
        <v>863</v>
      </c>
      <c r="AD64" s="79"/>
      <c r="AE64" s="79" t="b">
        <v>0</v>
      </c>
      <c r="AF64" s="79">
        <v>2</v>
      </c>
      <c r="AG64" s="85" t="s">
        <v>867</v>
      </c>
      <c r="AH64" s="79" t="b">
        <v>0</v>
      </c>
      <c r="AI64" s="79" t="s">
        <v>874</v>
      </c>
      <c r="AJ64" s="79"/>
      <c r="AK64" s="85" t="s">
        <v>867</v>
      </c>
      <c r="AL64" s="79" t="b">
        <v>0</v>
      </c>
      <c r="AM64" s="79">
        <v>0</v>
      </c>
      <c r="AN64" s="85" t="s">
        <v>867</v>
      </c>
      <c r="AO64" s="85" t="s">
        <v>883</v>
      </c>
      <c r="AP64" s="79" t="b">
        <v>0</v>
      </c>
      <c r="AQ64" s="85" t="s">
        <v>863</v>
      </c>
      <c r="AR64" s="79" t="s">
        <v>177</v>
      </c>
      <c r="AS64" s="79">
        <v>0</v>
      </c>
      <c r="AT64" s="79">
        <v>0</v>
      </c>
      <c r="AU64" s="79" t="s">
        <v>901</v>
      </c>
      <c r="AV64" s="79" t="s">
        <v>902</v>
      </c>
      <c r="AW64" s="79" t="s">
        <v>903</v>
      </c>
      <c r="AX64" s="79" t="s">
        <v>914</v>
      </c>
      <c r="AY64" s="79" t="s">
        <v>924</v>
      </c>
      <c r="AZ64" s="79" t="s">
        <v>914</v>
      </c>
      <c r="BA64" s="79" t="s">
        <v>931</v>
      </c>
      <c r="BB64" s="83" t="str">
        <f>HYPERLINK("https://api.twitter.com/1.1/geo/id/07d9d741e6084000.json")</f>
        <v>https://api.twitter.com/1.1/geo/id/07d9d741e6084000.json</v>
      </c>
      <c r="BC64">
        <v>6</v>
      </c>
      <c r="BD64" s="78" t="str">
        <f>REPLACE(INDEX(GroupVertices[Group], MATCH(Edges13[[#This Row],[Vertex 1]],GroupVertices[Vertex],0)),1,1,"")</f>
        <v>1</v>
      </c>
      <c r="BE64" s="78" t="str">
        <f>REPLACE(INDEX(GroupVertices[Group], MATCH(Edges13[[#This Row],[Vertex 2]],GroupVertices[Vertex],0)),1,1,"")</f>
        <v>1</v>
      </c>
    </row>
    <row r="65" spans="1:57" x14ac:dyDescent="0.25">
      <c r="A65" s="89" t="s">
        <v>299</v>
      </c>
      <c r="B65" s="89" t="s">
        <v>299</v>
      </c>
      <c r="C65" s="105"/>
      <c r="D65" s="123"/>
      <c r="E65" s="124"/>
      <c r="F65" s="104"/>
      <c r="G65" s="105"/>
      <c r="H65" s="125"/>
      <c r="I65" s="106"/>
      <c r="J65" s="106"/>
      <c r="K65" s="35" t="s">
        <v>65</v>
      </c>
      <c r="L65" s="126">
        <v>111</v>
      </c>
      <c r="M65" s="126"/>
      <c r="N65" s="95"/>
      <c r="O65" s="99" t="s">
        <v>177</v>
      </c>
      <c r="P65" s="100">
        <v>44409.849305555559</v>
      </c>
      <c r="Q65" s="99" t="s">
        <v>445</v>
      </c>
      <c r="R65" s="99"/>
      <c r="S65" s="99"/>
      <c r="T65" s="101" t="s">
        <v>506</v>
      </c>
      <c r="U65" s="102" t="str">
        <f>HYPERLINK("https://pbs.twimg.com/media/E4LvUzaUcAEHgb7.jpg")</f>
        <v>https://pbs.twimg.com/media/E4LvUzaUcAEHgb7.jpg</v>
      </c>
      <c r="V65" s="102" t="str">
        <f>HYPERLINK("https://pbs.twimg.com/media/E4LvUzaUcAEHgb7.jpg")</f>
        <v>https://pbs.twimg.com/media/E4LvUzaUcAEHgb7.jpg</v>
      </c>
      <c r="W65" s="100">
        <v>44409.849305555559</v>
      </c>
      <c r="X65" s="103">
        <v>44409</v>
      </c>
      <c r="Y65" s="101" t="s">
        <v>684</v>
      </c>
      <c r="Z65" s="102" t="str">
        <f>HYPERLINK("https://twitter.com/mycencalwestop/status/1421929477261565955")</f>
        <v>https://twitter.com/mycencalwestop/status/1421929477261565955</v>
      </c>
      <c r="AA65" s="99"/>
      <c r="AB65" s="99"/>
      <c r="AC65" s="101" t="s">
        <v>864</v>
      </c>
      <c r="AD65" s="99"/>
      <c r="AE65" s="99" t="b">
        <v>0</v>
      </c>
      <c r="AF65" s="99">
        <v>0</v>
      </c>
      <c r="AG65" s="101" t="s">
        <v>867</v>
      </c>
      <c r="AH65" s="99" t="b">
        <v>0</v>
      </c>
      <c r="AI65" s="99" t="s">
        <v>874</v>
      </c>
      <c r="AJ65" s="99"/>
      <c r="AK65" s="101" t="s">
        <v>867</v>
      </c>
      <c r="AL65" s="99" t="b">
        <v>0</v>
      </c>
      <c r="AM65" s="99">
        <v>0</v>
      </c>
      <c r="AN65" s="101" t="s">
        <v>867</v>
      </c>
      <c r="AO65" s="101" t="s">
        <v>891</v>
      </c>
      <c r="AP65" s="99" t="b">
        <v>0</v>
      </c>
      <c r="AQ65" s="101" t="s">
        <v>864</v>
      </c>
      <c r="AR65" s="99" t="s">
        <v>177</v>
      </c>
      <c r="AS65" s="99">
        <v>0</v>
      </c>
      <c r="AT65" s="99">
        <v>0</v>
      </c>
      <c r="AU65" s="99"/>
      <c r="AV65" s="99"/>
      <c r="AW65" s="99"/>
      <c r="AX65" s="99"/>
      <c r="AY65" s="99"/>
      <c r="AZ65" s="99"/>
      <c r="BA65" s="99"/>
      <c r="BB65" s="99"/>
      <c r="BC65">
        <v>6</v>
      </c>
      <c r="BD65" s="78" t="str">
        <f>REPLACE(INDEX(GroupVertices[Group], MATCH(Edges13[[#This Row],[Vertex 1]],GroupVertices[Vertex],0)),1,1,"")</f>
        <v>1</v>
      </c>
      <c r="BE65" s="78" t="str">
        <f>REPLACE(INDEX(GroupVertices[Group], MATCH(Edges13[[#This Row],[Vertex 2]],GroupVertices[Vertex],0)),1,1,"")</f>
        <v>1</v>
      </c>
    </row>
    <row r="66" spans="1:57" x14ac:dyDescent="0.25">
      <c r="A66" s="64" t="s">
        <v>296</v>
      </c>
      <c r="B66" s="64" t="s">
        <v>296</v>
      </c>
      <c r="C66" s="65"/>
      <c r="D66" s="66"/>
      <c r="E66" s="67"/>
      <c r="F66" s="68"/>
      <c r="G66" s="65"/>
      <c r="H66" s="69"/>
      <c r="I66" s="70"/>
      <c r="J66" s="70"/>
      <c r="K66" s="35" t="s">
        <v>65</v>
      </c>
      <c r="L66" s="77">
        <v>112</v>
      </c>
      <c r="M66" s="77"/>
      <c r="N66" s="72"/>
      <c r="O66" s="79" t="s">
        <v>177</v>
      </c>
      <c r="P66" s="81">
        <v>44401.667164351849</v>
      </c>
      <c r="Q66" s="79" t="s">
        <v>425</v>
      </c>
      <c r="R66" s="79"/>
      <c r="S66" s="79"/>
      <c r="T66" s="85" t="s">
        <v>497</v>
      </c>
      <c r="U66" s="83" t="str">
        <f>HYPERLINK("https://pbs.twimg.com/media/E7Esk3aWYA4vnC7.jpg")</f>
        <v>https://pbs.twimg.com/media/E7Esk3aWYA4vnC7.jpg</v>
      </c>
      <c r="V66" s="83" t="str">
        <f>HYPERLINK("https://pbs.twimg.com/media/E7Esk3aWYA4vnC7.jpg")</f>
        <v>https://pbs.twimg.com/media/E7Esk3aWYA4vnC7.jpg</v>
      </c>
      <c r="W66" s="81">
        <v>44401.667164351849</v>
      </c>
      <c r="X66" s="87">
        <v>44401</v>
      </c>
      <c r="Y66" s="85" t="s">
        <v>660</v>
      </c>
      <c r="Z66" s="83" t="str">
        <f>HYPERLINK("https://twitter.com/eku_nova/status/1418964371456368640")</f>
        <v>https://twitter.com/eku_nova/status/1418964371456368640</v>
      </c>
      <c r="AA66" s="79"/>
      <c r="AB66" s="79"/>
      <c r="AC66" s="85" t="s">
        <v>840</v>
      </c>
      <c r="AD66" s="79"/>
      <c r="AE66" s="79" t="b">
        <v>0</v>
      </c>
      <c r="AF66" s="79">
        <v>2</v>
      </c>
      <c r="AG66" s="85" t="s">
        <v>867</v>
      </c>
      <c r="AH66" s="79" t="b">
        <v>0</v>
      </c>
      <c r="AI66" s="79" t="s">
        <v>874</v>
      </c>
      <c r="AJ66" s="79"/>
      <c r="AK66" s="85" t="s">
        <v>867</v>
      </c>
      <c r="AL66" s="79" t="b">
        <v>0</v>
      </c>
      <c r="AM66" s="79">
        <v>0</v>
      </c>
      <c r="AN66" s="85" t="s">
        <v>867</v>
      </c>
      <c r="AO66" s="85" t="s">
        <v>885</v>
      </c>
      <c r="AP66" s="79" t="b">
        <v>0</v>
      </c>
      <c r="AQ66" s="85" t="s">
        <v>840</v>
      </c>
      <c r="AR66" s="79" t="s">
        <v>177</v>
      </c>
      <c r="AS66" s="79">
        <v>0</v>
      </c>
      <c r="AT66" s="79">
        <v>0</v>
      </c>
      <c r="AU66" s="79"/>
      <c r="AV66" s="79"/>
      <c r="AW66" s="79"/>
      <c r="AX66" s="79"/>
      <c r="AY66" s="79"/>
      <c r="AZ66" s="79"/>
      <c r="BA66" s="79"/>
      <c r="BB66" s="79"/>
      <c r="BC66">
        <v>6</v>
      </c>
      <c r="BD66" s="78" t="str">
        <f>REPLACE(INDEX(GroupVertices[Group], MATCH(Edges13[[#This Row],[Vertex 1]],GroupVertices[Vertex],0)),1,1,"")</f>
        <v>11</v>
      </c>
      <c r="BE66" s="78" t="str">
        <f>REPLACE(INDEX(GroupVertices[Group], MATCH(Edges13[[#This Row],[Vertex 2]],GroupVertices[Vertex],0)),1,1,"")</f>
        <v>11</v>
      </c>
    </row>
    <row r="67" spans="1:57" x14ac:dyDescent="0.25">
      <c r="A67" s="64" t="s">
        <v>296</v>
      </c>
      <c r="B67" s="64" t="s">
        <v>296</v>
      </c>
      <c r="C67" s="65"/>
      <c r="D67" s="66"/>
      <c r="E67" s="67"/>
      <c r="F67" s="68"/>
      <c r="G67" s="65"/>
      <c r="H67" s="69"/>
      <c r="I67" s="70"/>
      <c r="J67" s="70"/>
      <c r="K67" s="35" t="s">
        <v>65</v>
      </c>
      <c r="L67" s="77">
        <v>113</v>
      </c>
      <c r="M67" s="77"/>
      <c r="N67" s="72"/>
      <c r="O67" s="79" t="s">
        <v>177</v>
      </c>
      <c r="P67" s="81">
        <v>44403.667881944442</v>
      </c>
      <c r="Q67" s="79" t="s">
        <v>426</v>
      </c>
      <c r="R67" s="79"/>
      <c r="S67" s="79"/>
      <c r="T67" s="85" t="s">
        <v>498</v>
      </c>
      <c r="U67" s="83" t="str">
        <f>HYPERLINK("https://pbs.twimg.com/media/E7O__amWUAMQeQ-.jpg")</f>
        <v>https://pbs.twimg.com/media/E7O__amWUAMQeQ-.jpg</v>
      </c>
      <c r="V67" s="83" t="str">
        <f>HYPERLINK("https://pbs.twimg.com/media/E7O__amWUAMQeQ-.jpg")</f>
        <v>https://pbs.twimg.com/media/E7O__amWUAMQeQ-.jpg</v>
      </c>
      <c r="W67" s="81">
        <v>44403.667881944442</v>
      </c>
      <c r="X67" s="87">
        <v>44403</v>
      </c>
      <c r="Y67" s="85" t="s">
        <v>661</v>
      </c>
      <c r="Z67" s="83" t="str">
        <f>HYPERLINK("https://twitter.com/eku_nova/status/1419689406911365129")</f>
        <v>https://twitter.com/eku_nova/status/1419689406911365129</v>
      </c>
      <c r="AA67" s="79"/>
      <c r="AB67" s="79"/>
      <c r="AC67" s="85" t="s">
        <v>841</v>
      </c>
      <c r="AD67" s="79"/>
      <c r="AE67" s="79" t="b">
        <v>0</v>
      </c>
      <c r="AF67" s="79">
        <v>0</v>
      </c>
      <c r="AG67" s="85" t="s">
        <v>867</v>
      </c>
      <c r="AH67" s="79" t="b">
        <v>0</v>
      </c>
      <c r="AI67" s="79" t="s">
        <v>874</v>
      </c>
      <c r="AJ67" s="79"/>
      <c r="AK67" s="85" t="s">
        <v>867</v>
      </c>
      <c r="AL67" s="79" t="b">
        <v>0</v>
      </c>
      <c r="AM67" s="79">
        <v>0</v>
      </c>
      <c r="AN67" s="85" t="s">
        <v>867</v>
      </c>
      <c r="AO67" s="85" t="s">
        <v>885</v>
      </c>
      <c r="AP67" s="79" t="b">
        <v>0</v>
      </c>
      <c r="AQ67" s="85" t="s">
        <v>841</v>
      </c>
      <c r="AR67" s="79" t="s">
        <v>177</v>
      </c>
      <c r="AS67" s="79">
        <v>0</v>
      </c>
      <c r="AT67" s="79">
        <v>0</v>
      </c>
      <c r="AU67" s="79"/>
      <c r="AV67" s="79"/>
      <c r="AW67" s="79"/>
      <c r="AX67" s="79"/>
      <c r="AY67" s="79"/>
      <c r="AZ67" s="79"/>
      <c r="BA67" s="79"/>
      <c r="BB67" s="79"/>
      <c r="BC67">
        <v>6</v>
      </c>
      <c r="BD67" s="78" t="str">
        <f>REPLACE(INDEX(GroupVertices[Group], MATCH(Edges13[[#This Row],[Vertex 1]],GroupVertices[Vertex],0)),1,1,"")</f>
        <v>11</v>
      </c>
      <c r="BE67" s="78" t="str">
        <f>REPLACE(INDEX(GroupVertices[Group], MATCH(Edges13[[#This Row],[Vertex 2]],GroupVertices[Vertex],0)),1,1,"")</f>
        <v>11</v>
      </c>
    </row>
    <row r="68" spans="1:57" x14ac:dyDescent="0.25">
      <c r="A68" s="64" t="s">
        <v>296</v>
      </c>
      <c r="B68" s="64" t="s">
        <v>296</v>
      </c>
      <c r="C68" s="65"/>
      <c r="D68" s="66"/>
      <c r="E68" s="67"/>
      <c r="F68" s="68"/>
      <c r="G68" s="65"/>
      <c r="H68" s="69"/>
      <c r="I68" s="70"/>
      <c r="J68" s="70"/>
      <c r="K68" s="35" t="s">
        <v>65</v>
      </c>
      <c r="L68" s="77">
        <v>114</v>
      </c>
      <c r="M68" s="77"/>
      <c r="N68" s="72"/>
      <c r="O68" s="79" t="s">
        <v>177</v>
      </c>
      <c r="P68" s="81">
        <v>44404.668043981481</v>
      </c>
      <c r="Q68" s="79" t="s">
        <v>427</v>
      </c>
      <c r="R68" s="79"/>
      <c r="S68" s="79"/>
      <c r="T68" s="85" t="s">
        <v>497</v>
      </c>
      <c r="U68" s="83" t="str">
        <f>HYPERLINK("https://pbs.twimg.com/media/E7UJofHWEAsy7PW.jpg")</f>
        <v>https://pbs.twimg.com/media/E7UJofHWEAsy7PW.jpg</v>
      </c>
      <c r="V68" s="83" t="str">
        <f>HYPERLINK("https://pbs.twimg.com/media/E7UJofHWEAsy7PW.jpg")</f>
        <v>https://pbs.twimg.com/media/E7UJofHWEAsy7PW.jpg</v>
      </c>
      <c r="W68" s="81">
        <v>44404.668043981481</v>
      </c>
      <c r="X68" s="87">
        <v>44404</v>
      </c>
      <c r="Y68" s="85" t="s">
        <v>662</v>
      </c>
      <c r="Z68" s="83" t="str">
        <f>HYPERLINK("https://twitter.com/eku_nova/status/1420051851089793026")</f>
        <v>https://twitter.com/eku_nova/status/1420051851089793026</v>
      </c>
      <c r="AA68" s="79"/>
      <c r="AB68" s="79"/>
      <c r="AC68" s="85" t="s">
        <v>842</v>
      </c>
      <c r="AD68" s="79"/>
      <c r="AE68" s="79" t="b">
        <v>0</v>
      </c>
      <c r="AF68" s="79">
        <v>1</v>
      </c>
      <c r="AG68" s="85" t="s">
        <v>867</v>
      </c>
      <c r="AH68" s="79" t="b">
        <v>0</v>
      </c>
      <c r="AI68" s="79" t="s">
        <v>874</v>
      </c>
      <c r="AJ68" s="79"/>
      <c r="AK68" s="85" t="s">
        <v>867</v>
      </c>
      <c r="AL68" s="79" t="b">
        <v>0</v>
      </c>
      <c r="AM68" s="79">
        <v>0</v>
      </c>
      <c r="AN68" s="85" t="s">
        <v>867</v>
      </c>
      <c r="AO68" s="85" t="s">
        <v>885</v>
      </c>
      <c r="AP68" s="79" t="b">
        <v>0</v>
      </c>
      <c r="AQ68" s="85" t="s">
        <v>842</v>
      </c>
      <c r="AR68" s="79" t="s">
        <v>177</v>
      </c>
      <c r="AS68" s="79">
        <v>0</v>
      </c>
      <c r="AT68" s="79">
        <v>0</v>
      </c>
      <c r="AU68" s="79"/>
      <c r="AV68" s="79"/>
      <c r="AW68" s="79"/>
      <c r="AX68" s="79"/>
      <c r="AY68" s="79"/>
      <c r="AZ68" s="79"/>
      <c r="BA68" s="79"/>
      <c r="BB68" s="79"/>
      <c r="BC68">
        <v>6</v>
      </c>
      <c r="BD68" s="78" t="str">
        <f>REPLACE(INDEX(GroupVertices[Group], MATCH(Edges13[[#This Row],[Vertex 1]],GroupVertices[Vertex],0)),1,1,"")</f>
        <v>11</v>
      </c>
      <c r="BE68" s="78" t="str">
        <f>REPLACE(INDEX(GroupVertices[Group], MATCH(Edges13[[#This Row],[Vertex 2]],GroupVertices[Vertex],0)),1,1,"")</f>
        <v>11</v>
      </c>
    </row>
    <row r="69" spans="1:57" x14ac:dyDescent="0.25">
      <c r="A69" s="64" t="s">
        <v>296</v>
      </c>
      <c r="B69" s="64" t="s">
        <v>296</v>
      </c>
      <c r="C69" s="65"/>
      <c r="D69" s="66"/>
      <c r="E69" s="67"/>
      <c r="F69" s="68"/>
      <c r="G69" s="65"/>
      <c r="H69" s="69"/>
      <c r="I69" s="70"/>
      <c r="J69" s="70"/>
      <c r="K69" s="35" t="s">
        <v>65</v>
      </c>
      <c r="L69" s="77">
        <v>115</v>
      </c>
      <c r="M69" s="77"/>
      <c r="N69" s="72"/>
      <c r="O69" s="79" t="s">
        <v>177</v>
      </c>
      <c r="P69" s="81">
        <v>44406.667800925927</v>
      </c>
      <c r="Q69" s="79" t="s">
        <v>428</v>
      </c>
      <c r="R69" s="79"/>
      <c r="S69" s="79"/>
      <c r="T69" s="85" t="s">
        <v>497</v>
      </c>
      <c r="U69" s="83" t="str">
        <f>HYPERLINK("https://pbs.twimg.com/media/E7ecu-oXIAU5Dle.jpg")</f>
        <v>https://pbs.twimg.com/media/E7ecu-oXIAU5Dle.jpg</v>
      </c>
      <c r="V69" s="83" t="str">
        <f>HYPERLINK("https://pbs.twimg.com/media/E7ecu-oXIAU5Dle.jpg")</f>
        <v>https://pbs.twimg.com/media/E7ecu-oXIAU5Dle.jpg</v>
      </c>
      <c r="W69" s="81">
        <v>44406.667800925927</v>
      </c>
      <c r="X69" s="87">
        <v>44406</v>
      </c>
      <c r="Y69" s="85" t="s">
        <v>663</v>
      </c>
      <c r="Z69" s="83" t="str">
        <f>HYPERLINK("https://twitter.com/eku_nova/status/1420776540653211656")</f>
        <v>https://twitter.com/eku_nova/status/1420776540653211656</v>
      </c>
      <c r="AA69" s="79"/>
      <c r="AB69" s="79"/>
      <c r="AC69" s="85" t="s">
        <v>843</v>
      </c>
      <c r="AD69" s="79"/>
      <c r="AE69" s="79" t="b">
        <v>0</v>
      </c>
      <c r="AF69" s="79">
        <v>0</v>
      </c>
      <c r="AG69" s="85" t="s">
        <v>867</v>
      </c>
      <c r="AH69" s="79" t="b">
        <v>0</v>
      </c>
      <c r="AI69" s="79" t="s">
        <v>874</v>
      </c>
      <c r="AJ69" s="79"/>
      <c r="AK69" s="85" t="s">
        <v>867</v>
      </c>
      <c r="AL69" s="79" t="b">
        <v>0</v>
      </c>
      <c r="AM69" s="79">
        <v>0</v>
      </c>
      <c r="AN69" s="85" t="s">
        <v>867</v>
      </c>
      <c r="AO69" s="85" t="s">
        <v>885</v>
      </c>
      <c r="AP69" s="79" t="b">
        <v>0</v>
      </c>
      <c r="AQ69" s="85" t="s">
        <v>843</v>
      </c>
      <c r="AR69" s="79" t="s">
        <v>177</v>
      </c>
      <c r="AS69" s="79">
        <v>0</v>
      </c>
      <c r="AT69" s="79">
        <v>0</v>
      </c>
      <c r="AU69" s="79"/>
      <c r="AV69" s="79"/>
      <c r="AW69" s="79"/>
      <c r="AX69" s="79"/>
      <c r="AY69" s="79"/>
      <c r="AZ69" s="79"/>
      <c r="BA69" s="79"/>
      <c r="BB69" s="79"/>
      <c r="BC69">
        <v>6</v>
      </c>
      <c r="BD69" s="78" t="str">
        <f>REPLACE(INDEX(GroupVertices[Group], MATCH(Edges13[[#This Row],[Vertex 1]],GroupVertices[Vertex],0)),1,1,"")</f>
        <v>11</v>
      </c>
      <c r="BE69" s="78" t="str">
        <f>REPLACE(INDEX(GroupVertices[Group], MATCH(Edges13[[#This Row],[Vertex 2]],GroupVertices[Vertex],0)),1,1,"")</f>
        <v>11</v>
      </c>
    </row>
    <row r="70" spans="1:57" x14ac:dyDescent="0.25">
      <c r="A70" s="64" t="s">
        <v>296</v>
      </c>
      <c r="B70" s="64" t="s">
        <v>296</v>
      </c>
      <c r="C70" s="65"/>
      <c r="D70" s="66"/>
      <c r="E70" s="67"/>
      <c r="F70" s="68"/>
      <c r="G70" s="65"/>
      <c r="H70" s="69"/>
      <c r="I70" s="70"/>
      <c r="J70" s="70"/>
      <c r="K70" s="35" t="s">
        <v>65</v>
      </c>
      <c r="L70" s="77">
        <v>116</v>
      </c>
      <c r="M70" s="77"/>
      <c r="N70" s="72"/>
      <c r="O70" s="79" t="s">
        <v>177</v>
      </c>
      <c r="P70" s="81">
        <v>44407.667546296296</v>
      </c>
      <c r="Q70" s="79" t="s">
        <v>429</v>
      </c>
      <c r="R70" s="79"/>
      <c r="S70" s="79"/>
      <c r="T70" s="85" t="s">
        <v>499</v>
      </c>
      <c r="U70" s="83" t="str">
        <f>HYPERLINK("https://pbs.twimg.com/media/E7jmPVIXMAA1JPV.jpg")</f>
        <v>https://pbs.twimg.com/media/E7jmPVIXMAA1JPV.jpg</v>
      </c>
      <c r="V70" s="83" t="str">
        <f>HYPERLINK("https://pbs.twimg.com/media/E7jmPVIXMAA1JPV.jpg")</f>
        <v>https://pbs.twimg.com/media/E7jmPVIXMAA1JPV.jpg</v>
      </c>
      <c r="W70" s="81">
        <v>44407.667546296296</v>
      </c>
      <c r="X70" s="87">
        <v>44407</v>
      </c>
      <c r="Y70" s="85" t="s">
        <v>664</v>
      </c>
      <c r="Z70" s="83" t="str">
        <f>HYPERLINK("https://twitter.com/eku_nova/status/1421138835803623434")</f>
        <v>https://twitter.com/eku_nova/status/1421138835803623434</v>
      </c>
      <c r="AA70" s="79"/>
      <c r="AB70" s="79"/>
      <c r="AC70" s="85" t="s">
        <v>844</v>
      </c>
      <c r="AD70" s="79"/>
      <c r="AE70" s="79" t="b">
        <v>0</v>
      </c>
      <c r="AF70" s="79">
        <v>0</v>
      </c>
      <c r="AG70" s="85" t="s">
        <v>867</v>
      </c>
      <c r="AH70" s="79" t="b">
        <v>0</v>
      </c>
      <c r="AI70" s="79" t="s">
        <v>874</v>
      </c>
      <c r="AJ70" s="79"/>
      <c r="AK70" s="85" t="s">
        <v>867</v>
      </c>
      <c r="AL70" s="79" t="b">
        <v>0</v>
      </c>
      <c r="AM70" s="79">
        <v>0</v>
      </c>
      <c r="AN70" s="85" t="s">
        <v>867</v>
      </c>
      <c r="AO70" s="85" t="s">
        <v>885</v>
      </c>
      <c r="AP70" s="79" t="b">
        <v>0</v>
      </c>
      <c r="AQ70" s="85" t="s">
        <v>844</v>
      </c>
      <c r="AR70" s="79" t="s">
        <v>177</v>
      </c>
      <c r="AS70" s="79">
        <v>0</v>
      </c>
      <c r="AT70" s="79">
        <v>0</v>
      </c>
      <c r="AU70" s="79"/>
      <c r="AV70" s="79"/>
      <c r="AW70" s="79"/>
      <c r="AX70" s="79"/>
      <c r="AY70" s="79"/>
      <c r="AZ70" s="79"/>
      <c r="BA70" s="79"/>
      <c r="BB70" s="79"/>
      <c r="BC70">
        <v>6</v>
      </c>
      <c r="BD70" s="78" t="str">
        <f>REPLACE(INDEX(GroupVertices[Group], MATCH(Edges13[[#This Row],[Vertex 1]],GroupVertices[Vertex],0)),1,1,"")</f>
        <v>11</v>
      </c>
      <c r="BE70" s="78" t="str">
        <f>REPLACE(INDEX(GroupVertices[Group], MATCH(Edges13[[#This Row],[Vertex 2]],GroupVertices[Vertex],0)),1,1,"")</f>
        <v>11</v>
      </c>
    </row>
    <row r="71" spans="1:57" x14ac:dyDescent="0.25">
      <c r="A71" s="64" t="s">
        <v>296</v>
      </c>
      <c r="B71" s="64" t="s">
        <v>296</v>
      </c>
      <c r="C71" s="65"/>
      <c r="D71" s="66"/>
      <c r="E71" s="67"/>
      <c r="F71" s="68"/>
      <c r="G71" s="65"/>
      <c r="H71" s="69"/>
      <c r="I71" s="70"/>
      <c r="J71" s="70"/>
      <c r="K71" s="35" t="s">
        <v>65</v>
      </c>
      <c r="L71" s="77">
        <v>117</v>
      </c>
      <c r="M71" s="77"/>
      <c r="N71" s="72"/>
      <c r="O71" s="79" t="s">
        <v>177</v>
      </c>
      <c r="P71" s="81">
        <v>44408.667094907411</v>
      </c>
      <c r="Q71" s="79" t="s">
        <v>430</v>
      </c>
      <c r="R71" s="79"/>
      <c r="S71" s="79"/>
      <c r="T71" s="85" t="s">
        <v>499</v>
      </c>
      <c r="U71" s="83" t="str">
        <f>HYPERLINK("https://pbs.twimg.com/media/E7ovroxWQAUPcgl.jpg")</f>
        <v>https://pbs.twimg.com/media/E7ovroxWQAUPcgl.jpg</v>
      </c>
      <c r="V71" s="83" t="str">
        <f>HYPERLINK("https://pbs.twimg.com/media/E7ovroxWQAUPcgl.jpg")</f>
        <v>https://pbs.twimg.com/media/E7ovroxWQAUPcgl.jpg</v>
      </c>
      <c r="W71" s="81">
        <v>44408.667094907411</v>
      </c>
      <c r="X71" s="87">
        <v>44408</v>
      </c>
      <c r="Y71" s="85" t="s">
        <v>665</v>
      </c>
      <c r="Z71" s="83" t="str">
        <f>HYPERLINK("https://twitter.com/eku_nova/status/1421501061429436422")</f>
        <v>https://twitter.com/eku_nova/status/1421501061429436422</v>
      </c>
      <c r="AA71" s="79"/>
      <c r="AB71" s="79"/>
      <c r="AC71" s="85" t="s">
        <v>845</v>
      </c>
      <c r="AD71" s="79"/>
      <c r="AE71" s="79" t="b">
        <v>0</v>
      </c>
      <c r="AF71" s="79">
        <v>0</v>
      </c>
      <c r="AG71" s="85" t="s">
        <v>867</v>
      </c>
      <c r="AH71" s="79" t="b">
        <v>0</v>
      </c>
      <c r="AI71" s="79" t="s">
        <v>874</v>
      </c>
      <c r="AJ71" s="79"/>
      <c r="AK71" s="85" t="s">
        <v>867</v>
      </c>
      <c r="AL71" s="79" t="b">
        <v>0</v>
      </c>
      <c r="AM71" s="79">
        <v>0</v>
      </c>
      <c r="AN71" s="85" t="s">
        <v>867</v>
      </c>
      <c r="AO71" s="85" t="s">
        <v>885</v>
      </c>
      <c r="AP71" s="79" t="b">
        <v>0</v>
      </c>
      <c r="AQ71" s="85" t="s">
        <v>845</v>
      </c>
      <c r="AR71" s="79" t="s">
        <v>177</v>
      </c>
      <c r="AS71" s="79">
        <v>0</v>
      </c>
      <c r="AT71" s="79">
        <v>0</v>
      </c>
      <c r="AU71" s="79"/>
      <c r="AV71" s="79"/>
      <c r="AW71" s="79"/>
      <c r="AX71" s="79"/>
      <c r="AY71" s="79"/>
      <c r="AZ71" s="79"/>
      <c r="BA71" s="79"/>
      <c r="BB71" s="79"/>
      <c r="BC71">
        <v>6</v>
      </c>
      <c r="BD71" s="78" t="str">
        <f>REPLACE(INDEX(GroupVertices[Group], MATCH(Edges13[[#This Row],[Vertex 1]],GroupVertices[Vertex],0)),1,1,"")</f>
        <v>11</v>
      </c>
      <c r="BE71" s="78" t="str">
        <f>REPLACE(INDEX(GroupVertices[Group], MATCH(Edges13[[#This Row],[Vertex 2]],GroupVertices[Vertex],0)),1,1,"")</f>
        <v>11</v>
      </c>
    </row>
    <row r="72" spans="1:57" x14ac:dyDescent="0.25">
      <c r="A72" s="64" t="s">
        <v>292</v>
      </c>
      <c r="B72" s="64" t="s">
        <v>292</v>
      </c>
      <c r="C72" s="65"/>
      <c r="D72" s="66"/>
      <c r="E72" s="67"/>
      <c r="F72" s="68"/>
      <c r="G72" s="65"/>
      <c r="H72" s="69"/>
      <c r="I72" s="70"/>
      <c r="J72" s="70"/>
      <c r="K72" s="35" t="s">
        <v>65</v>
      </c>
      <c r="L72" s="77">
        <v>124</v>
      </c>
      <c r="M72" s="77"/>
      <c r="N72" s="72"/>
      <c r="O72" s="79" t="s">
        <v>177</v>
      </c>
      <c r="P72" s="81">
        <v>44403.717939814815</v>
      </c>
      <c r="Q72" s="79" t="s">
        <v>395</v>
      </c>
      <c r="R72" s="79"/>
      <c r="S72" s="79"/>
      <c r="T72" s="85" t="s">
        <v>488</v>
      </c>
      <c r="U72" s="79"/>
      <c r="V72" s="83" t="str">
        <f>HYPERLINK("https://pbs.twimg.com/profile_images/1330520744946757634/GSNsPOCG_normal.jpg")</f>
        <v>https://pbs.twimg.com/profile_images/1330520744946757634/GSNsPOCG_normal.jpg</v>
      </c>
      <c r="W72" s="81">
        <v>44403.717939814815</v>
      </c>
      <c r="X72" s="87">
        <v>44403</v>
      </c>
      <c r="Y72" s="85" t="s">
        <v>628</v>
      </c>
      <c r="Z72" s="83" t="str">
        <f>HYPERLINK("https://twitter.com/tsumcnair/status/1419707545938190341")</f>
        <v>https://twitter.com/tsumcnair/status/1419707545938190341</v>
      </c>
      <c r="AA72" s="79"/>
      <c r="AB72" s="79"/>
      <c r="AC72" s="85" t="s">
        <v>808</v>
      </c>
      <c r="AD72" s="85" t="s">
        <v>866</v>
      </c>
      <c r="AE72" s="79" t="b">
        <v>0</v>
      </c>
      <c r="AF72" s="79">
        <v>0</v>
      </c>
      <c r="AG72" s="85" t="s">
        <v>873</v>
      </c>
      <c r="AH72" s="79" t="b">
        <v>0</v>
      </c>
      <c r="AI72" s="79" t="s">
        <v>874</v>
      </c>
      <c r="AJ72" s="79"/>
      <c r="AK72" s="85" t="s">
        <v>867</v>
      </c>
      <c r="AL72" s="79" t="b">
        <v>0</v>
      </c>
      <c r="AM72" s="79">
        <v>0</v>
      </c>
      <c r="AN72" s="85" t="s">
        <v>867</v>
      </c>
      <c r="AO72" s="85" t="s">
        <v>882</v>
      </c>
      <c r="AP72" s="79" t="b">
        <v>0</v>
      </c>
      <c r="AQ72" s="85" t="s">
        <v>866</v>
      </c>
      <c r="AR72" s="79" t="s">
        <v>177</v>
      </c>
      <c r="AS72" s="79">
        <v>0</v>
      </c>
      <c r="AT72" s="79">
        <v>0</v>
      </c>
      <c r="AU72" s="79"/>
      <c r="AV72" s="79"/>
      <c r="AW72" s="79"/>
      <c r="AX72" s="79"/>
      <c r="AY72" s="79"/>
      <c r="AZ72" s="79"/>
      <c r="BA72" s="79"/>
      <c r="BB72" s="79"/>
      <c r="BC72">
        <v>5</v>
      </c>
      <c r="BD72" s="78" t="str">
        <f>REPLACE(INDEX(GroupVertices[Group], MATCH(Edges13[[#This Row],[Vertex 1]],GroupVertices[Vertex],0)),1,1,"")</f>
        <v>5</v>
      </c>
      <c r="BE72" s="78" t="str">
        <f>REPLACE(INDEX(GroupVertices[Group], MATCH(Edges13[[#This Row],[Vertex 2]],GroupVertices[Vertex],0)),1,1,"")</f>
        <v>5</v>
      </c>
    </row>
    <row r="73" spans="1:57" x14ac:dyDescent="0.25">
      <c r="A73" s="64" t="s">
        <v>292</v>
      </c>
      <c r="B73" s="64" t="s">
        <v>292</v>
      </c>
      <c r="C73" s="65"/>
      <c r="D73" s="66"/>
      <c r="E73" s="67"/>
      <c r="F73" s="68"/>
      <c r="G73" s="65"/>
      <c r="H73" s="69"/>
      <c r="I73" s="70"/>
      <c r="J73" s="70"/>
      <c r="K73" s="35" t="s">
        <v>65</v>
      </c>
      <c r="L73" s="77">
        <v>125</v>
      </c>
      <c r="M73" s="77"/>
      <c r="N73" s="72"/>
      <c r="O73" s="79" t="s">
        <v>177</v>
      </c>
      <c r="P73" s="81">
        <v>44404.776030092595</v>
      </c>
      <c r="Q73" s="79" t="s">
        <v>396</v>
      </c>
      <c r="R73" s="79"/>
      <c r="S73" s="79"/>
      <c r="T73" s="85" t="s">
        <v>489</v>
      </c>
      <c r="U73" s="83" t="str">
        <f>HYPERLINK("https://pbs.twimg.com/media/E7UtFX0WQAshlmE.jpg")</f>
        <v>https://pbs.twimg.com/media/E7UtFX0WQAshlmE.jpg</v>
      </c>
      <c r="V73" s="83" t="str">
        <f>HYPERLINK("https://pbs.twimg.com/media/E7UtFX0WQAshlmE.jpg")</f>
        <v>https://pbs.twimg.com/media/E7UtFX0WQAshlmE.jpg</v>
      </c>
      <c r="W73" s="81">
        <v>44404.776030092595</v>
      </c>
      <c r="X73" s="87">
        <v>44404</v>
      </c>
      <c r="Y73" s="85" t="s">
        <v>629</v>
      </c>
      <c r="Z73" s="83" t="str">
        <f>HYPERLINK("https://twitter.com/tsumcnair/status/1420090986517180423")</f>
        <v>https://twitter.com/tsumcnair/status/1420090986517180423</v>
      </c>
      <c r="AA73" s="79"/>
      <c r="AB73" s="79"/>
      <c r="AC73" s="85" t="s">
        <v>809</v>
      </c>
      <c r="AD73" s="79"/>
      <c r="AE73" s="79" t="b">
        <v>0</v>
      </c>
      <c r="AF73" s="79">
        <v>1</v>
      </c>
      <c r="AG73" s="85" t="s">
        <v>867</v>
      </c>
      <c r="AH73" s="79" t="b">
        <v>0</v>
      </c>
      <c r="AI73" s="79" t="s">
        <v>874</v>
      </c>
      <c r="AJ73" s="79"/>
      <c r="AK73" s="85" t="s">
        <v>867</v>
      </c>
      <c r="AL73" s="79" t="b">
        <v>0</v>
      </c>
      <c r="AM73" s="79">
        <v>0</v>
      </c>
      <c r="AN73" s="85" t="s">
        <v>867</v>
      </c>
      <c r="AO73" s="85" t="s">
        <v>882</v>
      </c>
      <c r="AP73" s="79" t="b">
        <v>0</v>
      </c>
      <c r="AQ73" s="85" t="s">
        <v>809</v>
      </c>
      <c r="AR73" s="79" t="s">
        <v>177</v>
      </c>
      <c r="AS73" s="79">
        <v>0</v>
      </c>
      <c r="AT73" s="79">
        <v>0</v>
      </c>
      <c r="AU73" s="79"/>
      <c r="AV73" s="79"/>
      <c r="AW73" s="79"/>
      <c r="AX73" s="79"/>
      <c r="AY73" s="79"/>
      <c r="AZ73" s="79"/>
      <c r="BA73" s="79"/>
      <c r="BB73" s="79"/>
      <c r="BC73">
        <v>5</v>
      </c>
      <c r="BD73" s="78" t="str">
        <f>REPLACE(INDEX(GroupVertices[Group], MATCH(Edges13[[#This Row],[Vertex 1]],GroupVertices[Vertex],0)),1,1,"")</f>
        <v>5</v>
      </c>
      <c r="BE73" s="78" t="str">
        <f>REPLACE(INDEX(GroupVertices[Group], MATCH(Edges13[[#This Row],[Vertex 2]],GroupVertices[Vertex],0)),1,1,"")</f>
        <v>5</v>
      </c>
    </row>
    <row r="74" spans="1:57" x14ac:dyDescent="0.25">
      <c r="A74" s="64" t="s">
        <v>292</v>
      </c>
      <c r="B74" s="64" t="s">
        <v>292</v>
      </c>
      <c r="C74" s="65"/>
      <c r="D74" s="66"/>
      <c r="E74" s="67"/>
      <c r="F74" s="68"/>
      <c r="G74" s="65"/>
      <c r="H74" s="69"/>
      <c r="I74" s="70"/>
      <c r="J74" s="70"/>
      <c r="K74" s="35" t="s">
        <v>65</v>
      </c>
      <c r="L74" s="77">
        <v>126</v>
      </c>
      <c r="M74" s="77"/>
      <c r="N74" s="72"/>
      <c r="O74" s="79" t="s">
        <v>177</v>
      </c>
      <c r="P74" s="81">
        <v>44405.792361111111</v>
      </c>
      <c r="Q74" s="79" t="s">
        <v>397</v>
      </c>
      <c r="R74" s="79"/>
      <c r="S74" s="79"/>
      <c r="T74" s="85" t="s">
        <v>488</v>
      </c>
      <c r="U74" s="83" t="str">
        <f>HYPERLINK("https://pbs.twimg.com/media/E7Z8MeKVoAUkXVj.jpg")</f>
        <v>https://pbs.twimg.com/media/E7Z8MeKVoAUkXVj.jpg</v>
      </c>
      <c r="V74" s="83" t="str">
        <f>HYPERLINK("https://pbs.twimg.com/media/E7Z8MeKVoAUkXVj.jpg")</f>
        <v>https://pbs.twimg.com/media/E7Z8MeKVoAUkXVj.jpg</v>
      </c>
      <c r="W74" s="81">
        <v>44405.792361111111</v>
      </c>
      <c r="X74" s="87">
        <v>44405</v>
      </c>
      <c r="Y74" s="85" t="s">
        <v>630</v>
      </c>
      <c r="Z74" s="83" t="str">
        <f>HYPERLINK("https://twitter.com/tsumcnair/status/1420459292780494849")</f>
        <v>https://twitter.com/tsumcnair/status/1420459292780494849</v>
      </c>
      <c r="AA74" s="79"/>
      <c r="AB74" s="79"/>
      <c r="AC74" s="85" t="s">
        <v>810</v>
      </c>
      <c r="AD74" s="79"/>
      <c r="AE74" s="79" t="b">
        <v>0</v>
      </c>
      <c r="AF74" s="79">
        <v>3</v>
      </c>
      <c r="AG74" s="85" t="s">
        <v>867</v>
      </c>
      <c r="AH74" s="79" t="b">
        <v>0</v>
      </c>
      <c r="AI74" s="79" t="s">
        <v>874</v>
      </c>
      <c r="AJ74" s="79"/>
      <c r="AK74" s="85" t="s">
        <v>867</v>
      </c>
      <c r="AL74" s="79" t="b">
        <v>0</v>
      </c>
      <c r="AM74" s="79">
        <v>0</v>
      </c>
      <c r="AN74" s="85" t="s">
        <v>867</v>
      </c>
      <c r="AO74" s="85" t="s">
        <v>882</v>
      </c>
      <c r="AP74" s="79" t="b">
        <v>0</v>
      </c>
      <c r="AQ74" s="85" t="s">
        <v>810</v>
      </c>
      <c r="AR74" s="79" t="s">
        <v>177</v>
      </c>
      <c r="AS74" s="79">
        <v>0</v>
      </c>
      <c r="AT74" s="79">
        <v>0</v>
      </c>
      <c r="AU74" s="79"/>
      <c r="AV74" s="79"/>
      <c r="AW74" s="79"/>
      <c r="AX74" s="79"/>
      <c r="AY74" s="79"/>
      <c r="AZ74" s="79"/>
      <c r="BA74" s="79"/>
      <c r="BB74" s="79"/>
      <c r="BC74">
        <v>5</v>
      </c>
      <c r="BD74" s="78" t="str">
        <f>REPLACE(INDEX(GroupVertices[Group], MATCH(Edges13[[#This Row],[Vertex 1]],GroupVertices[Vertex],0)),1,1,"")</f>
        <v>5</v>
      </c>
      <c r="BE74" s="78" t="str">
        <f>REPLACE(INDEX(GroupVertices[Group], MATCH(Edges13[[#This Row],[Vertex 2]],GroupVertices[Vertex],0)),1,1,"")</f>
        <v>5</v>
      </c>
    </row>
    <row r="75" spans="1:57" x14ac:dyDescent="0.25">
      <c r="A75" s="64" t="s">
        <v>292</v>
      </c>
      <c r="B75" s="64" t="s">
        <v>292</v>
      </c>
      <c r="C75" s="65"/>
      <c r="D75" s="66"/>
      <c r="E75" s="67"/>
      <c r="F75" s="68"/>
      <c r="G75" s="65"/>
      <c r="H75" s="69"/>
      <c r="I75" s="70"/>
      <c r="J75" s="70"/>
      <c r="K75" s="35" t="s">
        <v>65</v>
      </c>
      <c r="L75" s="77">
        <v>127</v>
      </c>
      <c r="M75" s="77"/>
      <c r="N75" s="72"/>
      <c r="O75" s="79" t="s">
        <v>177</v>
      </c>
      <c r="P75" s="81">
        <v>44406.94771990741</v>
      </c>
      <c r="Q75" s="79" t="s">
        <v>398</v>
      </c>
      <c r="R75" s="79"/>
      <c r="S75" s="79"/>
      <c r="T75" s="85" t="s">
        <v>490</v>
      </c>
      <c r="U75" s="83" t="str">
        <f>HYPERLINK("https://pbs.twimg.com/media/E7f46aUUcAMEQhY.jpg")</f>
        <v>https://pbs.twimg.com/media/E7f46aUUcAMEQhY.jpg</v>
      </c>
      <c r="V75" s="83" t="str">
        <f>HYPERLINK("https://pbs.twimg.com/media/E7f46aUUcAMEQhY.jpg")</f>
        <v>https://pbs.twimg.com/media/E7f46aUUcAMEQhY.jpg</v>
      </c>
      <c r="W75" s="81">
        <v>44406.94771990741</v>
      </c>
      <c r="X75" s="87">
        <v>44406</v>
      </c>
      <c r="Y75" s="85" t="s">
        <v>631</v>
      </c>
      <c r="Z75" s="83" t="str">
        <f>HYPERLINK("https://twitter.com/tsumcnair/status/1420877978662096896")</f>
        <v>https://twitter.com/tsumcnair/status/1420877978662096896</v>
      </c>
      <c r="AA75" s="79"/>
      <c r="AB75" s="79"/>
      <c r="AC75" s="85" t="s">
        <v>811</v>
      </c>
      <c r="AD75" s="79"/>
      <c r="AE75" s="79" t="b">
        <v>0</v>
      </c>
      <c r="AF75" s="79">
        <v>3</v>
      </c>
      <c r="AG75" s="85" t="s">
        <v>867</v>
      </c>
      <c r="AH75" s="79" t="b">
        <v>0</v>
      </c>
      <c r="AI75" s="79" t="s">
        <v>874</v>
      </c>
      <c r="AJ75" s="79"/>
      <c r="AK75" s="85" t="s">
        <v>867</v>
      </c>
      <c r="AL75" s="79" t="b">
        <v>0</v>
      </c>
      <c r="AM75" s="79">
        <v>0</v>
      </c>
      <c r="AN75" s="85" t="s">
        <v>867</v>
      </c>
      <c r="AO75" s="85" t="s">
        <v>882</v>
      </c>
      <c r="AP75" s="79" t="b">
        <v>0</v>
      </c>
      <c r="AQ75" s="85" t="s">
        <v>811</v>
      </c>
      <c r="AR75" s="79" t="s">
        <v>177</v>
      </c>
      <c r="AS75" s="79">
        <v>0</v>
      </c>
      <c r="AT75" s="79">
        <v>0</v>
      </c>
      <c r="AU75" s="79"/>
      <c r="AV75" s="79"/>
      <c r="AW75" s="79"/>
      <c r="AX75" s="79"/>
      <c r="AY75" s="79"/>
      <c r="AZ75" s="79"/>
      <c r="BA75" s="79"/>
      <c r="BB75" s="79"/>
      <c r="BC75">
        <v>5</v>
      </c>
      <c r="BD75" s="78" t="str">
        <f>REPLACE(INDEX(GroupVertices[Group], MATCH(Edges13[[#This Row],[Vertex 1]],GroupVertices[Vertex],0)),1,1,"")</f>
        <v>5</v>
      </c>
      <c r="BE75" s="78" t="str">
        <f>REPLACE(INDEX(GroupVertices[Group], MATCH(Edges13[[#This Row],[Vertex 2]],GroupVertices[Vertex],0)),1,1,"")</f>
        <v>5</v>
      </c>
    </row>
    <row r="76" spans="1:57" x14ac:dyDescent="0.25">
      <c r="A76" s="64" t="s">
        <v>292</v>
      </c>
      <c r="B76" s="64" t="s">
        <v>292</v>
      </c>
      <c r="C76" s="65"/>
      <c r="D76" s="66"/>
      <c r="E76" s="67"/>
      <c r="F76" s="68"/>
      <c r="G76" s="65"/>
      <c r="H76" s="69"/>
      <c r="I76" s="70"/>
      <c r="J76" s="70"/>
      <c r="K76" s="35" t="s">
        <v>65</v>
      </c>
      <c r="L76" s="77">
        <v>128</v>
      </c>
      <c r="M76" s="77"/>
      <c r="N76" s="72"/>
      <c r="O76" s="79" t="s">
        <v>177</v>
      </c>
      <c r="P76" s="81">
        <v>44407.815138888887</v>
      </c>
      <c r="Q76" s="79" t="s">
        <v>399</v>
      </c>
      <c r="R76" s="79"/>
      <c r="S76" s="79"/>
      <c r="T76" s="85" t="s">
        <v>488</v>
      </c>
      <c r="U76" s="83" t="str">
        <f>HYPERLINK("https://pbs.twimg.com/media/E7kWvKLWQAQG51H.jpg")</f>
        <v>https://pbs.twimg.com/media/E7kWvKLWQAQG51H.jpg</v>
      </c>
      <c r="V76" s="83" t="str">
        <f>HYPERLINK("https://pbs.twimg.com/media/E7kWvKLWQAQG51H.jpg")</f>
        <v>https://pbs.twimg.com/media/E7kWvKLWQAQG51H.jpg</v>
      </c>
      <c r="W76" s="81">
        <v>44407.815138888887</v>
      </c>
      <c r="X76" s="87">
        <v>44407</v>
      </c>
      <c r="Y76" s="85" t="s">
        <v>632</v>
      </c>
      <c r="Z76" s="83" t="str">
        <f>HYPERLINK("https://twitter.com/tsumcnair/status/1421192321136271360")</f>
        <v>https://twitter.com/tsumcnair/status/1421192321136271360</v>
      </c>
      <c r="AA76" s="79"/>
      <c r="AB76" s="79"/>
      <c r="AC76" s="85" t="s">
        <v>812</v>
      </c>
      <c r="AD76" s="79"/>
      <c r="AE76" s="79" t="b">
        <v>0</v>
      </c>
      <c r="AF76" s="79">
        <v>2</v>
      </c>
      <c r="AG76" s="85" t="s">
        <v>867</v>
      </c>
      <c r="AH76" s="79" t="b">
        <v>0</v>
      </c>
      <c r="AI76" s="79" t="s">
        <v>874</v>
      </c>
      <c r="AJ76" s="79"/>
      <c r="AK76" s="85" t="s">
        <v>867</v>
      </c>
      <c r="AL76" s="79" t="b">
        <v>0</v>
      </c>
      <c r="AM76" s="79">
        <v>0</v>
      </c>
      <c r="AN76" s="85" t="s">
        <v>867</v>
      </c>
      <c r="AO76" s="85" t="s">
        <v>882</v>
      </c>
      <c r="AP76" s="79" t="b">
        <v>0</v>
      </c>
      <c r="AQ76" s="85" t="s">
        <v>812</v>
      </c>
      <c r="AR76" s="79" t="s">
        <v>177</v>
      </c>
      <c r="AS76" s="79">
        <v>0</v>
      </c>
      <c r="AT76" s="79">
        <v>0</v>
      </c>
      <c r="AU76" s="79"/>
      <c r="AV76" s="79"/>
      <c r="AW76" s="79"/>
      <c r="AX76" s="79"/>
      <c r="AY76" s="79"/>
      <c r="AZ76" s="79"/>
      <c r="BA76" s="79"/>
      <c r="BB76" s="79"/>
      <c r="BC76">
        <v>5</v>
      </c>
      <c r="BD76" s="78" t="str">
        <f>REPLACE(INDEX(GroupVertices[Group], MATCH(Edges13[[#This Row],[Vertex 1]],GroupVertices[Vertex],0)),1,1,"")</f>
        <v>5</v>
      </c>
      <c r="BE76" s="78" t="str">
        <f>REPLACE(INDEX(GroupVertices[Group], MATCH(Edges13[[#This Row],[Vertex 2]],GroupVertices[Vertex],0)),1,1,"")</f>
        <v>5</v>
      </c>
    </row>
    <row r="77" spans="1:57" x14ac:dyDescent="0.25">
      <c r="A77" s="64" t="s">
        <v>297</v>
      </c>
      <c r="B77" s="64" t="s">
        <v>297</v>
      </c>
      <c r="C77" s="65"/>
      <c r="D77" s="66"/>
      <c r="E77" s="67"/>
      <c r="F77" s="68"/>
      <c r="G77" s="65"/>
      <c r="H77" s="69"/>
      <c r="I77" s="70"/>
      <c r="J77" s="70"/>
      <c r="K77" s="35" t="s">
        <v>65</v>
      </c>
      <c r="L77" s="77">
        <v>139</v>
      </c>
      <c r="M77" s="77"/>
      <c r="N77" s="72"/>
      <c r="O77" s="79" t="s">
        <v>177</v>
      </c>
      <c r="P77" s="81">
        <v>44408.838865740741</v>
      </c>
      <c r="Q77" s="79" t="s">
        <v>432</v>
      </c>
      <c r="R77" s="83" t="str">
        <f>HYPERLINK("https://jamillimabass.tumblr.com/post/658256249154060288/sesc-belenzinho-2019-fishmanpickups#_=_")</f>
        <v>https://jamillimabass.tumblr.com/post/658256249154060288/sesc-belenzinho-2019-fishmanpickups#_=_</v>
      </c>
      <c r="S77" s="79" t="s">
        <v>455</v>
      </c>
      <c r="T77" s="85" t="s">
        <v>501</v>
      </c>
      <c r="U77" s="79"/>
      <c r="V77" s="83" t="str">
        <f>HYPERLINK("https://pbs.twimg.com/profile_images/1190697450228584449/9iO4Mhxr_normal.jpg")</f>
        <v>https://pbs.twimg.com/profile_images/1190697450228584449/9iO4Mhxr_normal.jpg</v>
      </c>
      <c r="W77" s="81">
        <v>44408.838865740741</v>
      </c>
      <c r="X77" s="87">
        <v>44408</v>
      </c>
      <c r="Y77" s="85" t="s">
        <v>667</v>
      </c>
      <c r="Z77" s="83" t="str">
        <f>HYPERLINK("https://twitter.com/jamillimabass/status/1421563309032157185")</f>
        <v>https://twitter.com/jamillimabass/status/1421563309032157185</v>
      </c>
      <c r="AA77" s="79"/>
      <c r="AB77" s="79"/>
      <c r="AC77" s="85" t="s">
        <v>847</v>
      </c>
      <c r="AD77" s="79"/>
      <c r="AE77" s="79" t="b">
        <v>0</v>
      </c>
      <c r="AF77" s="79">
        <v>0</v>
      </c>
      <c r="AG77" s="85" t="s">
        <v>867</v>
      </c>
      <c r="AH77" s="79" t="b">
        <v>0</v>
      </c>
      <c r="AI77" s="79" t="s">
        <v>878</v>
      </c>
      <c r="AJ77" s="79"/>
      <c r="AK77" s="85" t="s">
        <v>867</v>
      </c>
      <c r="AL77" s="79" t="b">
        <v>0</v>
      </c>
      <c r="AM77" s="79">
        <v>0</v>
      </c>
      <c r="AN77" s="85" t="s">
        <v>867</v>
      </c>
      <c r="AO77" s="85" t="s">
        <v>890</v>
      </c>
      <c r="AP77" s="79" t="b">
        <v>0</v>
      </c>
      <c r="AQ77" s="85" t="s">
        <v>847</v>
      </c>
      <c r="AR77" s="79" t="s">
        <v>177</v>
      </c>
      <c r="AS77" s="79">
        <v>0</v>
      </c>
      <c r="AT77" s="79">
        <v>0</v>
      </c>
      <c r="AU77" s="79"/>
      <c r="AV77" s="79"/>
      <c r="AW77" s="79"/>
      <c r="AX77" s="79"/>
      <c r="AY77" s="79"/>
      <c r="AZ77" s="79"/>
      <c r="BA77" s="79"/>
      <c r="BB77" s="79"/>
      <c r="BC77">
        <v>4</v>
      </c>
      <c r="BD77" s="78" t="str">
        <f>REPLACE(INDEX(GroupVertices[Group], MATCH(Edges13[[#This Row],[Vertex 1]],GroupVertices[Vertex],0)),1,1,"")</f>
        <v>16</v>
      </c>
      <c r="BE77" s="78" t="str">
        <f>REPLACE(INDEX(GroupVertices[Group], MATCH(Edges13[[#This Row],[Vertex 2]],GroupVertices[Vertex],0)),1,1,"")</f>
        <v>16</v>
      </c>
    </row>
    <row r="78" spans="1:57" x14ac:dyDescent="0.25">
      <c r="A78" s="64" t="s">
        <v>297</v>
      </c>
      <c r="B78" s="64" t="s">
        <v>297</v>
      </c>
      <c r="C78" s="65"/>
      <c r="D78" s="66"/>
      <c r="E78" s="67"/>
      <c r="F78" s="68"/>
      <c r="G78" s="65"/>
      <c r="H78" s="69"/>
      <c r="I78" s="70"/>
      <c r="J78" s="70"/>
      <c r="K78" s="35" t="s">
        <v>65</v>
      </c>
      <c r="L78" s="77">
        <v>140</v>
      </c>
      <c r="M78" s="77"/>
      <c r="N78" s="72"/>
      <c r="O78" s="79" t="s">
        <v>177</v>
      </c>
      <c r="P78" s="81">
        <v>44408.83965277778</v>
      </c>
      <c r="Q78" s="79" t="s">
        <v>433</v>
      </c>
      <c r="R78" s="83" t="str">
        <f>HYPERLINK("https://jamillimabass.tumblr.com/post/658256319949750272/bass-solo-fishmanpickups-doublebassist#_=_")</f>
        <v>https://jamillimabass.tumblr.com/post/658256319949750272/bass-solo-fishmanpickups-doublebassist#_=_</v>
      </c>
      <c r="S78" s="79" t="s">
        <v>455</v>
      </c>
      <c r="T78" s="85" t="s">
        <v>502</v>
      </c>
      <c r="U78" s="79"/>
      <c r="V78" s="83" t="str">
        <f>HYPERLINK("https://pbs.twimg.com/profile_images/1190697450228584449/9iO4Mhxr_normal.jpg")</f>
        <v>https://pbs.twimg.com/profile_images/1190697450228584449/9iO4Mhxr_normal.jpg</v>
      </c>
      <c r="W78" s="81">
        <v>44408.83965277778</v>
      </c>
      <c r="X78" s="87">
        <v>44408</v>
      </c>
      <c r="Y78" s="85" t="s">
        <v>668</v>
      </c>
      <c r="Z78" s="83" t="str">
        <f>HYPERLINK("https://twitter.com/jamillimabass/status/1421563591484915714")</f>
        <v>https://twitter.com/jamillimabass/status/1421563591484915714</v>
      </c>
      <c r="AA78" s="79"/>
      <c r="AB78" s="79"/>
      <c r="AC78" s="85" t="s">
        <v>848</v>
      </c>
      <c r="AD78" s="79"/>
      <c r="AE78" s="79" t="b">
        <v>0</v>
      </c>
      <c r="AF78" s="79">
        <v>0</v>
      </c>
      <c r="AG78" s="85" t="s">
        <v>867</v>
      </c>
      <c r="AH78" s="79" t="b">
        <v>0</v>
      </c>
      <c r="AI78" s="79" t="s">
        <v>879</v>
      </c>
      <c r="AJ78" s="79"/>
      <c r="AK78" s="85" t="s">
        <v>867</v>
      </c>
      <c r="AL78" s="79" t="b">
        <v>0</v>
      </c>
      <c r="AM78" s="79">
        <v>0</v>
      </c>
      <c r="AN78" s="85" t="s">
        <v>867</v>
      </c>
      <c r="AO78" s="85" t="s">
        <v>890</v>
      </c>
      <c r="AP78" s="79" t="b">
        <v>0</v>
      </c>
      <c r="AQ78" s="85" t="s">
        <v>848</v>
      </c>
      <c r="AR78" s="79" t="s">
        <v>177</v>
      </c>
      <c r="AS78" s="79">
        <v>0</v>
      </c>
      <c r="AT78" s="79">
        <v>0</v>
      </c>
      <c r="AU78" s="79"/>
      <c r="AV78" s="79"/>
      <c r="AW78" s="79"/>
      <c r="AX78" s="79"/>
      <c r="AY78" s="79"/>
      <c r="AZ78" s="79"/>
      <c r="BA78" s="79"/>
      <c r="BB78" s="79"/>
      <c r="BC78">
        <v>4</v>
      </c>
      <c r="BD78" s="78" t="str">
        <f>REPLACE(INDEX(GroupVertices[Group], MATCH(Edges13[[#This Row],[Vertex 1]],GroupVertices[Vertex],0)),1,1,"")</f>
        <v>16</v>
      </c>
      <c r="BE78" s="78" t="str">
        <f>REPLACE(INDEX(GroupVertices[Group], MATCH(Edges13[[#This Row],[Vertex 2]],GroupVertices[Vertex],0)),1,1,"")</f>
        <v>16</v>
      </c>
    </row>
    <row r="79" spans="1:57" x14ac:dyDescent="0.25">
      <c r="A79" s="64" t="s">
        <v>297</v>
      </c>
      <c r="B79" s="64" t="s">
        <v>297</v>
      </c>
      <c r="C79" s="65"/>
      <c r="D79" s="66"/>
      <c r="E79" s="67"/>
      <c r="F79" s="68"/>
      <c r="G79" s="65"/>
      <c r="H79" s="69"/>
      <c r="I79" s="70"/>
      <c r="J79" s="70"/>
      <c r="K79" s="35" t="s">
        <v>65</v>
      </c>
      <c r="L79" s="77">
        <v>141</v>
      </c>
      <c r="M79" s="77"/>
      <c r="N79" s="72"/>
      <c r="O79" s="79" t="s">
        <v>177</v>
      </c>
      <c r="P79" s="81">
        <v>44408.839849537035</v>
      </c>
      <c r="Q79" s="79" t="s">
        <v>434</v>
      </c>
      <c r="R79" s="83" t="str">
        <f>HYPERLINK("https://jamillimabass.tumblr.com/post/658256337825873920/voltando-aos-poucos-getting#_=_")</f>
        <v>https://jamillimabass.tumblr.com/post/658256337825873920/voltando-aos-poucos-getting#_=_</v>
      </c>
      <c r="S79" s="79" t="s">
        <v>455</v>
      </c>
      <c r="T79" s="85" t="s">
        <v>503</v>
      </c>
      <c r="U79" s="79"/>
      <c r="V79" s="83" t="str">
        <f>HYPERLINK("https://pbs.twimg.com/profile_images/1190697450228584449/9iO4Mhxr_normal.jpg")</f>
        <v>https://pbs.twimg.com/profile_images/1190697450228584449/9iO4Mhxr_normal.jpg</v>
      </c>
      <c r="W79" s="81">
        <v>44408.839849537035</v>
      </c>
      <c r="X79" s="87">
        <v>44408</v>
      </c>
      <c r="Y79" s="85" t="s">
        <v>669</v>
      </c>
      <c r="Z79" s="83" t="str">
        <f>HYPERLINK("https://twitter.com/jamillimabass/status/1421563662985318415")</f>
        <v>https://twitter.com/jamillimabass/status/1421563662985318415</v>
      </c>
      <c r="AA79" s="79"/>
      <c r="AB79" s="79"/>
      <c r="AC79" s="85" t="s">
        <v>849</v>
      </c>
      <c r="AD79" s="79"/>
      <c r="AE79" s="79" t="b">
        <v>0</v>
      </c>
      <c r="AF79" s="79">
        <v>0</v>
      </c>
      <c r="AG79" s="85" t="s">
        <v>867</v>
      </c>
      <c r="AH79" s="79" t="b">
        <v>0</v>
      </c>
      <c r="AI79" s="79" t="s">
        <v>878</v>
      </c>
      <c r="AJ79" s="79"/>
      <c r="AK79" s="85" t="s">
        <v>867</v>
      </c>
      <c r="AL79" s="79" t="b">
        <v>0</v>
      </c>
      <c r="AM79" s="79">
        <v>0</v>
      </c>
      <c r="AN79" s="85" t="s">
        <v>867</v>
      </c>
      <c r="AO79" s="85" t="s">
        <v>890</v>
      </c>
      <c r="AP79" s="79" t="b">
        <v>0</v>
      </c>
      <c r="AQ79" s="85" t="s">
        <v>849</v>
      </c>
      <c r="AR79" s="79" t="s">
        <v>177</v>
      </c>
      <c r="AS79" s="79">
        <v>0</v>
      </c>
      <c r="AT79" s="79">
        <v>0</v>
      </c>
      <c r="AU79" s="79"/>
      <c r="AV79" s="79"/>
      <c r="AW79" s="79"/>
      <c r="AX79" s="79"/>
      <c r="AY79" s="79"/>
      <c r="AZ79" s="79"/>
      <c r="BA79" s="79"/>
      <c r="BB79" s="79"/>
      <c r="BC79">
        <v>4</v>
      </c>
      <c r="BD79" s="78" t="str">
        <f>REPLACE(INDEX(GroupVertices[Group], MATCH(Edges13[[#This Row],[Vertex 1]],GroupVertices[Vertex],0)),1,1,"")</f>
        <v>16</v>
      </c>
      <c r="BE79" s="78" t="str">
        <f>REPLACE(INDEX(GroupVertices[Group], MATCH(Edges13[[#This Row],[Vertex 2]],GroupVertices[Vertex],0)),1,1,"")</f>
        <v>16</v>
      </c>
    </row>
    <row r="80" spans="1:57" x14ac:dyDescent="0.25">
      <c r="A80" s="64" t="s">
        <v>297</v>
      </c>
      <c r="B80" s="64" t="s">
        <v>297</v>
      </c>
      <c r="C80" s="65"/>
      <c r="D80" s="66"/>
      <c r="E80" s="67"/>
      <c r="F80" s="68"/>
      <c r="G80" s="65"/>
      <c r="H80" s="69"/>
      <c r="I80" s="70"/>
      <c r="J80" s="70"/>
      <c r="K80" s="35" t="s">
        <v>65</v>
      </c>
      <c r="L80" s="77">
        <v>142</v>
      </c>
      <c r="M80" s="77"/>
      <c r="N80" s="72"/>
      <c r="O80" s="79" t="s">
        <v>177</v>
      </c>
      <c r="P80" s="81">
        <v>44408.840277777781</v>
      </c>
      <c r="Q80" s="79" t="s">
        <v>435</v>
      </c>
      <c r="R80" s="83" t="str">
        <f>HYPERLINK("https://jamillimabass.tumblr.com/post/658256376297078784/take-bom-when-the-take-was-good#_=_")</f>
        <v>https://jamillimabass.tumblr.com/post/658256376297078784/take-bom-when-the-take-was-good#_=_</v>
      </c>
      <c r="S80" s="79" t="s">
        <v>455</v>
      </c>
      <c r="T80" s="85" t="s">
        <v>504</v>
      </c>
      <c r="U80" s="79"/>
      <c r="V80" s="83" t="str">
        <f>HYPERLINK("https://pbs.twimg.com/profile_images/1190697450228584449/9iO4Mhxr_normal.jpg")</f>
        <v>https://pbs.twimg.com/profile_images/1190697450228584449/9iO4Mhxr_normal.jpg</v>
      </c>
      <c r="W80" s="81">
        <v>44408.840277777781</v>
      </c>
      <c r="X80" s="87">
        <v>44408</v>
      </c>
      <c r="Y80" s="85" t="s">
        <v>670</v>
      </c>
      <c r="Z80" s="83" t="str">
        <f>HYPERLINK("https://twitter.com/jamillimabass/status/1421563819009191942")</f>
        <v>https://twitter.com/jamillimabass/status/1421563819009191942</v>
      </c>
      <c r="AA80" s="79"/>
      <c r="AB80" s="79"/>
      <c r="AC80" s="85" t="s">
        <v>850</v>
      </c>
      <c r="AD80" s="79"/>
      <c r="AE80" s="79" t="b">
        <v>0</v>
      </c>
      <c r="AF80" s="79">
        <v>0</v>
      </c>
      <c r="AG80" s="85" t="s">
        <v>867</v>
      </c>
      <c r="AH80" s="79" t="b">
        <v>0</v>
      </c>
      <c r="AI80" s="79" t="s">
        <v>874</v>
      </c>
      <c r="AJ80" s="79"/>
      <c r="AK80" s="85" t="s">
        <v>867</v>
      </c>
      <c r="AL80" s="79" t="b">
        <v>0</v>
      </c>
      <c r="AM80" s="79">
        <v>0</v>
      </c>
      <c r="AN80" s="85" t="s">
        <v>867</v>
      </c>
      <c r="AO80" s="85" t="s">
        <v>890</v>
      </c>
      <c r="AP80" s="79" t="b">
        <v>0</v>
      </c>
      <c r="AQ80" s="85" t="s">
        <v>850</v>
      </c>
      <c r="AR80" s="79" t="s">
        <v>177</v>
      </c>
      <c r="AS80" s="79">
        <v>0</v>
      </c>
      <c r="AT80" s="79">
        <v>0</v>
      </c>
      <c r="AU80" s="79"/>
      <c r="AV80" s="79"/>
      <c r="AW80" s="79"/>
      <c r="AX80" s="79"/>
      <c r="AY80" s="79"/>
      <c r="AZ80" s="79"/>
      <c r="BA80" s="79"/>
      <c r="BB80" s="79"/>
      <c r="BC80">
        <v>4</v>
      </c>
      <c r="BD80" s="78" t="str">
        <f>REPLACE(INDEX(GroupVertices[Group], MATCH(Edges13[[#This Row],[Vertex 1]],GroupVertices[Vertex],0)),1,1,"")</f>
        <v>16</v>
      </c>
      <c r="BE80" s="78" t="str">
        <f>REPLACE(INDEX(GroupVertices[Group], MATCH(Edges13[[#This Row],[Vertex 2]],GroupVertices[Vertex],0)),1,1,"")</f>
        <v>16</v>
      </c>
    </row>
    <row r="81" spans="1:57" x14ac:dyDescent="0.25">
      <c r="A81" s="64" t="s">
        <v>291</v>
      </c>
      <c r="B81" s="64" t="s">
        <v>291</v>
      </c>
      <c r="C81" s="65"/>
      <c r="D81" s="66"/>
      <c r="E81" s="67"/>
      <c r="F81" s="68"/>
      <c r="G81" s="65"/>
      <c r="H81" s="69"/>
      <c r="I81" s="70"/>
      <c r="J81" s="70"/>
      <c r="K81" s="35" t="s">
        <v>65</v>
      </c>
      <c r="L81" s="77">
        <v>159</v>
      </c>
      <c r="M81" s="77"/>
      <c r="N81" s="72"/>
      <c r="O81" s="79" t="s">
        <v>177</v>
      </c>
      <c r="P81" s="81">
        <v>44406.792164351849</v>
      </c>
      <c r="Q81" s="79" t="s">
        <v>393</v>
      </c>
      <c r="R81" s="79"/>
      <c r="S81" s="79"/>
      <c r="T81" s="85" t="s">
        <v>486</v>
      </c>
      <c r="U81" s="83" t="str">
        <f>HYPERLINK("https://pbs.twimg.com/media/E7fFuFWXsAAEEMj.jpg")</f>
        <v>https://pbs.twimg.com/media/E7fFuFWXsAAEEMj.jpg</v>
      </c>
      <c r="V81" s="83" t="str">
        <f>HYPERLINK("https://pbs.twimg.com/media/E7fFuFWXsAAEEMj.jpg")</f>
        <v>https://pbs.twimg.com/media/E7fFuFWXsAAEEMj.jpg</v>
      </c>
      <c r="W81" s="81">
        <v>44406.792164351849</v>
      </c>
      <c r="X81" s="87">
        <v>44406</v>
      </c>
      <c r="Y81" s="85" t="s">
        <v>626</v>
      </c>
      <c r="Z81" s="83" t="str">
        <f>HYPERLINK("https://twitter.com/uwtalentsearch/status/1420821605660377088")</f>
        <v>https://twitter.com/uwtalentsearch/status/1420821605660377088</v>
      </c>
      <c r="AA81" s="79"/>
      <c r="AB81" s="79"/>
      <c r="AC81" s="85" t="s">
        <v>806</v>
      </c>
      <c r="AD81" s="79"/>
      <c r="AE81" s="79" t="b">
        <v>0</v>
      </c>
      <c r="AF81" s="79">
        <v>0</v>
      </c>
      <c r="AG81" s="85" t="s">
        <v>867</v>
      </c>
      <c r="AH81" s="79" t="b">
        <v>0</v>
      </c>
      <c r="AI81" s="79" t="s">
        <v>876</v>
      </c>
      <c r="AJ81" s="79"/>
      <c r="AK81" s="85" t="s">
        <v>867</v>
      </c>
      <c r="AL81" s="79" t="b">
        <v>0</v>
      </c>
      <c r="AM81" s="79">
        <v>0</v>
      </c>
      <c r="AN81" s="85" t="s">
        <v>867</v>
      </c>
      <c r="AO81" s="85" t="s">
        <v>885</v>
      </c>
      <c r="AP81" s="79" t="b">
        <v>0</v>
      </c>
      <c r="AQ81" s="85" t="s">
        <v>806</v>
      </c>
      <c r="AR81" s="79" t="s">
        <v>177</v>
      </c>
      <c r="AS81" s="79">
        <v>0</v>
      </c>
      <c r="AT81" s="79">
        <v>0</v>
      </c>
      <c r="AU81" s="79"/>
      <c r="AV81" s="79"/>
      <c r="AW81" s="79"/>
      <c r="AX81" s="79"/>
      <c r="AY81" s="79"/>
      <c r="AZ81" s="79"/>
      <c r="BA81" s="79"/>
      <c r="BB81" s="79"/>
      <c r="BC81">
        <v>2</v>
      </c>
      <c r="BD81" s="78" t="str">
        <f>REPLACE(INDEX(GroupVertices[Group], MATCH(Edges13[[#This Row],[Vertex 1]],GroupVertices[Vertex],0)),1,1,"")</f>
        <v>5</v>
      </c>
      <c r="BE81" s="78" t="str">
        <f>REPLACE(INDEX(GroupVertices[Group], MATCH(Edges13[[#This Row],[Vertex 2]],GroupVertices[Vertex],0)),1,1,"")</f>
        <v>5</v>
      </c>
    </row>
    <row r="82" spans="1:57" x14ac:dyDescent="0.25">
      <c r="A82" s="64" t="s">
        <v>291</v>
      </c>
      <c r="B82" s="64" t="s">
        <v>291</v>
      </c>
      <c r="C82" s="65"/>
      <c r="D82" s="66"/>
      <c r="E82" s="67"/>
      <c r="F82" s="68"/>
      <c r="G82" s="65"/>
      <c r="H82" s="69"/>
      <c r="I82" s="70"/>
      <c r="J82" s="70"/>
      <c r="K82" s="35" t="s">
        <v>65</v>
      </c>
      <c r="L82" s="77">
        <v>160</v>
      </c>
      <c r="M82" s="77"/>
      <c r="N82" s="72"/>
      <c r="O82" s="79" t="s">
        <v>177</v>
      </c>
      <c r="P82" s="81">
        <v>44407.777800925927</v>
      </c>
      <c r="Q82" s="79" t="s">
        <v>394</v>
      </c>
      <c r="R82" s="79"/>
      <c r="S82" s="79"/>
      <c r="T82" s="85" t="s">
        <v>487</v>
      </c>
      <c r="U82" s="83" t="str">
        <f>HYPERLINK("https://pbs.twimg.com/media/E7kKlIpWQAQtR0W.jpg")</f>
        <v>https://pbs.twimg.com/media/E7kKlIpWQAQtR0W.jpg</v>
      </c>
      <c r="V82" s="83" t="str">
        <f>HYPERLINK("https://pbs.twimg.com/media/E7kKlIpWQAQtR0W.jpg")</f>
        <v>https://pbs.twimg.com/media/E7kKlIpWQAQtR0W.jpg</v>
      </c>
      <c r="W82" s="81">
        <v>44407.777800925927</v>
      </c>
      <c r="X82" s="87">
        <v>44407</v>
      </c>
      <c r="Y82" s="85" t="s">
        <v>627</v>
      </c>
      <c r="Z82" s="83" t="str">
        <f>HYPERLINK("https://twitter.com/uwtalentsearch/status/1421178792236683270")</f>
        <v>https://twitter.com/uwtalentsearch/status/1421178792236683270</v>
      </c>
      <c r="AA82" s="79"/>
      <c r="AB82" s="79"/>
      <c r="AC82" s="85" t="s">
        <v>807</v>
      </c>
      <c r="AD82" s="79"/>
      <c r="AE82" s="79" t="b">
        <v>0</v>
      </c>
      <c r="AF82" s="79">
        <v>0</v>
      </c>
      <c r="AG82" s="85" t="s">
        <v>867</v>
      </c>
      <c r="AH82" s="79" t="b">
        <v>0</v>
      </c>
      <c r="AI82" s="79" t="s">
        <v>874</v>
      </c>
      <c r="AJ82" s="79"/>
      <c r="AK82" s="85" t="s">
        <v>867</v>
      </c>
      <c r="AL82" s="79" t="b">
        <v>0</v>
      </c>
      <c r="AM82" s="79">
        <v>0</v>
      </c>
      <c r="AN82" s="85" t="s">
        <v>867</v>
      </c>
      <c r="AO82" s="85" t="s">
        <v>885</v>
      </c>
      <c r="AP82" s="79" t="b">
        <v>0</v>
      </c>
      <c r="AQ82" s="85" t="s">
        <v>807</v>
      </c>
      <c r="AR82" s="79" t="s">
        <v>177</v>
      </c>
      <c r="AS82" s="79">
        <v>0</v>
      </c>
      <c r="AT82" s="79">
        <v>0</v>
      </c>
      <c r="AU82" s="79"/>
      <c r="AV82" s="79"/>
      <c r="AW82" s="79"/>
      <c r="AX82" s="79"/>
      <c r="AY82" s="79"/>
      <c r="AZ82" s="79"/>
      <c r="BA82" s="79"/>
      <c r="BB82" s="79"/>
      <c r="BC82">
        <v>2</v>
      </c>
      <c r="BD82" s="78" t="str">
        <f>REPLACE(INDEX(GroupVertices[Group], MATCH(Edges13[[#This Row],[Vertex 1]],GroupVertices[Vertex],0)),1,1,"")</f>
        <v>5</v>
      </c>
      <c r="BE82" s="78" t="str">
        <f>REPLACE(INDEX(GroupVertices[Group], MATCH(Edges13[[#This Row],[Vertex 2]],GroupVertices[Vertex],0)),1,1,"")</f>
        <v>5</v>
      </c>
    </row>
    <row r="83" spans="1:57" x14ac:dyDescent="0.25">
      <c r="A83" s="64" t="s">
        <v>287</v>
      </c>
      <c r="B83" s="64" t="s">
        <v>298</v>
      </c>
      <c r="C83" s="65"/>
      <c r="D83" s="66"/>
      <c r="E83" s="67"/>
      <c r="F83" s="68"/>
      <c r="G83" s="65"/>
      <c r="H83" s="69"/>
      <c r="I83" s="70"/>
      <c r="J83" s="70"/>
      <c r="K83" s="35" t="s">
        <v>66</v>
      </c>
      <c r="L83" s="77">
        <v>161</v>
      </c>
      <c r="M83" s="77"/>
      <c r="N83" s="72"/>
      <c r="O83" s="79" t="s">
        <v>337</v>
      </c>
      <c r="P83" s="81">
        <v>44406.899340277778</v>
      </c>
      <c r="Q83" s="79" t="s">
        <v>384</v>
      </c>
      <c r="R83" s="83" t="str">
        <f>HYPERLINK("https://twitter.com/SSSIvyTechFW/status/1420826156031414278")</f>
        <v>https://twitter.com/SSSIvyTechFW/status/1420826156031414278</v>
      </c>
      <c r="S83" s="79" t="s">
        <v>449</v>
      </c>
      <c r="T83" s="85" t="s">
        <v>461</v>
      </c>
      <c r="U83" s="79"/>
      <c r="V83" s="83" t="str">
        <f>HYPERLINK("https://pbs.twimg.com/profile_images/1311001884824604676/RVdli881_normal.png")</f>
        <v>https://pbs.twimg.com/profile_images/1311001884824604676/RVdli881_normal.png</v>
      </c>
      <c r="W83" s="81">
        <v>44406.899340277778</v>
      </c>
      <c r="X83" s="87">
        <v>44406</v>
      </c>
      <c r="Y83" s="85" t="s">
        <v>608</v>
      </c>
      <c r="Z83" s="83" t="str">
        <f>HYPERLINK("https://twitter.com/coetalk/status/1420860446773481477")</f>
        <v>https://twitter.com/coetalk/status/1420860446773481477</v>
      </c>
      <c r="AA83" s="79"/>
      <c r="AB83" s="79"/>
      <c r="AC83" s="85" t="s">
        <v>788</v>
      </c>
      <c r="AD83" s="79"/>
      <c r="AE83" s="79" t="b">
        <v>0</v>
      </c>
      <c r="AF83" s="79">
        <v>0</v>
      </c>
      <c r="AG83" s="85" t="s">
        <v>867</v>
      </c>
      <c r="AH83" s="79" t="b">
        <v>1</v>
      </c>
      <c r="AI83" s="79" t="s">
        <v>874</v>
      </c>
      <c r="AJ83" s="79"/>
      <c r="AK83" s="85" t="s">
        <v>881</v>
      </c>
      <c r="AL83" s="79" t="b">
        <v>0</v>
      </c>
      <c r="AM83" s="79">
        <v>1</v>
      </c>
      <c r="AN83" s="85" t="s">
        <v>787</v>
      </c>
      <c r="AO83" s="85" t="s">
        <v>883</v>
      </c>
      <c r="AP83" s="79" t="b">
        <v>0</v>
      </c>
      <c r="AQ83" s="85" t="s">
        <v>787</v>
      </c>
      <c r="AR83" s="79" t="s">
        <v>177</v>
      </c>
      <c r="AS83" s="79">
        <v>0</v>
      </c>
      <c r="AT83" s="79">
        <v>0</v>
      </c>
      <c r="AU83" s="79"/>
      <c r="AV83" s="79"/>
      <c r="AW83" s="79"/>
      <c r="AX83" s="79"/>
      <c r="AY83" s="79"/>
      <c r="AZ83" s="79"/>
      <c r="BA83" s="79"/>
      <c r="BB83" s="79"/>
      <c r="BC83">
        <v>2</v>
      </c>
      <c r="BD83" s="78" t="str">
        <f>REPLACE(INDEX(GroupVertices[Group], MATCH(Edges13[[#This Row],[Vertex 1]],GroupVertices[Vertex],0)),1,1,"")</f>
        <v>1</v>
      </c>
      <c r="BE83" s="78" t="str">
        <f>REPLACE(INDEX(GroupVertices[Group], MATCH(Edges13[[#This Row],[Vertex 2]],GroupVertices[Vertex],0)),1,1,"")</f>
        <v>1</v>
      </c>
    </row>
    <row r="84" spans="1:57" x14ac:dyDescent="0.25">
      <c r="A84" s="64" t="s">
        <v>287</v>
      </c>
      <c r="B84" s="64" t="s">
        <v>298</v>
      </c>
      <c r="C84" s="65"/>
      <c r="D84" s="66"/>
      <c r="E84" s="67"/>
      <c r="F84" s="68"/>
      <c r="G84" s="65"/>
      <c r="H84" s="69"/>
      <c r="I84" s="70"/>
      <c r="J84" s="70"/>
      <c r="K84" s="35" t="s">
        <v>66</v>
      </c>
      <c r="L84" s="77">
        <v>162</v>
      </c>
      <c r="M84" s="77"/>
      <c r="N84" s="72"/>
      <c r="O84" s="79" t="s">
        <v>338</v>
      </c>
      <c r="P84" s="81">
        <v>44406.929351851853</v>
      </c>
      <c r="Q84" s="79" t="s">
        <v>373</v>
      </c>
      <c r="R84" s="79"/>
      <c r="S84" s="79"/>
      <c r="T84" s="85" t="s">
        <v>461</v>
      </c>
      <c r="U84" s="83" t="str">
        <f>HYPERLINK("https://pbs.twimg.com/media/E7fhzF6XsAAoddH.jpg")</f>
        <v>https://pbs.twimg.com/media/E7fhzF6XsAAoddH.jpg</v>
      </c>
      <c r="V84" s="83" t="str">
        <f>HYPERLINK("https://pbs.twimg.com/media/E7fhzF6XsAAoddH.jpg")</f>
        <v>https://pbs.twimg.com/media/E7fhzF6XsAAoddH.jpg</v>
      </c>
      <c r="W84" s="81">
        <v>44406.929351851853</v>
      </c>
      <c r="X84" s="87">
        <v>44406</v>
      </c>
      <c r="Y84" s="85" t="s">
        <v>672</v>
      </c>
      <c r="Z84" s="83" t="str">
        <f>HYPERLINK("https://twitter.com/coetalk/status/1420871322654085121")</f>
        <v>https://twitter.com/coetalk/status/1420871322654085121</v>
      </c>
      <c r="AA84" s="79"/>
      <c r="AB84" s="79"/>
      <c r="AC84" s="85" t="s">
        <v>852</v>
      </c>
      <c r="AD84" s="79"/>
      <c r="AE84" s="79" t="b">
        <v>0</v>
      </c>
      <c r="AF84" s="79">
        <v>0</v>
      </c>
      <c r="AG84" s="85" t="s">
        <v>867</v>
      </c>
      <c r="AH84" s="79" t="b">
        <v>0</v>
      </c>
      <c r="AI84" s="79" t="s">
        <v>874</v>
      </c>
      <c r="AJ84" s="79"/>
      <c r="AK84" s="85" t="s">
        <v>867</v>
      </c>
      <c r="AL84" s="79" t="b">
        <v>0</v>
      </c>
      <c r="AM84" s="79">
        <v>14</v>
      </c>
      <c r="AN84" s="85" t="s">
        <v>851</v>
      </c>
      <c r="AO84" s="85" t="s">
        <v>883</v>
      </c>
      <c r="AP84" s="79" t="b">
        <v>0</v>
      </c>
      <c r="AQ84" s="85" t="s">
        <v>851</v>
      </c>
      <c r="AR84" s="79" t="s">
        <v>177</v>
      </c>
      <c r="AS84" s="79">
        <v>0</v>
      </c>
      <c r="AT84" s="79">
        <v>0</v>
      </c>
      <c r="AU84" s="79"/>
      <c r="AV84" s="79"/>
      <c r="AW84" s="79"/>
      <c r="AX84" s="79"/>
      <c r="AY84" s="79"/>
      <c r="AZ84" s="79"/>
      <c r="BA84" s="79"/>
      <c r="BB84" s="79"/>
      <c r="BC84">
        <v>2</v>
      </c>
      <c r="BD84" s="78" t="str">
        <f>REPLACE(INDEX(GroupVertices[Group], MATCH(Edges13[[#This Row],[Vertex 1]],GroupVertices[Vertex],0)),1,1,"")</f>
        <v>1</v>
      </c>
      <c r="BE84" s="78" t="str">
        <f>REPLACE(INDEX(GroupVertices[Group], MATCH(Edges13[[#This Row],[Vertex 2]],GroupVertices[Vertex],0)),1,1,"")</f>
        <v>1</v>
      </c>
    </row>
    <row r="85" spans="1:57" x14ac:dyDescent="0.25">
      <c r="A85" s="64" t="s">
        <v>287</v>
      </c>
      <c r="B85" s="64" t="s">
        <v>304</v>
      </c>
      <c r="C85" s="65"/>
      <c r="D85" s="66"/>
      <c r="E85" s="67"/>
      <c r="F85" s="68"/>
      <c r="G85" s="65"/>
      <c r="H85" s="69"/>
      <c r="I85" s="70"/>
      <c r="J85" s="70"/>
      <c r="K85" s="35" t="s">
        <v>65</v>
      </c>
      <c r="L85" s="77">
        <v>163</v>
      </c>
      <c r="M85" s="77"/>
      <c r="N85" s="72"/>
      <c r="O85" s="79" t="s">
        <v>339</v>
      </c>
      <c r="P85" s="81">
        <v>44406.072997685187</v>
      </c>
      <c r="Q85" s="79" t="s">
        <v>365</v>
      </c>
      <c r="R85" s="79"/>
      <c r="S85" s="79"/>
      <c r="T85" s="85" t="s">
        <v>461</v>
      </c>
      <c r="U85" s="83" t="str">
        <f>HYPERLINK("https://pbs.twimg.com/ext_tw_video_thumb/1420560954690088965/pu/img/mw30pB3lQf5fmFQ8.jpg")</f>
        <v>https://pbs.twimg.com/ext_tw_video_thumb/1420560954690088965/pu/img/mw30pB3lQf5fmFQ8.jpg</v>
      </c>
      <c r="V85" s="83" t="str">
        <f>HYPERLINK("https://pbs.twimg.com/ext_tw_video_thumb/1420560954690088965/pu/img/mw30pB3lQf5fmFQ8.jpg")</f>
        <v>https://pbs.twimg.com/ext_tw_video_thumb/1420560954690088965/pu/img/mw30pB3lQf5fmFQ8.jpg</v>
      </c>
      <c r="W85" s="81">
        <v>44406.072997685187</v>
      </c>
      <c r="X85" s="87">
        <v>44406</v>
      </c>
      <c r="Y85" s="85" t="s">
        <v>604</v>
      </c>
      <c r="Z85" s="83" t="str">
        <f>HYPERLINK("https://twitter.com/coetalk/status/1420560991012655106")</f>
        <v>https://twitter.com/coetalk/status/1420560991012655106</v>
      </c>
      <c r="AA85" s="79"/>
      <c r="AB85" s="79"/>
      <c r="AC85" s="85" t="s">
        <v>784</v>
      </c>
      <c r="AD85" s="79"/>
      <c r="AE85" s="79" t="b">
        <v>0</v>
      </c>
      <c r="AF85" s="79">
        <v>19</v>
      </c>
      <c r="AG85" s="85" t="s">
        <v>867</v>
      </c>
      <c r="AH85" s="79" t="b">
        <v>0</v>
      </c>
      <c r="AI85" s="79" t="s">
        <v>874</v>
      </c>
      <c r="AJ85" s="79"/>
      <c r="AK85" s="85" t="s">
        <v>867</v>
      </c>
      <c r="AL85" s="79" t="b">
        <v>0</v>
      </c>
      <c r="AM85" s="79">
        <v>8</v>
      </c>
      <c r="AN85" s="85" t="s">
        <v>867</v>
      </c>
      <c r="AO85" s="85" t="s">
        <v>883</v>
      </c>
      <c r="AP85" s="79" t="b">
        <v>0</v>
      </c>
      <c r="AQ85" s="85" t="s">
        <v>784</v>
      </c>
      <c r="AR85" s="79" t="s">
        <v>177</v>
      </c>
      <c r="AS85" s="79">
        <v>0</v>
      </c>
      <c r="AT85" s="79">
        <v>0</v>
      </c>
      <c r="AU85" s="79"/>
      <c r="AV85" s="79"/>
      <c r="AW85" s="79"/>
      <c r="AX85" s="79"/>
      <c r="AY85" s="79"/>
      <c r="AZ85" s="79"/>
      <c r="BA85" s="79"/>
      <c r="BB85" s="79"/>
      <c r="BC85">
        <v>2</v>
      </c>
      <c r="BD85" s="78" t="str">
        <f>REPLACE(INDEX(GroupVertices[Group], MATCH(Edges13[[#This Row],[Vertex 1]],GroupVertices[Vertex],0)),1,1,"")</f>
        <v>1</v>
      </c>
      <c r="BE85" s="78" t="str">
        <f>REPLACE(INDEX(GroupVertices[Group], MATCH(Edges13[[#This Row],[Vertex 2]],GroupVertices[Vertex],0)),1,1,"")</f>
        <v>1</v>
      </c>
    </row>
    <row r="86" spans="1:57" x14ac:dyDescent="0.25">
      <c r="A86" s="64" t="s">
        <v>287</v>
      </c>
      <c r="B86" s="64" t="s">
        <v>304</v>
      </c>
      <c r="C86" s="65"/>
      <c r="D86" s="66"/>
      <c r="E86" s="67"/>
      <c r="F86" s="68"/>
      <c r="G86" s="65"/>
      <c r="H86" s="69"/>
      <c r="I86" s="70"/>
      <c r="J86" s="70"/>
      <c r="K86" s="35" t="s">
        <v>65</v>
      </c>
      <c r="L86" s="77">
        <v>164</v>
      </c>
      <c r="M86" s="77"/>
      <c r="N86" s="72"/>
      <c r="O86" s="79" t="s">
        <v>339</v>
      </c>
      <c r="P86" s="81">
        <v>44406.073009259257</v>
      </c>
      <c r="Q86" s="79" t="s">
        <v>382</v>
      </c>
      <c r="R86" s="79"/>
      <c r="S86" s="79"/>
      <c r="T86" s="85" t="s">
        <v>484</v>
      </c>
      <c r="U86" s="83" t="str">
        <f>HYPERLINK("https://pbs.twimg.com/media/E7bYsmDXMAUgC38.jpg")</f>
        <v>https://pbs.twimg.com/media/E7bYsmDXMAUgC38.jpg</v>
      </c>
      <c r="V86" s="83" t="str">
        <f>HYPERLINK("https://pbs.twimg.com/media/E7bYsmDXMAUgC38.jpg")</f>
        <v>https://pbs.twimg.com/media/E7bYsmDXMAUgC38.jpg</v>
      </c>
      <c r="W86" s="81">
        <v>44406.073009259257</v>
      </c>
      <c r="X86" s="87">
        <v>44406</v>
      </c>
      <c r="Y86" s="85" t="s">
        <v>605</v>
      </c>
      <c r="Z86" s="83" t="str">
        <f>HYPERLINK("https://twitter.com/coetalk/status/1420560994846351365")</f>
        <v>https://twitter.com/coetalk/status/1420560994846351365</v>
      </c>
      <c r="AA86" s="79"/>
      <c r="AB86" s="79"/>
      <c r="AC86" s="85" t="s">
        <v>785</v>
      </c>
      <c r="AD86" s="85" t="s">
        <v>784</v>
      </c>
      <c r="AE86" s="79" t="b">
        <v>0</v>
      </c>
      <c r="AF86" s="79">
        <v>2</v>
      </c>
      <c r="AG86" s="85" t="s">
        <v>871</v>
      </c>
      <c r="AH86" s="79" t="b">
        <v>0</v>
      </c>
      <c r="AI86" s="79" t="s">
        <v>874</v>
      </c>
      <c r="AJ86" s="79"/>
      <c r="AK86" s="85" t="s">
        <v>867</v>
      </c>
      <c r="AL86" s="79" t="b">
        <v>0</v>
      </c>
      <c r="AM86" s="79">
        <v>0</v>
      </c>
      <c r="AN86" s="85" t="s">
        <v>867</v>
      </c>
      <c r="AO86" s="85" t="s">
        <v>883</v>
      </c>
      <c r="AP86" s="79" t="b">
        <v>0</v>
      </c>
      <c r="AQ86" s="85" t="s">
        <v>784</v>
      </c>
      <c r="AR86" s="79" t="s">
        <v>177</v>
      </c>
      <c r="AS86" s="79">
        <v>0</v>
      </c>
      <c r="AT86" s="79">
        <v>0</v>
      </c>
      <c r="AU86" s="79"/>
      <c r="AV86" s="79"/>
      <c r="AW86" s="79"/>
      <c r="AX86" s="79"/>
      <c r="AY86" s="79"/>
      <c r="AZ86" s="79"/>
      <c r="BA86" s="79"/>
      <c r="BB86" s="79"/>
      <c r="BC86">
        <v>2</v>
      </c>
      <c r="BD86" s="78" t="str">
        <f>REPLACE(INDEX(GroupVertices[Group], MATCH(Edges13[[#This Row],[Vertex 1]],GroupVertices[Vertex],0)),1,1,"")</f>
        <v>1</v>
      </c>
      <c r="BE86" s="78" t="str">
        <f>REPLACE(INDEX(GroupVertices[Group], MATCH(Edges13[[#This Row],[Vertex 2]],GroupVertices[Vertex],0)),1,1,"")</f>
        <v>1</v>
      </c>
    </row>
    <row r="87" spans="1:57" x14ac:dyDescent="0.25">
      <c r="A87" s="64" t="s">
        <v>287</v>
      </c>
      <c r="B87" s="64" t="s">
        <v>332</v>
      </c>
      <c r="C87" s="65"/>
      <c r="D87" s="66"/>
      <c r="E87" s="67"/>
      <c r="F87" s="68"/>
      <c r="G87" s="65"/>
      <c r="H87" s="69"/>
      <c r="I87" s="70"/>
      <c r="J87" s="70"/>
      <c r="K87" s="35" t="s">
        <v>65</v>
      </c>
      <c r="L87" s="77">
        <v>165</v>
      </c>
      <c r="M87" s="77"/>
      <c r="N87" s="72"/>
      <c r="O87" s="79" t="s">
        <v>339</v>
      </c>
      <c r="P87" s="81">
        <v>44407.730115740742</v>
      </c>
      <c r="Q87" s="79" t="s">
        <v>422</v>
      </c>
      <c r="R87" s="79"/>
      <c r="S87" s="79"/>
      <c r="T87" s="85" t="s">
        <v>461</v>
      </c>
      <c r="U87" s="83" t="str">
        <f>HYPERLINK("https://pbs.twimg.com/ext_tw_video_thumb/1421161154945093639/pu/img/tbrT6qcfoLxlpRkV.jpg")</f>
        <v>https://pbs.twimg.com/ext_tw_video_thumb/1421161154945093639/pu/img/tbrT6qcfoLxlpRkV.jpg</v>
      </c>
      <c r="V87" s="83" t="str">
        <f>HYPERLINK("https://pbs.twimg.com/ext_tw_video_thumb/1421161154945093639/pu/img/tbrT6qcfoLxlpRkV.jpg")</f>
        <v>https://pbs.twimg.com/ext_tw_video_thumb/1421161154945093639/pu/img/tbrT6qcfoLxlpRkV.jpg</v>
      </c>
      <c r="W87" s="81">
        <v>44407.730115740742</v>
      </c>
      <c r="X87" s="87">
        <v>44407</v>
      </c>
      <c r="Y87" s="85" t="s">
        <v>656</v>
      </c>
      <c r="Z87" s="83" t="str">
        <f>HYPERLINK("https://twitter.com/coetalk/status/1421161509527474187")</f>
        <v>https://twitter.com/coetalk/status/1421161509527474187</v>
      </c>
      <c r="AA87" s="79"/>
      <c r="AB87" s="79"/>
      <c r="AC87" s="85" t="s">
        <v>836</v>
      </c>
      <c r="AD87" s="79"/>
      <c r="AE87" s="79" t="b">
        <v>0</v>
      </c>
      <c r="AF87" s="79">
        <v>4</v>
      </c>
      <c r="AG87" s="85" t="s">
        <v>867</v>
      </c>
      <c r="AH87" s="79" t="b">
        <v>0</v>
      </c>
      <c r="AI87" s="79" t="s">
        <v>874</v>
      </c>
      <c r="AJ87" s="79"/>
      <c r="AK87" s="85" t="s">
        <v>867</v>
      </c>
      <c r="AL87" s="79" t="b">
        <v>0</v>
      </c>
      <c r="AM87" s="79">
        <v>1</v>
      </c>
      <c r="AN87" s="85" t="s">
        <v>867</v>
      </c>
      <c r="AO87" s="85" t="s">
        <v>882</v>
      </c>
      <c r="AP87" s="79" t="b">
        <v>0</v>
      </c>
      <c r="AQ87" s="85" t="s">
        <v>836</v>
      </c>
      <c r="AR87" s="79" t="s">
        <v>177</v>
      </c>
      <c r="AS87" s="79">
        <v>0</v>
      </c>
      <c r="AT87" s="79">
        <v>0</v>
      </c>
      <c r="AU87" s="79"/>
      <c r="AV87" s="79"/>
      <c r="AW87" s="79"/>
      <c r="AX87" s="79"/>
      <c r="AY87" s="79"/>
      <c r="AZ87" s="79"/>
      <c r="BA87" s="79"/>
      <c r="BB87" s="79"/>
      <c r="BC87">
        <v>2</v>
      </c>
      <c r="BD87" s="78" t="str">
        <f>REPLACE(INDEX(GroupVertices[Group], MATCH(Edges13[[#This Row],[Vertex 1]],GroupVertices[Vertex],0)),1,1,"")</f>
        <v>1</v>
      </c>
      <c r="BE87" s="78" t="str">
        <f>REPLACE(INDEX(GroupVertices[Group], MATCH(Edges13[[#This Row],[Vertex 2]],GroupVertices[Vertex],0)),1,1,"")</f>
        <v>1</v>
      </c>
    </row>
    <row r="88" spans="1:57" x14ac:dyDescent="0.25">
      <c r="A88" s="64" t="s">
        <v>287</v>
      </c>
      <c r="B88" s="64" t="s">
        <v>332</v>
      </c>
      <c r="C88" s="65"/>
      <c r="D88" s="66"/>
      <c r="E88" s="67"/>
      <c r="F88" s="68"/>
      <c r="G88" s="65"/>
      <c r="H88" s="69"/>
      <c r="I88" s="70"/>
      <c r="J88" s="70"/>
      <c r="K88" s="35" t="s">
        <v>65</v>
      </c>
      <c r="L88" s="77">
        <v>166</v>
      </c>
      <c r="M88" s="77"/>
      <c r="N88" s="72"/>
      <c r="O88" s="79" t="s">
        <v>339</v>
      </c>
      <c r="P88" s="81">
        <v>44407.730127314811</v>
      </c>
      <c r="Q88" s="79" t="s">
        <v>423</v>
      </c>
      <c r="R88" s="79"/>
      <c r="S88" s="79"/>
      <c r="T88" s="85" t="s">
        <v>495</v>
      </c>
      <c r="U88" s="83" t="str">
        <f>HYPERLINK("https://pbs.twimg.com/media/E7j61e5WUAE3ZKk.jpg")</f>
        <v>https://pbs.twimg.com/media/E7j61e5WUAE3ZKk.jpg</v>
      </c>
      <c r="V88" s="83" t="str">
        <f>HYPERLINK("https://pbs.twimg.com/media/E7j61e5WUAE3ZKk.jpg")</f>
        <v>https://pbs.twimg.com/media/E7j61e5WUAE3ZKk.jpg</v>
      </c>
      <c r="W88" s="81">
        <v>44407.730127314811</v>
      </c>
      <c r="X88" s="87">
        <v>44407</v>
      </c>
      <c r="Y88" s="85" t="s">
        <v>658</v>
      </c>
      <c r="Z88" s="83" t="str">
        <f>HYPERLINK("https://twitter.com/coetalk/status/1421161513059028994")</f>
        <v>https://twitter.com/coetalk/status/1421161513059028994</v>
      </c>
      <c r="AA88" s="79"/>
      <c r="AB88" s="79"/>
      <c r="AC88" s="85" t="s">
        <v>838</v>
      </c>
      <c r="AD88" s="85" t="s">
        <v>836</v>
      </c>
      <c r="AE88" s="79" t="b">
        <v>0</v>
      </c>
      <c r="AF88" s="79">
        <v>2</v>
      </c>
      <c r="AG88" s="85" t="s">
        <v>871</v>
      </c>
      <c r="AH88" s="79" t="b">
        <v>0</v>
      </c>
      <c r="AI88" s="79" t="s">
        <v>874</v>
      </c>
      <c r="AJ88" s="79"/>
      <c r="AK88" s="85" t="s">
        <v>867</v>
      </c>
      <c r="AL88" s="79" t="b">
        <v>0</v>
      </c>
      <c r="AM88" s="79">
        <v>0</v>
      </c>
      <c r="AN88" s="85" t="s">
        <v>867</v>
      </c>
      <c r="AO88" s="85" t="s">
        <v>882</v>
      </c>
      <c r="AP88" s="79" t="b">
        <v>0</v>
      </c>
      <c r="AQ88" s="85" t="s">
        <v>836</v>
      </c>
      <c r="AR88" s="79" t="s">
        <v>177</v>
      </c>
      <c r="AS88" s="79">
        <v>0</v>
      </c>
      <c r="AT88" s="79">
        <v>0</v>
      </c>
      <c r="AU88" s="79"/>
      <c r="AV88" s="79"/>
      <c r="AW88" s="79"/>
      <c r="AX88" s="79"/>
      <c r="AY88" s="79"/>
      <c r="AZ88" s="79"/>
      <c r="BA88" s="79"/>
      <c r="BB88" s="79"/>
      <c r="BC88">
        <v>2</v>
      </c>
      <c r="BD88" s="78" t="str">
        <f>REPLACE(INDEX(GroupVertices[Group], MATCH(Edges13[[#This Row],[Vertex 1]],GroupVertices[Vertex],0)),1,1,"")</f>
        <v>1</v>
      </c>
      <c r="BE88" s="78" t="str">
        <f>REPLACE(INDEX(GroupVertices[Group], MATCH(Edges13[[#This Row],[Vertex 2]],GroupVertices[Vertex],0)),1,1,"")</f>
        <v>1</v>
      </c>
    </row>
    <row r="89" spans="1:57" x14ac:dyDescent="0.25">
      <c r="A89" s="64" t="s">
        <v>245</v>
      </c>
      <c r="B89" s="64" t="s">
        <v>311</v>
      </c>
      <c r="C89" s="65"/>
      <c r="D89" s="66"/>
      <c r="E89" s="67"/>
      <c r="F89" s="68"/>
      <c r="G89" s="65"/>
      <c r="H89" s="69"/>
      <c r="I89" s="70"/>
      <c r="J89" s="70"/>
      <c r="K89" s="35" t="s">
        <v>65</v>
      </c>
      <c r="L89" s="77">
        <v>167</v>
      </c>
      <c r="M89" s="77"/>
      <c r="N89" s="72"/>
      <c r="O89" s="79" t="s">
        <v>337</v>
      </c>
      <c r="P89" s="81">
        <v>44405.000763888886</v>
      </c>
      <c r="Q89" s="79" t="s">
        <v>359</v>
      </c>
      <c r="R89" s="79"/>
      <c r="S89" s="79"/>
      <c r="T89" s="85" t="s">
        <v>473</v>
      </c>
      <c r="U89" s="83" t="str">
        <f>HYPERLINK("https://pbs.twimg.com/ext_tw_video_thumb/1165283058448252928/pu/img/pTNEY01XgvTHzPju.jpg")</f>
        <v>https://pbs.twimg.com/ext_tw_video_thumb/1165283058448252928/pu/img/pTNEY01XgvTHzPju.jpg</v>
      </c>
      <c r="V89" s="83" t="str">
        <f>HYPERLINK("https://pbs.twimg.com/ext_tw_video_thumb/1165283058448252928/pu/img/pTNEY01XgvTHzPju.jpg")</f>
        <v>https://pbs.twimg.com/ext_tw_video_thumb/1165283058448252928/pu/img/pTNEY01XgvTHzPju.jpg</v>
      </c>
      <c r="W89" s="81">
        <v>44405.000763888886</v>
      </c>
      <c r="X89" s="87">
        <v>44405</v>
      </c>
      <c r="Y89" s="85" t="s">
        <v>539</v>
      </c>
      <c r="Z89" s="83" t="str">
        <f>HYPERLINK("https://twitter.com/aaron_cortes/status/1420172426143469570")</f>
        <v>https://twitter.com/aaron_cortes/status/1420172426143469570</v>
      </c>
      <c r="AA89" s="79"/>
      <c r="AB89" s="79"/>
      <c r="AC89" s="85" t="s">
        <v>717</v>
      </c>
      <c r="AD89" s="79"/>
      <c r="AE89" s="79" t="b">
        <v>0</v>
      </c>
      <c r="AF89" s="79">
        <v>0</v>
      </c>
      <c r="AG89" s="85" t="s">
        <v>867</v>
      </c>
      <c r="AH89" s="79" t="b">
        <v>0</v>
      </c>
      <c r="AI89" s="79" t="s">
        <v>874</v>
      </c>
      <c r="AJ89" s="79"/>
      <c r="AK89" s="85" t="s">
        <v>867</v>
      </c>
      <c r="AL89" s="79" t="b">
        <v>0</v>
      </c>
      <c r="AM89" s="79">
        <v>3</v>
      </c>
      <c r="AN89" s="85" t="s">
        <v>716</v>
      </c>
      <c r="AO89" s="85" t="s">
        <v>883</v>
      </c>
      <c r="AP89" s="79" t="b">
        <v>0</v>
      </c>
      <c r="AQ89" s="85" t="s">
        <v>716</v>
      </c>
      <c r="AR89" s="79" t="s">
        <v>177</v>
      </c>
      <c r="AS89" s="79">
        <v>0</v>
      </c>
      <c r="AT89" s="79">
        <v>0</v>
      </c>
      <c r="AU89" s="79"/>
      <c r="AV89" s="79"/>
      <c r="AW89" s="79"/>
      <c r="AX89" s="79"/>
      <c r="AY89" s="79"/>
      <c r="AZ89" s="79"/>
      <c r="BA89" s="79"/>
      <c r="BB89" s="79"/>
      <c r="BC89">
        <v>2</v>
      </c>
      <c r="BD89" s="78" t="str">
        <f>REPLACE(INDEX(GroupVertices[Group], MATCH(Edges13[[#This Row],[Vertex 1]],GroupVertices[Vertex],0)),1,1,"")</f>
        <v>4</v>
      </c>
      <c r="BE89" s="78" t="str">
        <f>REPLACE(INDEX(GroupVertices[Group], MATCH(Edges13[[#This Row],[Vertex 2]],GroupVertices[Vertex],0)),1,1,"")</f>
        <v>4</v>
      </c>
    </row>
    <row r="90" spans="1:57" x14ac:dyDescent="0.25">
      <c r="A90" s="64" t="s">
        <v>245</v>
      </c>
      <c r="B90" s="64" t="s">
        <v>311</v>
      </c>
      <c r="C90" s="65"/>
      <c r="D90" s="66"/>
      <c r="E90" s="67"/>
      <c r="F90" s="68"/>
      <c r="G90" s="65"/>
      <c r="H90" s="69"/>
      <c r="I90" s="70"/>
      <c r="J90" s="70"/>
      <c r="K90" s="35" t="s">
        <v>65</v>
      </c>
      <c r="L90" s="77">
        <v>168</v>
      </c>
      <c r="M90" s="77"/>
      <c r="N90" s="72"/>
      <c r="O90" s="79" t="s">
        <v>337</v>
      </c>
      <c r="P90" s="81">
        <v>44405.008206018516</v>
      </c>
      <c r="Q90" s="79" t="s">
        <v>360</v>
      </c>
      <c r="R90" s="79"/>
      <c r="S90" s="79"/>
      <c r="T90" s="85" t="s">
        <v>474</v>
      </c>
      <c r="U90" s="83" t="str">
        <f>HYPERLINK("https://pbs.twimg.com/media/EQ1_Rq-WsAE6FpH.jpg")</f>
        <v>https://pbs.twimg.com/media/EQ1_Rq-WsAE6FpH.jpg</v>
      </c>
      <c r="V90" s="83" t="str">
        <f>HYPERLINK("https://pbs.twimg.com/media/EQ1_Rq-WsAE6FpH.jpg")</f>
        <v>https://pbs.twimg.com/media/EQ1_Rq-WsAE6FpH.jpg</v>
      </c>
      <c r="W90" s="81">
        <v>44405.008206018516</v>
      </c>
      <c r="X90" s="87">
        <v>44405</v>
      </c>
      <c r="Y90" s="85" t="s">
        <v>540</v>
      </c>
      <c r="Z90" s="83" t="str">
        <f>HYPERLINK("https://twitter.com/aaron_cortes/status/1420175121726255107")</f>
        <v>https://twitter.com/aaron_cortes/status/1420175121726255107</v>
      </c>
      <c r="AA90" s="79"/>
      <c r="AB90" s="79"/>
      <c r="AC90" s="85" t="s">
        <v>719</v>
      </c>
      <c r="AD90" s="79"/>
      <c r="AE90" s="79" t="b">
        <v>0</v>
      </c>
      <c r="AF90" s="79">
        <v>0</v>
      </c>
      <c r="AG90" s="85" t="s">
        <v>867</v>
      </c>
      <c r="AH90" s="79" t="b">
        <v>0</v>
      </c>
      <c r="AI90" s="79" t="s">
        <v>874</v>
      </c>
      <c r="AJ90" s="79"/>
      <c r="AK90" s="85" t="s">
        <v>867</v>
      </c>
      <c r="AL90" s="79" t="b">
        <v>0</v>
      </c>
      <c r="AM90" s="79">
        <v>7</v>
      </c>
      <c r="AN90" s="85" t="s">
        <v>718</v>
      </c>
      <c r="AO90" s="85" t="s">
        <v>883</v>
      </c>
      <c r="AP90" s="79" t="b">
        <v>0</v>
      </c>
      <c r="AQ90" s="85" t="s">
        <v>718</v>
      </c>
      <c r="AR90" s="79" t="s">
        <v>177</v>
      </c>
      <c r="AS90" s="79">
        <v>0</v>
      </c>
      <c r="AT90" s="79">
        <v>0</v>
      </c>
      <c r="AU90" s="79"/>
      <c r="AV90" s="79"/>
      <c r="AW90" s="79"/>
      <c r="AX90" s="79"/>
      <c r="AY90" s="79"/>
      <c r="AZ90" s="79"/>
      <c r="BA90" s="79"/>
      <c r="BB90" s="79"/>
      <c r="BC90">
        <v>2</v>
      </c>
      <c r="BD90" s="78" t="str">
        <f>REPLACE(INDEX(GroupVertices[Group], MATCH(Edges13[[#This Row],[Vertex 1]],GroupVertices[Vertex],0)),1,1,"")</f>
        <v>4</v>
      </c>
      <c r="BE90" s="78" t="str">
        <f>REPLACE(INDEX(GroupVertices[Group], MATCH(Edges13[[#This Row],[Vertex 2]],GroupVertices[Vertex],0)),1,1,"")</f>
        <v>4</v>
      </c>
    </row>
    <row r="91" spans="1:57" x14ac:dyDescent="0.25">
      <c r="A91" s="64" t="s">
        <v>257</v>
      </c>
      <c r="B91" s="64" t="s">
        <v>256</v>
      </c>
      <c r="C91" s="65"/>
      <c r="D91" s="66"/>
      <c r="E91" s="67"/>
      <c r="F91" s="68"/>
      <c r="G91" s="65"/>
      <c r="H91" s="69"/>
      <c r="I91" s="70"/>
      <c r="J91" s="70"/>
      <c r="K91" s="35" t="s">
        <v>66</v>
      </c>
      <c r="L91" s="77">
        <v>171</v>
      </c>
      <c r="M91" s="77"/>
      <c r="N91" s="72"/>
      <c r="O91" s="79" t="s">
        <v>339</v>
      </c>
      <c r="P91" s="81">
        <v>44404.840127314812</v>
      </c>
      <c r="Q91" s="79" t="s">
        <v>356</v>
      </c>
      <c r="R91" s="79"/>
      <c r="S91" s="79"/>
      <c r="T91" s="85" t="s">
        <v>461</v>
      </c>
      <c r="U91" s="83" t="str">
        <f>HYPERLINK("https://pbs.twimg.com/media/E7VCWcGXMAQx84B.jpg")</f>
        <v>https://pbs.twimg.com/media/E7VCWcGXMAQx84B.jpg</v>
      </c>
      <c r="V91" s="83" t="str">
        <f>HYPERLINK("https://pbs.twimg.com/media/E7VCWcGXMAQx84B.jpg")</f>
        <v>https://pbs.twimg.com/media/E7VCWcGXMAQx84B.jpg</v>
      </c>
      <c r="W91" s="81">
        <v>44404.840127314812</v>
      </c>
      <c r="X91" s="87">
        <v>44404</v>
      </c>
      <c r="Y91" s="85" t="s">
        <v>557</v>
      </c>
      <c r="Z91" s="83" t="str">
        <f>HYPERLINK("https://twitter.com/_maburnett/status/1420114213658402821")</f>
        <v>https://twitter.com/_maburnett/status/1420114213658402821</v>
      </c>
      <c r="AA91" s="79"/>
      <c r="AB91" s="79"/>
      <c r="AC91" s="85" t="s">
        <v>736</v>
      </c>
      <c r="AD91" s="79"/>
      <c r="AE91" s="79" t="b">
        <v>0</v>
      </c>
      <c r="AF91" s="79">
        <v>337</v>
      </c>
      <c r="AG91" s="85" t="s">
        <v>867</v>
      </c>
      <c r="AH91" s="79" t="b">
        <v>0</v>
      </c>
      <c r="AI91" s="79" t="s">
        <v>874</v>
      </c>
      <c r="AJ91" s="79"/>
      <c r="AK91" s="85" t="s">
        <v>867</v>
      </c>
      <c r="AL91" s="79" t="b">
        <v>0</v>
      </c>
      <c r="AM91" s="79">
        <v>21</v>
      </c>
      <c r="AN91" s="85" t="s">
        <v>867</v>
      </c>
      <c r="AO91" s="85" t="s">
        <v>883</v>
      </c>
      <c r="AP91" s="79" t="b">
        <v>0</v>
      </c>
      <c r="AQ91" s="85" t="s">
        <v>736</v>
      </c>
      <c r="AR91" s="79" t="s">
        <v>177</v>
      </c>
      <c r="AS91" s="79">
        <v>0</v>
      </c>
      <c r="AT91" s="79">
        <v>0</v>
      </c>
      <c r="AU91" s="79"/>
      <c r="AV91" s="79"/>
      <c r="AW91" s="79"/>
      <c r="AX91" s="79"/>
      <c r="AY91" s="79"/>
      <c r="AZ91" s="79"/>
      <c r="BA91" s="79"/>
      <c r="BB91" s="79"/>
      <c r="BC91">
        <v>2</v>
      </c>
      <c r="BD91" s="78" t="str">
        <f>REPLACE(INDEX(GroupVertices[Group], MATCH(Edges13[[#This Row],[Vertex 1]],GroupVertices[Vertex],0)),1,1,"")</f>
        <v>2</v>
      </c>
      <c r="BE91" s="78" t="str">
        <f>REPLACE(INDEX(GroupVertices[Group], MATCH(Edges13[[#This Row],[Vertex 2]],GroupVertices[Vertex],0)),1,1,"")</f>
        <v>2</v>
      </c>
    </row>
    <row r="92" spans="1:57" x14ac:dyDescent="0.25">
      <c r="A92" s="64" t="s">
        <v>257</v>
      </c>
      <c r="B92" s="64" t="s">
        <v>256</v>
      </c>
      <c r="C92" s="65"/>
      <c r="D92" s="66"/>
      <c r="E92" s="67"/>
      <c r="F92" s="68"/>
      <c r="G92" s="65"/>
      <c r="H92" s="69"/>
      <c r="I92" s="70"/>
      <c r="J92" s="70"/>
      <c r="K92" s="35" t="s">
        <v>66</v>
      </c>
      <c r="L92" s="77">
        <v>172</v>
      </c>
      <c r="M92" s="77"/>
      <c r="N92" s="72"/>
      <c r="O92" s="79" t="s">
        <v>338</v>
      </c>
      <c r="P92" s="81">
        <v>44404.872256944444</v>
      </c>
      <c r="Q92" s="79" t="s">
        <v>358</v>
      </c>
      <c r="R92" s="83" t="str">
        <f>HYPERLINK("https://twitter.com/_MABurnett/status/1420114213658402821")</f>
        <v>https://twitter.com/_MABurnett/status/1420114213658402821</v>
      </c>
      <c r="S92" s="79" t="s">
        <v>449</v>
      </c>
      <c r="T92" s="85" t="s">
        <v>461</v>
      </c>
      <c r="U92" s="79"/>
      <c r="V92" s="83" t="str">
        <f>HYPERLINK("https://pbs.twimg.com/profile_images/1097350935356063744/0kWU7Jqp_normal.jpg")</f>
        <v>https://pbs.twimg.com/profile_images/1097350935356063744/0kWU7Jqp_normal.jpg</v>
      </c>
      <c r="W92" s="81">
        <v>44404.872256944444</v>
      </c>
      <c r="X92" s="87">
        <v>44404</v>
      </c>
      <c r="Y92" s="85" t="s">
        <v>552</v>
      </c>
      <c r="Z92" s="83" t="str">
        <f>HYPERLINK("https://twitter.com/_maburnett/status/1420125856312221701")</f>
        <v>https://twitter.com/_maburnett/status/1420125856312221701</v>
      </c>
      <c r="AA92" s="79"/>
      <c r="AB92" s="79"/>
      <c r="AC92" s="85" t="s">
        <v>731</v>
      </c>
      <c r="AD92" s="79"/>
      <c r="AE92" s="79" t="b">
        <v>0</v>
      </c>
      <c r="AF92" s="79">
        <v>0</v>
      </c>
      <c r="AG92" s="85" t="s">
        <v>867</v>
      </c>
      <c r="AH92" s="79" t="b">
        <v>1</v>
      </c>
      <c r="AI92" s="79" t="s">
        <v>874</v>
      </c>
      <c r="AJ92" s="79"/>
      <c r="AK92" s="85" t="s">
        <v>736</v>
      </c>
      <c r="AL92" s="79" t="b">
        <v>0</v>
      </c>
      <c r="AM92" s="79">
        <v>5</v>
      </c>
      <c r="AN92" s="85" t="s">
        <v>730</v>
      </c>
      <c r="AO92" s="85" t="s">
        <v>883</v>
      </c>
      <c r="AP92" s="79" t="b">
        <v>0</v>
      </c>
      <c r="AQ92" s="85" t="s">
        <v>730</v>
      </c>
      <c r="AR92" s="79" t="s">
        <v>177</v>
      </c>
      <c r="AS92" s="79">
        <v>0</v>
      </c>
      <c r="AT92" s="79">
        <v>0</v>
      </c>
      <c r="AU92" s="79"/>
      <c r="AV92" s="79"/>
      <c r="AW92" s="79"/>
      <c r="AX92" s="79"/>
      <c r="AY92" s="79"/>
      <c r="AZ92" s="79"/>
      <c r="BA92" s="79"/>
      <c r="BB92" s="79"/>
      <c r="BC92">
        <v>2</v>
      </c>
      <c r="BD92" s="78" t="str">
        <f>REPLACE(INDEX(GroupVertices[Group], MATCH(Edges13[[#This Row],[Vertex 1]],GroupVertices[Vertex],0)),1,1,"")</f>
        <v>2</v>
      </c>
      <c r="BE92" s="78" t="str">
        <f>REPLACE(INDEX(GroupVertices[Group], MATCH(Edges13[[#This Row],[Vertex 2]],GroupVertices[Vertex],0)),1,1,"")</f>
        <v>2</v>
      </c>
    </row>
    <row r="93" spans="1:57" x14ac:dyDescent="0.25">
      <c r="A93" s="64" t="s">
        <v>258</v>
      </c>
      <c r="B93" s="64" t="s">
        <v>256</v>
      </c>
      <c r="C93" s="65"/>
      <c r="D93" s="66"/>
      <c r="E93" s="67"/>
      <c r="F93" s="68"/>
      <c r="G93" s="65"/>
      <c r="H93" s="69"/>
      <c r="I93" s="70"/>
      <c r="J93" s="70"/>
      <c r="K93" s="35" t="s">
        <v>65</v>
      </c>
      <c r="L93" s="77">
        <v>173</v>
      </c>
      <c r="M93" s="77"/>
      <c r="N93" s="72"/>
      <c r="O93" s="79" t="s">
        <v>337</v>
      </c>
      <c r="P93" s="81">
        <v>44405.530636574076</v>
      </c>
      <c r="Q93" s="79" t="s">
        <v>356</v>
      </c>
      <c r="R93" s="79"/>
      <c r="S93" s="79"/>
      <c r="T93" s="85" t="s">
        <v>461</v>
      </c>
      <c r="U93" s="83" t="str">
        <f>HYPERLINK("https://pbs.twimg.com/media/E7VCWcGXMAQx84B.jpg")</f>
        <v>https://pbs.twimg.com/media/E7VCWcGXMAQx84B.jpg</v>
      </c>
      <c r="V93" s="83" t="str">
        <f>HYPERLINK("https://pbs.twimg.com/media/E7VCWcGXMAQx84B.jpg")</f>
        <v>https://pbs.twimg.com/media/E7VCWcGXMAQx84B.jpg</v>
      </c>
      <c r="W93" s="81">
        <v>44405.530636574076</v>
      </c>
      <c r="X93" s="87">
        <v>44405</v>
      </c>
      <c r="Y93" s="85" t="s">
        <v>554</v>
      </c>
      <c r="Z93" s="83" t="str">
        <f>HYPERLINK("https://twitter.com/uncpsych/status/1420364444257820673")</f>
        <v>https://twitter.com/uncpsych/status/1420364444257820673</v>
      </c>
      <c r="AA93" s="79"/>
      <c r="AB93" s="79"/>
      <c r="AC93" s="85" t="s">
        <v>733</v>
      </c>
      <c r="AD93" s="79"/>
      <c r="AE93" s="79" t="b">
        <v>0</v>
      </c>
      <c r="AF93" s="79">
        <v>0</v>
      </c>
      <c r="AG93" s="85" t="s">
        <v>867</v>
      </c>
      <c r="AH93" s="79" t="b">
        <v>0</v>
      </c>
      <c r="AI93" s="79" t="s">
        <v>874</v>
      </c>
      <c r="AJ93" s="79"/>
      <c r="AK93" s="85" t="s">
        <v>867</v>
      </c>
      <c r="AL93" s="79" t="b">
        <v>0</v>
      </c>
      <c r="AM93" s="79">
        <v>21</v>
      </c>
      <c r="AN93" s="85" t="s">
        <v>736</v>
      </c>
      <c r="AO93" s="85" t="s">
        <v>882</v>
      </c>
      <c r="AP93" s="79" t="b">
        <v>0</v>
      </c>
      <c r="AQ93" s="85" t="s">
        <v>736</v>
      </c>
      <c r="AR93" s="79" t="s">
        <v>177</v>
      </c>
      <c r="AS93" s="79">
        <v>0</v>
      </c>
      <c r="AT93" s="79">
        <v>0</v>
      </c>
      <c r="AU93" s="79"/>
      <c r="AV93" s="79"/>
      <c r="AW93" s="79"/>
      <c r="AX93" s="79"/>
      <c r="AY93" s="79"/>
      <c r="AZ93" s="79"/>
      <c r="BA93" s="79"/>
      <c r="BB93" s="79"/>
      <c r="BC93">
        <v>2</v>
      </c>
      <c r="BD93" s="78" t="str">
        <f>REPLACE(INDEX(GroupVertices[Group], MATCH(Edges13[[#This Row],[Vertex 1]],GroupVertices[Vertex],0)),1,1,"")</f>
        <v>2</v>
      </c>
      <c r="BE93" s="78" t="str">
        <f>REPLACE(INDEX(GroupVertices[Group], MATCH(Edges13[[#This Row],[Vertex 2]],GroupVertices[Vertex],0)),1,1,"")</f>
        <v>2</v>
      </c>
    </row>
    <row r="94" spans="1:57" x14ac:dyDescent="0.25">
      <c r="A94" s="64" t="s">
        <v>258</v>
      </c>
      <c r="B94" s="64" t="s">
        <v>256</v>
      </c>
      <c r="C94" s="65"/>
      <c r="D94" s="66"/>
      <c r="E94" s="67"/>
      <c r="F94" s="68"/>
      <c r="G94" s="65"/>
      <c r="H94" s="69"/>
      <c r="I94" s="70"/>
      <c r="J94" s="70"/>
      <c r="K94" s="35" t="s">
        <v>65</v>
      </c>
      <c r="L94" s="77">
        <v>174</v>
      </c>
      <c r="M94" s="77"/>
      <c r="N94" s="72"/>
      <c r="O94" s="79" t="s">
        <v>338</v>
      </c>
      <c r="P94" s="81">
        <v>44405.530972222223</v>
      </c>
      <c r="Q94" s="79" t="s">
        <v>358</v>
      </c>
      <c r="R94" s="83" t="str">
        <f>HYPERLINK("https://twitter.com/_MABurnett/status/1420114213658402821")</f>
        <v>https://twitter.com/_MABurnett/status/1420114213658402821</v>
      </c>
      <c r="S94" s="79" t="s">
        <v>449</v>
      </c>
      <c r="T94" s="85" t="s">
        <v>461</v>
      </c>
      <c r="U94" s="79"/>
      <c r="V94" s="83" t="str">
        <f>HYPERLINK("https://pbs.twimg.com/profile_images/616240390400704513/E83Hn7QQ_normal.png")</f>
        <v>https://pbs.twimg.com/profile_images/616240390400704513/E83Hn7QQ_normal.png</v>
      </c>
      <c r="W94" s="81">
        <v>44405.530972222223</v>
      </c>
      <c r="X94" s="87">
        <v>44405</v>
      </c>
      <c r="Y94" s="85" t="s">
        <v>553</v>
      </c>
      <c r="Z94" s="83" t="str">
        <f>HYPERLINK("https://twitter.com/uncpsych/status/1420364565968130048")</f>
        <v>https://twitter.com/uncpsych/status/1420364565968130048</v>
      </c>
      <c r="AA94" s="79"/>
      <c r="AB94" s="79"/>
      <c r="AC94" s="85" t="s">
        <v>732</v>
      </c>
      <c r="AD94" s="79"/>
      <c r="AE94" s="79" t="b">
        <v>0</v>
      </c>
      <c r="AF94" s="79">
        <v>0</v>
      </c>
      <c r="AG94" s="85" t="s">
        <v>867</v>
      </c>
      <c r="AH94" s="79" t="b">
        <v>1</v>
      </c>
      <c r="AI94" s="79" t="s">
        <v>874</v>
      </c>
      <c r="AJ94" s="79"/>
      <c r="AK94" s="85" t="s">
        <v>736</v>
      </c>
      <c r="AL94" s="79" t="b">
        <v>0</v>
      </c>
      <c r="AM94" s="79">
        <v>5</v>
      </c>
      <c r="AN94" s="85" t="s">
        <v>730</v>
      </c>
      <c r="AO94" s="85" t="s">
        <v>882</v>
      </c>
      <c r="AP94" s="79" t="b">
        <v>0</v>
      </c>
      <c r="AQ94" s="85" t="s">
        <v>730</v>
      </c>
      <c r="AR94" s="79" t="s">
        <v>177</v>
      </c>
      <c r="AS94" s="79">
        <v>0</v>
      </c>
      <c r="AT94" s="79">
        <v>0</v>
      </c>
      <c r="AU94" s="79"/>
      <c r="AV94" s="79"/>
      <c r="AW94" s="79"/>
      <c r="AX94" s="79"/>
      <c r="AY94" s="79"/>
      <c r="AZ94" s="79"/>
      <c r="BA94" s="79"/>
      <c r="BB94" s="79"/>
      <c r="BC94">
        <v>2</v>
      </c>
      <c r="BD94" s="78" t="str">
        <f>REPLACE(INDEX(GroupVertices[Group], MATCH(Edges13[[#This Row],[Vertex 1]],GroupVertices[Vertex],0)),1,1,"")</f>
        <v>2</v>
      </c>
      <c r="BE94" s="78" t="str">
        <f>REPLACE(INDEX(GroupVertices[Group], MATCH(Edges13[[#This Row],[Vertex 2]],GroupVertices[Vertex],0)),1,1,"")</f>
        <v>2</v>
      </c>
    </row>
    <row r="95" spans="1:57" x14ac:dyDescent="0.25">
      <c r="A95" s="64" t="s">
        <v>287</v>
      </c>
      <c r="B95" s="64" t="s">
        <v>287</v>
      </c>
      <c r="C95" s="65"/>
      <c r="D95" s="66"/>
      <c r="E95" s="67"/>
      <c r="F95" s="68"/>
      <c r="G95" s="65"/>
      <c r="H95" s="69"/>
      <c r="I95" s="70"/>
      <c r="J95" s="70"/>
      <c r="K95" s="35" t="s">
        <v>65</v>
      </c>
      <c r="L95" s="77">
        <v>177</v>
      </c>
      <c r="M95" s="77"/>
      <c r="N95" s="72"/>
      <c r="O95" s="79" t="s">
        <v>177</v>
      </c>
      <c r="P95" s="81">
        <v>44404.701412037037</v>
      </c>
      <c r="Q95" s="79" t="s">
        <v>437</v>
      </c>
      <c r="R95" s="83" t="str">
        <f>HYPERLINK("https://www.collins.senate.gov/newsroom/collins-tester-baldwin-lead-push-trio-program-funding-assist-first-generation-low-income")</f>
        <v>https://www.collins.senate.gov/newsroom/collins-tester-baldwin-lead-push-trio-program-funding-assist-first-generation-low-income</v>
      </c>
      <c r="S95" s="79" t="s">
        <v>456</v>
      </c>
      <c r="T95" s="85" t="s">
        <v>461</v>
      </c>
      <c r="U95" s="79"/>
      <c r="V95" s="83" t="str">
        <f>HYPERLINK("https://pbs.twimg.com/profile_images/1311001884824604676/RVdli881_normal.png")</f>
        <v>https://pbs.twimg.com/profile_images/1311001884824604676/RVdli881_normal.png</v>
      </c>
      <c r="W95" s="81">
        <v>44404.701412037037</v>
      </c>
      <c r="X95" s="87">
        <v>44404</v>
      </c>
      <c r="Y95" s="85" t="s">
        <v>676</v>
      </c>
      <c r="Z95" s="83" t="str">
        <f>HYPERLINK("https://twitter.com/coetalk/status/1420063944702513153")</f>
        <v>https://twitter.com/coetalk/status/1420063944702513153</v>
      </c>
      <c r="AA95" s="79"/>
      <c r="AB95" s="79"/>
      <c r="AC95" s="85" t="s">
        <v>856</v>
      </c>
      <c r="AD95" s="79"/>
      <c r="AE95" s="79" t="b">
        <v>0</v>
      </c>
      <c r="AF95" s="79">
        <v>7</v>
      </c>
      <c r="AG95" s="85" t="s">
        <v>867</v>
      </c>
      <c r="AH95" s="79" t="b">
        <v>0</v>
      </c>
      <c r="AI95" s="79" t="s">
        <v>874</v>
      </c>
      <c r="AJ95" s="79"/>
      <c r="AK95" s="85" t="s">
        <v>867</v>
      </c>
      <c r="AL95" s="79" t="b">
        <v>0</v>
      </c>
      <c r="AM95" s="79">
        <v>1</v>
      </c>
      <c r="AN95" s="85" t="s">
        <v>867</v>
      </c>
      <c r="AO95" s="85" t="s">
        <v>885</v>
      </c>
      <c r="AP95" s="79" t="b">
        <v>0</v>
      </c>
      <c r="AQ95" s="85" t="s">
        <v>856</v>
      </c>
      <c r="AR95" s="79" t="s">
        <v>177</v>
      </c>
      <c r="AS95" s="79">
        <v>0</v>
      </c>
      <c r="AT95" s="79">
        <v>0</v>
      </c>
      <c r="AU95" s="79"/>
      <c r="AV95" s="79"/>
      <c r="AW95" s="79"/>
      <c r="AX95" s="79"/>
      <c r="AY95" s="79"/>
      <c r="AZ95" s="79"/>
      <c r="BA95" s="79"/>
      <c r="BB95" s="79"/>
      <c r="BC95">
        <v>2</v>
      </c>
      <c r="BD95" s="78" t="str">
        <f>REPLACE(INDEX(GroupVertices[Group], MATCH(Edges13[[#This Row],[Vertex 1]],GroupVertices[Vertex],0)),1,1,"")</f>
        <v>1</v>
      </c>
      <c r="BE95" s="78" t="str">
        <f>REPLACE(INDEX(GroupVertices[Group], MATCH(Edges13[[#This Row],[Vertex 2]],GroupVertices[Vertex],0)),1,1,"")</f>
        <v>1</v>
      </c>
    </row>
    <row r="96" spans="1:57" x14ac:dyDescent="0.25">
      <c r="A96" s="64" t="s">
        <v>287</v>
      </c>
      <c r="B96" s="64" t="s">
        <v>287</v>
      </c>
      <c r="C96" s="65"/>
      <c r="D96" s="66"/>
      <c r="E96" s="67"/>
      <c r="F96" s="68"/>
      <c r="G96" s="65"/>
      <c r="H96" s="69"/>
      <c r="I96" s="70"/>
      <c r="J96" s="70"/>
      <c r="K96" s="35" t="s">
        <v>65</v>
      </c>
      <c r="L96" s="77">
        <v>178</v>
      </c>
      <c r="M96" s="77"/>
      <c r="N96" s="72"/>
      <c r="O96" s="79" t="s">
        <v>177</v>
      </c>
      <c r="P96" s="81">
        <v>44405.576423611114</v>
      </c>
      <c r="Q96" s="79" t="s">
        <v>438</v>
      </c>
      <c r="R96" s="83" t="str">
        <f>HYPERLINK("https://thenevadaindependent.com/article/new-funding-gives-boost-to-programs-serving-future-first-generation-college-students")</f>
        <v>https://thenevadaindependent.com/article/new-funding-gives-boost-to-programs-serving-future-first-generation-college-students</v>
      </c>
      <c r="S96" s="79" t="s">
        <v>457</v>
      </c>
      <c r="T96" s="85" t="s">
        <v>461</v>
      </c>
      <c r="U96" s="79"/>
      <c r="V96" s="83" t="str">
        <f>HYPERLINK("https://pbs.twimg.com/profile_images/1311001884824604676/RVdli881_normal.png")</f>
        <v>https://pbs.twimg.com/profile_images/1311001884824604676/RVdli881_normal.png</v>
      </c>
      <c r="W96" s="81">
        <v>44405.576423611114</v>
      </c>
      <c r="X96" s="87">
        <v>44405</v>
      </c>
      <c r="Y96" s="85" t="s">
        <v>677</v>
      </c>
      <c r="Z96" s="83" t="str">
        <f>HYPERLINK("https://twitter.com/coetalk/status/1420381036123496453")</f>
        <v>https://twitter.com/coetalk/status/1420381036123496453</v>
      </c>
      <c r="AA96" s="79"/>
      <c r="AB96" s="79"/>
      <c r="AC96" s="85" t="s">
        <v>857</v>
      </c>
      <c r="AD96" s="79"/>
      <c r="AE96" s="79" t="b">
        <v>0</v>
      </c>
      <c r="AF96" s="79">
        <v>2</v>
      </c>
      <c r="AG96" s="85" t="s">
        <v>867</v>
      </c>
      <c r="AH96" s="79" t="b">
        <v>0</v>
      </c>
      <c r="AI96" s="79" t="s">
        <v>874</v>
      </c>
      <c r="AJ96" s="79"/>
      <c r="AK96" s="85" t="s">
        <v>867</v>
      </c>
      <c r="AL96" s="79" t="b">
        <v>0</v>
      </c>
      <c r="AM96" s="79">
        <v>0</v>
      </c>
      <c r="AN96" s="85" t="s">
        <v>867</v>
      </c>
      <c r="AO96" s="85" t="s">
        <v>885</v>
      </c>
      <c r="AP96" s="79" t="b">
        <v>0</v>
      </c>
      <c r="AQ96" s="85" t="s">
        <v>857</v>
      </c>
      <c r="AR96" s="79" t="s">
        <v>177</v>
      </c>
      <c r="AS96" s="79">
        <v>0</v>
      </c>
      <c r="AT96" s="79">
        <v>0</v>
      </c>
      <c r="AU96" s="79"/>
      <c r="AV96" s="79"/>
      <c r="AW96" s="79"/>
      <c r="AX96" s="79"/>
      <c r="AY96" s="79"/>
      <c r="AZ96" s="79"/>
      <c r="BA96" s="79"/>
      <c r="BB96" s="79"/>
      <c r="BC96">
        <v>2</v>
      </c>
      <c r="BD96" s="78" t="str">
        <f>REPLACE(INDEX(GroupVertices[Group], MATCH(Edges13[[#This Row],[Vertex 1]],GroupVertices[Vertex],0)),1,1,"")</f>
        <v>1</v>
      </c>
      <c r="BE96" s="78" t="str">
        <f>REPLACE(INDEX(GroupVertices[Group], MATCH(Edges13[[#This Row],[Vertex 2]],GroupVertices[Vertex],0)),1,1,"")</f>
        <v>1</v>
      </c>
    </row>
    <row r="97" spans="1:57" x14ac:dyDescent="0.25">
      <c r="A97" s="64" t="s">
        <v>299</v>
      </c>
      <c r="B97" s="64" t="s">
        <v>287</v>
      </c>
      <c r="C97" s="65"/>
      <c r="D97" s="66"/>
      <c r="E97" s="67"/>
      <c r="F97" s="68"/>
      <c r="G97" s="65"/>
      <c r="H97" s="69"/>
      <c r="I97" s="70"/>
      <c r="J97" s="70"/>
      <c r="K97" s="35" t="s">
        <v>66</v>
      </c>
      <c r="L97" s="77">
        <v>181</v>
      </c>
      <c r="M97" s="77"/>
      <c r="N97" s="72"/>
      <c r="O97" s="79" t="s">
        <v>337</v>
      </c>
      <c r="P97" s="81">
        <v>44407.57172453704</v>
      </c>
      <c r="Q97" s="79" t="s">
        <v>373</v>
      </c>
      <c r="R97" s="79"/>
      <c r="S97" s="79"/>
      <c r="T97" s="85" t="s">
        <v>461</v>
      </c>
      <c r="U97" s="83" t="str">
        <f>HYPERLINK("https://pbs.twimg.com/media/E7fhzF6XsAAoddH.jpg")</f>
        <v>https://pbs.twimg.com/media/E7fhzF6XsAAoddH.jpg</v>
      </c>
      <c r="V97" s="83" t="str">
        <f>HYPERLINK("https://pbs.twimg.com/media/E7fhzF6XsAAoddH.jpg")</f>
        <v>https://pbs.twimg.com/media/E7fhzF6XsAAoddH.jpg</v>
      </c>
      <c r="W97" s="81">
        <v>44407.57172453704</v>
      </c>
      <c r="X97" s="87">
        <v>44407</v>
      </c>
      <c r="Y97" s="85" t="s">
        <v>673</v>
      </c>
      <c r="Z97" s="83" t="str">
        <f>HYPERLINK("https://twitter.com/mycencalwestop/status/1421104111060013059")</f>
        <v>https://twitter.com/mycencalwestop/status/1421104111060013059</v>
      </c>
      <c r="AA97" s="79"/>
      <c r="AB97" s="79"/>
      <c r="AC97" s="85" t="s">
        <v>853</v>
      </c>
      <c r="AD97" s="79"/>
      <c r="AE97" s="79" t="b">
        <v>0</v>
      </c>
      <c r="AF97" s="79">
        <v>0</v>
      </c>
      <c r="AG97" s="85" t="s">
        <v>867</v>
      </c>
      <c r="AH97" s="79" t="b">
        <v>0</v>
      </c>
      <c r="AI97" s="79" t="s">
        <v>874</v>
      </c>
      <c r="AJ97" s="79"/>
      <c r="AK97" s="85" t="s">
        <v>867</v>
      </c>
      <c r="AL97" s="79" t="b">
        <v>0</v>
      </c>
      <c r="AM97" s="79">
        <v>14</v>
      </c>
      <c r="AN97" s="85" t="s">
        <v>851</v>
      </c>
      <c r="AO97" s="85" t="s">
        <v>889</v>
      </c>
      <c r="AP97" s="79" t="b">
        <v>0</v>
      </c>
      <c r="AQ97" s="85" t="s">
        <v>851</v>
      </c>
      <c r="AR97" s="79" t="s">
        <v>177</v>
      </c>
      <c r="AS97" s="79">
        <v>0</v>
      </c>
      <c r="AT97" s="79">
        <v>0</v>
      </c>
      <c r="AU97" s="79"/>
      <c r="AV97" s="79"/>
      <c r="AW97" s="79"/>
      <c r="AX97" s="79"/>
      <c r="AY97" s="79"/>
      <c r="AZ97" s="79"/>
      <c r="BA97" s="79"/>
      <c r="BB97" s="79"/>
      <c r="BC97">
        <v>2</v>
      </c>
      <c r="BD97" s="78" t="str">
        <f>REPLACE(INDEX(GroupVertices[Group], MATCH(Edges13[[#This Row],[Vertex 1]],GroupVertices[Vertex],0)),1,1,"")</f>
        <v>1</v>
      </c>
      <c r="BE97" s="78" t="str">
        <f>REPLACE(INDEX(GroupVertices[Group], MATCH(Edges13[[#This Row],[Vertex 2]],GroupVertices[Vertex],0)),1,1,"")</f>
        <v>1</v>
      </c>
    </row>
    <row r="98" spans="1:57" x14ac:dyDescent="0.25">
      <c r="A98" s="64" t="s">
        <v>299</v>
      </c>
      <c r="B98" s="64" t="s">
        <v>287</v>
      </c>
      <c r="C98" s="65"/>
      <c r="D98" s="66"/>
      <c r="E98" s="67"/>
      <c r="F98" s="68"/>
      <c r="G98" s="65"/>
      <c r="H98" s="69"/>
      <c r="I98" s="70"/>
      <c r="J98" s="70"/>
      <c r="K98" s="35" t="s">
        <v>66</v>
      </c>
      <c r="L98" s="77">
        <v>182</v>
      </c>
      <c r="M98" s="77"/>
      <c r="N98" s="72"/>
      <c r="O98" s="79" t="s">
        <v>339</v>
      </c>
      <c r="P98" s="81">
        <v>44407.8125</v>
      </c>
      <c r="Q98" s="79" t="s">
        <v>439</v>
      </c>
      <c r="R98" s="83" t="str">
        <f>HYPERLINK("https://firstgen.naspa.org/blog/101-ways-to-celebrate-on-nov-8")</f>
        <v>https://firstgen.naspa.org/blog/101-ways-to-celebrate-on-nov-8</v>
      </c>
      <c r="S98" s="79" t="s">
        <v>458</v>
      </c>
      <c r="T98" s="85" t="s">
        <v>505</v>
      </c>
      <c r="U98" s="79"/>
      <c r="V98" s="83" t="str">
        <f>HYPERLINK("https://pbs.twimg.com/profile_images/1323297412480262144/loo-7mMs_normal.jpg")</f>
        <v>https://pbs.twimg.com/profile_images/1323297412480262144/loo-7mMs_normal.jpg</v>
      </c>
      <c r="W98" s="81">
        <v>44407.8125</v>
      </c>
      <c r="X98" s="87">
        <v>44407</v>
      </c>
      <c r="Y98" s="85" t="s">
        <v>678</v>
      </c>
      <c r="Z98" s="83" t="str">
        <f>HYPERLINK("https://twitter.com/mycencalwestop/status/1421191363983446016")</f>
        <v>https://twitter.com/mycencalwestop/status/1421191363983446016</v>
      </c>
      <c r="AA98" s="79"/>
      <c r="AB98" s="79"/>
      <c r="AC98" s="85" t="s">
        <v>858</v>
      </c>
      <c r="AD98" s="79"/>
      <c r="AE98" s="79" t="b">
        <v>0</v>
      </c>
      <c r="AF98" s="79">
        <v>0</v>
      </c>
      <c r="AG98" s="85" t="s">
        <v>867</v>
      </c>
      <c r="AH98" s="79" t="b">
        <v>0</v>
      </c>
      <c r="AI98" s="79" t="s">
        <v>874</v>
      </c>
      <c r="AJ98" s="79"/>
      <c r="AK98" s="85" t="s">
        <v>867</v>
      </c>
      <c r="AL98" s="79" t="b">
        <v>0</v>
      </c>
      <c r="AM98" s="79">
        <v>0</v>
      </c>
      <c r="AN98" s="85" t="s">
        <v>867</v>
      </c>
      <c r="AO98" s="85" t="s">
        <v>891</v>
      </c>
      <c r="AP98" s="79" t="b">
        <v>0</v>
      </c>
      <c r="AQ98" s="85" t="s">
        <v>858</v>
      </c>
      <c r="AR98" s="79" t="s">
        <v>177</v>
      </c>
      <c r="AS98" s="79">
        <v>0</v>
      </c>
      <c r="AT98" s="79">
        <v>0</v>
      </c>
      <c r="AU98" s="79"/>
      <c r="AV98" s="79"/>
      <c r="AW98" s="79"/>
      <c r="AX98" s="79"/>
      <c r="AY98" s="79"/>
      <c r="AZ98" s="79"/>
      <c r="BA98" s="79"/>
      <c r="BB98" s="79"/>
      <c r="BC98">
        <v>2</v>
      </c>
      <c r="BD98" s="78" t="str">
        <f>REPLACE(INDEX(GroupVertices[Group], MATCH(Edges13[[#This Row],[Vertex 1]],GroupVertices[Vertex],0)),1,1,"")</f>
        <v>1</v>
      </c>
      <c r="BE98" s="78" t="str">
        <f>REPLACE(INDEX(GroupVertices[Group], MATCH(Edges13[[#This Row],[Vertex 2]],GroupVertices[Vertex],0)),1,1,"")</f>
        <v>1</v>
      </c>
    </row>
    <row r="99" spans="1:57" x14ac:dyDescent="0.25">
      <c r="A99" s="64" t="s">
        <v>299</v>
      </c>
      <c r="B99" s="64" t="s">
        <v>335</v>
      </c>
      <c r="C99" s="65"/>
      <c r="D99" s="66"/>
      <c r="E99" s="67"/>
      <c r="F99" s="68"/>
      <c r="G99" s="65"/>
      <c r="H99" s="69"/>
      <c r="I99" s="70"/>
      <c r="J99" s="70"/>
      <c r="K99" s="35" t="s">
        <v>65</v>
      </c>
      <c r="L99" s="77">
        <v>204</v>
      </c>
      <c r="M99" s="77"/>
      <c r="N99" s="72"/>
      <c r="O99" s="79" t="s">
        <v>339</v>
      </c>
      <c r="P99" s="81">
        <v>44407.733564814815</v>
      </c>
      <c r="Q99" s="79" t="s">
        <v>436</v>
      </c>
      <c r="R99" s="83" t="str">
        <f>HYPERLINK("https://twitter.com/coetalk/status/1421161509527474187")</f>
        <v>https://twitter.com/coetalk/status/1421161509527474187</v>
      </c>
      <c r="S99" s="79" t="s">
        <v>449</v>
      </c>
      <c r="T99" s="85" t="s">
        <v>461</v>
      </c>
      <c r="U99" s="79"/>
      <c r="V99" s="83" t="str">
        <f>HYPERLINK("https://pbs.twimg.com/profile_images/1323297412480262144/loo-7mMs_normal.jpg")</f>
        <v>https://pbs.twimg.com/profile_images/1323297412480262144/loo-7mMs_normal.jpg</v>
      </c>
      <c r="W99" s="81">
        <v>44407.733564814815</v>
      </c>
      <c r="X99" s="87">
        <v>44407</v>
      </c>
      <c r="Y99" s="85" t="s">
        <v>675</v>
      </c>
      <c r="Z99" s="83" t="str">
        <f>HYPERLINK("https://twitter.com/mycencalwestop/status/1421162760293867525")</f>
        <v>https://twitter.com/mycencalwestop/status/1421162760293867525</v>
      </c>
      <c r="AA99" s="79"/>
      <c r="AB99" s="79"/>
      <c r="AC99" s="85" t="s">
        <v>855</v>
      </c>
      <c r="AD99" s="79"/>
      <c r="AE99" s="79" t="b">
        <v>0</v>
      </c>
      <c r="AF99" s="79">
        <v>3</v>
      </c>
      <c r="AG99" s="85" t="s">
        <v>867</v>
      </c>
      <c r="AH99" s="79" t="b">
        <v>1</v>
      </c>
      <c r="AI99" s="79" t="s">
        <v>874</v>
      </c>
      <c r="AJ99" s="79"/>
      <c r="AK99" s="85" t="s">
        <v>836</v>
      </c>
      <c r="AL99" s="79" t="b">
        <v>0</v>
      </c>
      <c r="AM99" s="79">
        <v>1</v>
      </c>
      <c r="AN99" s="85" t="s">
        <v>867</v>
      </c>
      <c r="AO99" s="85" t="s">
        <v>889</v>
      </c>
      <c r="AP99" s="79" t="b">
        <v>0</v>
      </c>
      <c r="AQ99" s="85" t="s">
        <v>855</v>
      </c>
      <c r="AR99" s="79" t="s">
        <v>177</v>
      </c>
      <c r="AS99" s="79">
        <v>0</v>
      </c>
      <c r="AT99" s="79">
        <v>0</v>
      </c>
      <c r="AU99" s="79"/>
      <c r="AV99" s="79"/>
      <c r="AW99" s="79"/>
      <c r="AX99" s="79"/>
      <c r="AY99" s="79"/>
      <c r="AZ99" s="79"/>
      <c r="BA99" s="79"/>
      <c r="BB99" s="79"/>
      <c r="BC99">
        <v>1</v>
      </c>
      <c r="BD99" s="78" t="str">
        <f>REPLACE(INDEX(GroupVertices[Group], MATCH(Edges13[[#This Row],[Vertex 1]],GroupVertices[Vertex],0)),1,1,"")</f>
        <v>1</v>
      </c>
      <c r="BE99" s="78" t="str">
        <f>REPLACE(INDEX(GroupVertices[Group], MATCH(Edges13[[#This Row],[Vertex 2]],GroupVertices[Vertex],0)),1,1,"")</f>
        <v>1</v>
      </c>
    </row>
    <row r="100" spans="1:57" x14ac:dyDescent="0.25">
      <c r="A100" s="64" t="s">
        <v>287</v>
      </c>
      <c r="B100" s="64" t="s">
        <v>335</v>
      </c>
      <c r="C100" s="65"/>
      <c r="D100" s="66"/>
      <c r="E100" s="67"/>
      <c r="F100" s="68"/>
      <c r="G100" s="65"/>
      <c r="H100" s="69"/>
      <c r="I100" s="70"/>
      <c r="J100" s="70"/>
      <c r="K100" s="35" t="s">
        <v>65</v>
      </c>
      <c r="L100" s="77">
        <v>205</v>
      </c>
      <c r="M100" s="77"/>
      <c r="N100" s="72"/>
      <c r="O100" s="79" t="s">
        <v>337</v>
      </c>
      <c r="P100" s="81">
        <v>44407.746261574073</v>
      </c>
      <c r="Q100" s="79" t="s">
        <v>436</v>
      </c>
      <c r="R100" s="83" t="str">
        <f>HYPERLINK("https://twitter.com/coetalk/status/1421161509527474187")</f>
        <v>https://twitter.com/coetalk/status/1421161509527474187</v>
      </c>
      <c r="S100" s="79" t="s">
        <v>449</v>
      </c>
      <c r="T100" s="85" t="s">
        <v>461</v>
      </c>
      <c r="U100" s="79"/>
      <c r="V100" s="83" t="str">
        <f>HYPERLINK("https://pbs.twimg.com/profile_images/1311001884824604676/RVdli881_normal.png")</f>
        <v>https://pbs.twimg.com/profile_images/1311001884824604676/RVdli881_normal.png</v>
      </c>
      <c r="W100" s="81">
        <v>44407.746261574073</v>
      </c>
      <c r="X100" s="87">
        <v>44407</v>
      </c>
      <c r="Y100" s="85" t="s">
        <v>674</v>
      </c>
      <c r="Z100" s="83" t="str">
        <f>HYPERLINK("https://twitter.com/coetalk/status/1421167361252528137")</f>
        <v>https://twitter.com/coetalk/status/1421167361252528137</v>
      </c>
      <c r="AA100" s="79"/>
      <c r="AB100" s="79"/>
      <c r="AC100" s="85" t="s">
        <v>854</v>
      </c>
      <c r="AD100" s="79"/>
      <c r="AE100" s="79" t="b">
        <v>0</v>
      </c>
      <c r="AF100" s="79">
        <v>0</v>
      </c>
      <c r="AG100" s="85" t="s">
        <v>867</v>
      </c>
      <c r="AH100" s="79" t="b">
        <v>1</v>
      </c>
      <c r="AI100" s="79" t="s">
        <v>874</v>
      </c>
      <c r="AJ100" s="79"/>
      <c r="AK100" s="85" t="s">
        <v>836</v>
      </c>
      <c r="AL100" s="79" t="b">
        <v>0</v>
      </c>
      <c r="AM100" s="79">
        <v>1</v>
      </c>
      <c r="AN100" s="85" t="s">
        <v>855</v>
      </c>
      <c r="AO100" s="85" t="s">
        <v>883</v>
      </c>
      <c r="AP100" s="79" t="b">
        <v>0</v>
      </c>
      <c r="AQ100" s="85" t="s">
        <v>855</v>
      </c>
      <c r="AR100" s="79" t="s">
        <v>177</v>
      </c>
      <c r="AS100" s="79">
        <v>0</v>
      </c>
      <c r="AT100" s="79">
        <v>0</v>
      </c>
      <c r="AU100" s="79"/>
      <c r="AV100" s="79"/>
      <c r="AW100" s="79"/>
      <c r="AX100" s="79"/>
      <c r="AY100" s="79"/>
      <c r="AZ100" s="79"/>
      <c r="BA100" s="79"/>
      <c r="BB100" s="79"/>
      <c r="BC100">
        <v>1</v>
      </c>
      <c r="BD100" s="78" t="str">
        <f>REPLACE(INDEX(GroupVertices[Group], MATCH(Edges13[[#This Row],[Vertex 1]],GroupVertices[Vertex],0)),1,1,"")</f>
        <v>1</v>
      </c>
      <c r="BE100" s="78" t="str">
        <f>REPLACE(INDEX(GroupVertices[Group], MATCH(Edges13[[#This Row],[Vertex 2]],GroupVertices[Vertex],0)),1,1,"")</f>
        <v>1</v>
      </c>
    </row>
    <row r="101" spans="1:57" x14ac:dyDescent="0.25">
      <c r="A101" s="64" t="s">
        <v>235</v>
      </c>
      <c r="B101" s="64" t="s">
        <v>235</v>
      </c>
      <c r="C101" s="65"/>
      <c r="D101" s="66"/>
      <c r="E101" s="67"/>
      <c r="F101" s="68"/>
      <c r="G101" s="65"/>
      <c r="H101" s="69"/>
      <c r="I101" s="70"/>
      <c r="J101" s="70"/>
      <c r="K101" s="35" t="s">
        <v>65</v>
      </c>
      <c r="L101" s="77">
        <v>206</v>
      </c>
      <c r="M101" s="77"/>
      <c r="N101" s="72"/>
      <c r="O101" s="79" t="s">
        <v>177</v>
      </c>
      <c r="P101" s="81">
        <v>44404.841203703705</v>
      </c>
      <c r="Q101" s="79" t="s">
        <v>355</v>
      </c>
      <c r="R101" s="79"/>
      <c r="S101" s="79"/>
      <c r="T101" s="85" t="s">
        <v>472</v>
      </c>
      <c r="U101" s="83" t="str">
        <f>HYPERLINK("https://pbs.twimg.com/media/E7VCrqgXsAMPfkw.jpg")</f>
        <v>https://pbs.twimg.com/media/E7VCrqgXsAMPfkw.jpg</v>
      </c>
      <c r="V101" s="83" t="str">
        <f>HYPERLINK("https://pbs.twimg.com/media/E7VCrqgXsAMPfkw.jpg")</f>
        <v>https://pbs.twimg.com/media/E7VCrqgXsAMPfkw.jpg</v>
      </c>
      <c r="W101" s="81">
        <v>44404.841203703705</v>
      </c>
      <c r="X101" s="87">
        <v>44404</v>
      </c>
      <c r="Y101" s="85" t="s">
        <v>529</v>
      </c>
      <c r="Z101" s="83" t="str">
        <f>HYPERLINK("https://twitter.com/txwesub/status/1420114601472139264")</f>
        <v>https://twitter.com/txwesub/status/1420114601472139264</v>
      </c>
      <c r="AA101" s="79"/>
      <c r="AB101" s="79"/>
      <c r="AC101" s="85" t="s">
        <v>706</v>
      </c>
      <c r="AD101" s="79"/>
      <c r="AE101" s="79" t="b">
        <v>0</v>
      </c>
      <c r="AF101" s="79">
        <v>0</v>
      </c>
      <c r="AG101" s="85" t="s">
        <v>867</v>
      </c>
      <c r="AH101" s="79" t="b">
        <v>0</v>
      </c>
      <c r="AI101" s="79" t="s">
        <v>874</v>
      </c>
      <c r="AJ101" s="79"/>
      <c r="AK101" s="85" t="s">
        <v>867</v>
      </c>
      <c r="AL101" s="79" t="b">
        <v>0</v>
      </c>
      <c r="AM101" s="79">
        <v>0</v>
      </c>
      <c r="AN101" s="85" t="s">
        <v>867</v>
      </c>
      <c r="AO101" s="85" t="s">
        <v>882</v>
      </c>
      <c r="AP101" s="79" t="b">
        <v>0</v>
      </c>
      <c r="AQ101" s="85" t="s">
        <v>706</v>
      </c>
      <c r="AR101" s="79" t="s">
        <v>177</v>
      </c>
      <c r="AS101" s="79">
        <v>0</v>
      </c>
      <c r="AT101" s="79">
        <v>0</v>
      </c>
      <c r="AU101" s="79"/>
      <c r="AV101" s="79"/>
      <c r="AW101" s="79"/>
      <c r="AX101" s="79"/>
      <c r="AY101" s="79"/>
      <c r="AZ101" s="79"/>
      <c r="BA101" s="79"/>
      <c r="BB101" s="79"/>
      <c r="BC101">
        <v>1</v>
      </c>
      <c r="BD101" s="78" t="str">
        <f>REPLACE(INDEX(GroupVertices[Group], MATCH(Edges13[[#This Row],[Vertex 1]],GroupVertices[Vertex],0)),1,1,"")</f>
        <v>5</v>
      </c>
      <c r="BE101" s="78" t="str">
        <f>REPLACE(INDEX(GroupVertices[Group], MATCH(Edges13[[#This Row],[Vertex 2]],GroupVertices[Vertex],0)),1,1,"")</f>
        <v>5</v>
      </c>
    </row>
    <row r="102" spans="1:57" x14ac:dyDescent="0.25">
      <c r="A102" s="64" t="s">
        <v>259</v>
      </c>
      <c r="B102" s="64" t="s">
        <v>318</v>
      </c>
      <c r="C102" s="65"/>
      <c r="D102" s="66"/>
      <c r="E102" s="67"/>
      <c r="F102" s="68"/>
      <c r="G102" s="65"/>
      <c r="H102" s="69"/>
      <c r="I102" s="70"/>
      <c r="J102" s="70"/>
      <c r="K102" s="35" t="s">
        <v>65</v>
      </c>
      <c r="L102" s="77">
        <v>207</v>
      </c>
      <c r="M102" s="77"/>
      <c r="N102" s="72"/>
      <c r="O102" s="79" t="s">
        <v>339</v>
      </c>
      <c r="P102" s="81">
        <v>44405.562175925923</v>
      </c>
      <c r="Q102" s="79" t="s">
        <v>362</v>
      </c>
      <c r="R102" s="79"/>
      <c r="S102" s="79"/>
      <c r="T102" s="85" t="s">
        <v>476</v>
      </c>
      <c r="U102" s="83" t="str">
        <f>HYPERLINK("https://pbs.twimg.com/media/E7YwUeiXEAY8jJj.jpg")</f>
        <v>https://pbs.twimg.com/media/E7YwUeiXEAY8jJj.jpg</v>
      </c>
      <c r="V102" s="83" t="str">
        <f>HYPERLINK("https://pbs.twimg.com/media/E7YwUeiXEAY8jJj.jpg")</f>
        <v>https://pbs.twimg.com/media/E7YwUeiXEAY8jJj.jpg</v>
      </c>
      <c r="W102" s="81">
        <v>44405.562175925923</v>
      </c>
      <c r="X102" s="87">
        <v>44405</v>
      </c>
      <c r="Y102" s="85" t="s">
        <v>556</v>
      </c>
      <c r="Z102" s="83" t="str">
        <f>HYPERLINK("https://twitter.com/ub_trio_sjc/status/1420375875250442245")</f>
        <v>https://twitter.com/ub_trio_sjc/status/1420375875250442245</v>
      </c>
      <c r="AA102" s="79"/>
      <c r="AB102" s="79"/>
      <c r="AC102" s="85" t="s">
        <v>735</v>
      </c>
      <c r="AD102" s="79"/>
      <c r="AE102" s="79" t="b">
        <v>0</v>
      </c>
      <c r="AF102" s="79">
        <v>0</v>
      </c>
      <c r="AG102" s="85" t="s">
        <v>867</v>
      </c>
      <c r="AH102" s="79" t="b">
        <v>0</v>
      </c>
      <c r="AI102" s="79" t="s">
        <v>874</v>
      </c>
      <c r="AJ102" s="79"/>
      <c r="AK102" s="85" t="s">
        <v>867</v>
      </c>
      <c r="AL102" s="79" t="b">
        <v>0</v>
      </c>
      <c r="AM102" s="79">
        <v>0</v>
      </c>
      <c r="AN102" s="85" t="s">
        <v>867</v>
      </c>
      <c r="AO102" s="85" t="s">
        <v>887</v>
      </c>
      <c r="AP102" s="79" t="b">
        <v>0</v>
      </c>
      <c r="AQ102" s="85" t="s">
        <v>735</v>
      </c>
      <c r="AR102" s="79" t="s">
        <v>177</v>
      </c>
      <c r="AS102" s="79">
        <v>0</v>
      </c>
      <c r="AT102" s="79">
        <v>0</v>
      </c>
      <c r="AU102" s="79"/>
      <c r="AV102" s="79"/>
      <c r="AW102" s="79"/>
      <c r="AX102" s="79"/>
      <c r="AY102" s="79"/>
      <c r="AZ102" s="79"/>
      <c r="BA102" s="79"/>
      <c r="BB102" s="79"/>
      <c r="BC102">
        <v>1</v>
      </c>
      <c r="BD102" s="78" t="str">
        <f>REPLACE(INDEX(GroupVertices[Group], MATCH(Edges13[[#This Row],[Vertex 1]],GroupVertices[Vertex],0)),1,1,"")</f>
        <v>10</v>
      </c>
      <c r="BE102" s="78" t="str">
        <f>REPLACE(INDEX(GroupVertices[Group], MATCH(Edges13[[#This Row],[Vertex 2]],GroupVertices[Vertex],0)),1,1,"")</f>
        <v>10</v>
      </c>
    </row>
    <row r="103" spans="1:57" x14ac:dyDescent="0.25">
      <c r="A103" s="64" t="s">
        <v>223</v>
      </c>
      <c r="B103" s="64" t="s">
        <v>223</v>
      </c>
      <c r="C103" s="65"/>
      <c r="D103" s="66"/>
      <c r="E103" s="67"/>
      <c r="F103" s="68"/>
      <c r="G103" s="65"/>
      <c r="H103" s="69"/>
      <c r="I103" s="70"/>
      <c r="J103" s="70"/>
      <c r="K103" s="35" t="s">
        <v>65</v>
      </c>
      <c r="L103" s="77">
        <v>208</v>
      </c>
      <c r="M103" s="77"/>
      <c r="N103" s="72"/>
      <c r="O103" s="79" t="s">
        <v>177</v>
      </c>
      <c r="P103" s="81">
        <v>44403.750173611108</v>
      </c>
      <c r="Q103" s="79" t="s">
        <v>346</v>
      </c>
      <c r="R103" s="79"/>
      <c r="S103" s="79"/>
      <c r="T103" s="85" t="s">
        <v>461</v>
      </c>
      <c r="U103" s="83" t="str">
        <f>HYPERLINK("https://pbs.twimg.com/media/E7PbHPkX0AMYcaV.jpg")</f>
        <v>https://pbs.twimg.com/media/E7PbHPkX0AMYcaV.jpg</v>
      </c>
      <c r="V103" s="83" t="str">
        <f>HYPERLINK("https://pbs.twimg.com/media/E7PbHPkX0AMYcaV.jpg")</f>
        <v>https://pbs.twimg.com/media/E7PbHPkX0AMYcaV.jpg</v>
      </c>
      <c r="W103" s="81">
        <v>44403.750173611108</v>
      </c>
      <c r="X103" s="87">
        <v>44403</v>
      </c>
      <c r="Y103" s="85" t="s">
        <v>517</v>
      </c>
      <c r="Z103" s="83" t="str">
        <f>HYPERLINK("https://twitter.com/tseoc_psu/status/1419719227439816705")</f>
        <v>https://twitter.com/tseoc_psu/status/1419719227439816705</v>
      </c>
      <c r="AA103" s="79"/>
      <c r="AB103" s="79"/>
      <c r="AC103" s="85" t="s">
        <v>693</v>
      </c>
      <c r="AD103" s="79"/>
      <c r="AE103" s="79" t="b">
        <v>0</v>
      </c>
      <c r="AF103" s="79">
        <v>0</v>
      </c>
      <c r="AG103" s="85" t="s">
        <v>867</v>
      </c>
      <c r="AH103" s="79" t="b">
        <v>0</v>
      </c>
      <c r="AI103" s="79" t="s">
        <v>874</v>
      </c>
      <c r="AJ103" s="79"/>
      <c r="AK103" s="85" t="s">
        <v>867</v>
      </c>
      <c r="AL103" s="79" t="b">
        <v>0</v>
      </c>
      <c r="AM103" s="79">
        <v>0</v>
      </c>
      <c r="AN103" s="85" t="s">
        <v>867</v>
      </c>
      <c r="AO103" s="85" t="s">
        <v>885</v>
      </c>
      <c r="AP103" s="79" t="b">
        <v>0</v>
      </c>
      <c r="AQ103" s="85" t="s">
        <v>693</v>
      </c>
      <c r="AR103" s="79" t="s">
        <v>177</v>
      </c>
      <c r="AS103" s="79">
        <v>0</v>
      </c>
      <c r="AT103" s="79">
        <v>0</v>
      </c>
      <c r="AU103" s="79"/>
      <c r="AV103" s="79"/>
      <c r="AW103" s="79"/>
      <c r="AX103" s="79"/>
      <c r="AY103" s="79"/>
      <c r="AZ103" s="79"/>
      <c r="BA103" s="79"/>
      <c r="BB103" s="79"/>
      <c r="BC103">
        <v>1</v>
      </c>
      <c r="BD103" s="78" t="str">
        <f>REPLACE(INDEX(GroupVertices[Group], MATCH(Edges13[[#This Row],[Vertex 1]],GroupVertices[Vertex],0)),1,1,"")</f>
        <v>5</v>
      </c>
      <c r="BE103" s="78" t="str">
        <f>REPLACE(INDEX(GroupVertices[Group], MATCH(Edges13[[#This Row],[Vertex 2]],GroupVertices[Vertex],0)),1,1,"")</f>
        <v>5</v>
      </c>
    </row>
    <row r="104" spans="1:57" x14ac:dyDescent="0.25">
      <c r="A104" s="64" t="s">
        <v>229</v>
      </c>
      <c r="B104" s="64" t="s">
        <v>229</v>
      </c>
      <c r="C104" s="65"/>
      <c r="D104" s="66"/>
      <c r="E104" s="67"/>
      <c r="F104" s="68"/>
      <c r="G104" s="65"/>
      <c r="H104" s="69"/>
      <c r="I104" s="70"/>
      <c r="J104" s="70"/>
      <c r="K104" s="35" t="s">
        <v>65</v>
      </c>
      <c r="L104" s="77">
        <v>210</v>
      </c>
      <c r="M104" s="77"/>
      <c r="N104" s="72"/>
      <c r="O104" s="79" t="s">
        <v>177</v>
      </c>
      <c r="P104" s="81">
        <v>44403.847916666666</v>
      </c>
      <c r="Q104" s="79" t="s">
        <v>350</v>
      </c>
      <c r="R104" s="79"/>
      <c r="S104" s="79"/>
      <c r="T104" s="85" t="s">
        <v>467</v>
      </c>
      <c r="U104" s="83" t="str">
        <f>HYPERLINK("https://pbs.twimg.com/media/E7P7VAlXMAQHTSU.jpg")</f>
        <v>https://pbs.twimg.com/media/E7P7VAlXMAQHTSU.jpg</v>
      </c>
      <c r="V104" s="83" t="str">
        <f>HYPERLINK("https://pbs.twimg.com/media/E7P7VAlXMAQHTSU.jpg")</f>
        <v>https://pbs.twimg.com/media/E7P7VAlXMAQHTSU.jpg</v>
      </c>
      <c r="W104" s="81">
        <v>44403.847916666666</v>
      </c>
      <c r="X104" s="87">
        <v>44403</v>
      </c>
      <c r="Y104" s="85" t="s">
        <v>523</v>
      </c>
      <c r="Z104" s="83" t="str">
        <f>HYPERLINK("https://twitter.com/triosssmur/status/1419754647707865092")</f>
        <v>https://twitter.com/triosssmur/status/1419754647707865092</v>
      </c>
      <c r="AA104" s="79"/>
      <c r="AB104" s="79"/>
      <c r="AC104" s="85" t="s">
        <v>699</v>
      </c>
      <c r="AD104" s="79"/>
      <c r="AE104" s="79" t="b">
        <v>0</v>
      </c>
      <c r="AF104" s="79">
        <v>1</v>
      </c>
      <c r="AG104" s="85" t="s">
        <v>867</v>
      </c>
      <c r="AH104" s="79" t="b">
        <v>0</v>
      </c>
      <c r="AI104" s="79" t="s">
        <v>874</v>
      </c>
      <c r="AJ104" s="79"/>
      <c r="AK104" s="85" t="s">
        <v>867</v>
      </c>
      <c r="AL104" s="79" t="b">
        <v>0</v>
      </c>
      <c r="AM104" s="79">
        <v>1</v>
      </c>
      <c r="AN104" s="85" t="s">
        <v>867</v>
      </c>
      <c r="AO104" s="85" t="s">
        <v>888</v>
      </c>
      <c r="AP104" s="79" t="b">
        <v>0</v>
      </c>
      <c r="AQ104" s="85" t="s">
        <v>699</v>
      </c>
      <c r="AR104" s="79" t="s">
        <v>177</v>
      </c>
      <c r="AS104" s="79">
        <v>0</v>
      </c>
      <c r="AT104" s="79">
        <v>0</v>
      </c>
      <c r="AU104" s="79"/>
      <c r="AV104" s="79"/>
      <c r="AW104" s="79"/>
      <c r="AX104" s="79"/>
      <c r="AY104" s="79"/>
      <c r="AZ104" s="79"/>
      <c r="BA104" s="79"/>
      <c r="BB104" s="79"/>
      <c r="BC104">
        <v>1</v>
      </c>
      <c r="BD104" s="78" t="str">
        <f>REPLACE(INDEX(GroupVertices[Group], MATCH(Edges13[[#This Row],[Vertex 1]],GroupVertices[Vertex],0)),1,1,"")</f>
        <v>17</v>
      </c>
      <c r="BE104" s="78" t="str">
        <f>REPLACE(INDEX(GroupVertices[Group], MATCH(Edges13[[#This Row],[Vertex 2]],GroupVertices[Vertex],0)),1,1,"")</f>
        <v>17</v>
      </c>
    </row>
    <row r="105" spans="1:57" x14ac:dyDescent="0.25">
      <c r="A105" s="64" t="s">
        <v>230</v>
      </c>
      <c r="B105" s="64" t="s">
        <v>229</v>
      </c>
      <c r="C105" s="65"/>
      <c r="D105" s="66"/>
      <c r="E105" s="67"/>
      <c r="F105" s="68"/>
      <c r="G105" s="65"/>
      <c r="H105" s="69"/>
      <c r="I105" s="70"/>
      <c r="J105" s="70"/>
      <c r="K105" s="35" t="s">
        <v>65</v>
      </c>
      <c r="L105" s="77">
        <v>211</v>
      </c>
      <c r="M105" s="77"/>
      <c r="N105" s="72"/>
      <c r="O105" s="79" t="s">
        <v>338</v>
      </c>
      <c r="P105" s="81">
        <v>44404.597905092596</v>
      </c>
      <c r="Q105" s="79" t="s">
        <v>350</v>
      </c>
      <c r="R105" s="79"/>
      <c r="S105" s="79"/>
      <c r="T105" s="85" t="s">
        <v>467</v>
      </c>
      <c r="U105" s="83" t="str">
        <f>HYPERLINK("https://pbs.twimg.com/media/E7P7VAlXMAQHTSU.jpg")</f>
        <v>https://pbs.twimg.com/media/E7P7VAlXMAQHTSU.jpg</v>
      </c>
      <c r="V105" s="83" t="str">
        <f>HYPERLINK("https://pbs.twimg.com/media/E7P7VAlXMAQHTSU.jpg")</f>
        <v>https://pbs.twimg.com/media/E7P7VAlXMAQHTSU.jpg</v>
      </c>
      <c r="W105" s="81">
        <v>44404.597905092596</v>
      </c>
      <c r="X105" s="87">
        <v>44404</v>
      </c>
      <c r="Y105" s="85" t="s">
        <v>524</v>
      </c>
      <c r="Z105" s="83" t="str">
        <f>HYPERLINK("https://twitter.com/muhlibrary/status/1420026436602245131")</f>
        <v>https://twitter.com/muhlibrary/status/1420026436602245131</v>
      </c>
      <c r="AA105" s="79"/>
      <c r="AB105" s="79"/>
      <c r="AC105" s="85" t="s">
        <v>700</v>
      </c>
      <c r="AD105" s="79"/>
      <c r="AE105" s="79" t="b">
        <v>0</v>
      </c>
      <c r="AF105" s="79">
        <v>0</v>
      </c>
      <c r="AG105" s="85" t="s">
        <v>867</v>
      </c>
      <c r="AH105" s="79" t="b">
        <v>0</v>
      </c>
      <c r="AI105" s="79" t="s">
        <v>874</v>
      </c>
      <c r="AJ105" s="79"/>
      <c r="AK105" s="85" t="s">
        <v>867</v>
      </c>
      <c r="AL105" s="79" t="b">
        <v>0</v>
      </c>
      <c r="AM105" s="79">
        <v>1</v>
      </c>
      <c r="AN105" s="85" t="s">
        <v>699</v>
      </c>
      <c r="AO105" s="85" t="s">
        <v>889</v>
      </c>
      <c r="AP105" s="79" t="b">
        <v>0</v>
      </c>
      <c r="AQ105" s="85" t="s">
        <v>699</v>
      </c>
      <c r="AR105" s="79" t="s">
        <v>177</v>
      </c>
      <c r="AS105" s="79">
        <v>0</v>
      </c>
      <c r="AT105" s="79">
        <v>0</v>
      </c>
      <c r="AU105" s="79"/>
      <c r="AV105" s="79"/>
      <c r="AW105" s="79"/>
      <c r="AX105" s="79"/>
      <c r="AY105" s="79"/>
      <c r="AZ105" s="79"/>
      <c r="BA105" s="79"/>
      <c r="BB105" s="79"/>
      <c r="BC105">
        <v>1</v>
      </c>
      <c r="BD105" s="78" t="str">
        <f>REPLACE(INDEX(GroupVertices[Group], MATCH(Edges13[[#This Row],[Vertex 1]],GroupVertices[Vertex],0)),1,1,"")</f>
        <v>17</v>
      </c>
      <c r="BE105" s="78" t="str">
        <f>REPLACE(INDEX(GroupVertices[Group], MATCH(Edges13[[#This Row],[Vertex 2]],GroupVertices[Vertex],0)),1,1,"")</f>
        <v>17</v>
      </c>
    </row>
    <row r="106" spans="1:57" x14ac:dyDescent="0.25">
      <c r="A106" s="64" t="s">
        <v>226</v>
      </c>
      <c r="B106" s="64" t="s">
        <v>226</v>
      </c>
      <c r="C106" s="65"/>
      <c r="D106" s="66"/>
      <c r="E106" s="67"/>
      <c r="F106" s="68"/>
      <c r="G106" s="65"/>
      <c r="H106" s="69"/>
      <c r="I106" s="70"/>
      <c r="J106" s="70"/>
      <c r="K106" s="35" t="s">
        <v>65</v>
      </c>
      <c r="L106" s="77">
        <v>212</v>
      </c>
      <c r="M106" s="77"/>
      <c r="N106" s="72"/>
      <c r="O106" s="79" t="s">
        <v>177</v>
      </c>
      <c r="P106" s="81">
        <v>44404.096550925926</v>
      </c>
      <c r="Q106" s="79" t="s">
        <v>349</v>
      </c>
      <c r="R106" s="83" t="str">
        <f>HYPERLINK("https://twitter.com/AtlTechCollege/status/1419761172425973767")</f>
        <v>https://twitter.com/AtlTechCollege/status/1419761172425973767</v>
      </c>
      <c r="S106" s="79" t="s">
        <v>449</v>
      </c>
      <c r="T106" s="85" t="s">
        <v>466</v>
      </c>
      <c r="U106" s="79"/>
      <c r="V106" s="83" t="str">
        <f>HYPERLINK("https://pbs.twimg.com/profile_images/1286419127394086912/BI7i855s_normal.jpg")</f>
        <v>https://pbs.twimg.com/profile_images/1286419127394086912/BI7i855s_normal.jpg</v>
      </c>
      <c r="W106" s="81">
        <v>44404.096550925926</v>
      </c>
      <c r="X106" s="87">
        <v>44404</v>
      </c>
      <c r="Y106" s="85" t="s">
        <v>520</v>
      </c>
      <c r="Z106" s="83" t="str">
        <f>HYPERLINK("https://twitter.com/trioperks/status/1419844751839399936")</f>
        <v>https://twitter.com/trioperks/status/1419844751839399936</v>
      </c>
      <c r="AA106" s="79"/>
      <c r="AB106" s="79"/>
      <c r="AC106" s="85" t="s">
        <v>696</v>
      </c>
      <c r="AD106" s="79"/>
      <c r="AE106" s="79" t="b">
        <v>0</v>
      </c>
      <c r="AF106" s="79">
        <v>2</v>
      </c>
      <c r="AG106" s="85" t="s">
        <v>867</v>
      </c>
      <c r="AH106" s="79" t="b">
        <v>1</v>
      </c>
      <c r="AI106" s="79" t="s">
        <v>875</v>
      </c>
      <c r="AJ106" s="79"/>
      <c r="AK106" s="85" t="s">
        <v>880</v>
      </c>
      <c r="AL106" s="79" t="b">
        <v>0</v>
      </c>
      <c r="AM106" s="79">
        <v>0</v>
      </c>
      <c r="AN106" s="85" t="s">
        <v>867</v>
      </c>
      <c r="AO106" s="85" t="s">
        <v>887</v>
      </c>
      <c r="AP106" s="79" t="b">
        <v>0</v>
      </c>
      <c r="AQ106" s="85" t="s">
        <v>696</v>
      </c>
      <c r="AR106" s="79" t="s">
        <v>177</v>
      </c>
      <c r="AS106" s="79">
        <v>0</v>
      </c>
      <c r="AT106" s="79">
        <v>0</v>
      </c>
      <c r="AU106" s="79"/>
      <c r="AV106" s="79"/>
      <c r="AW106" s="79"/>
      <c r="AX106" s="79"/>
      <c r="AY106" s="79"/>
      <c r="AZ106" s="79"/>
      <c r="BA106" s="79"/>
      <c r="BB106" s="79"/>
      <c r="BC106">
        <v>1</v>
      </c>
      <c r="BD106" s="78" t="str">
        <f>REPLACE(INDEX(GroupVertices[Group], MATCH(Edges13[[#This Row],[Vertex 1]],GroupVertices[Vertex],0)),1,1,"")</f>
        <v>5</v>
      </c>
      <c r="BE106" s="78" t="str">
        <f>REPLACE(INDEX(GroupVertices[Group], MATCH(Edges13[[#This Row],[Vertex 2]],GroupVertices[Vertex],0)),1,1,"")</f>
        <v>5</v>
      </c>
    </row>
    <row r="107" spans="1:57" x14ac:dyDescent="0.25">
      <c r="A107" s="64" t="s">
        <v>261</v>
      </c>
      <c r="B107" s="64" t="s">
        <v>319</v>
      </c>
      <c r="C107" s="65"/>
      <c r="D107" s="66"/>
      <c r="E107" s="67"/>
      <c r="F107" s="68"/>
      <c r="G107" s="65"/>
      <c r="H107" s="69"/>
      <c r="I107" s="70"/>
      <c r="J107" s="70"/>
      <c r="K107" s="35" t="s">
        <v>65</v>
      </c>
      <c r="L107" s="77">
        <v>213</v>
      </c>
      <c r="M107" s="77"/>
      <c r="N107" s="72"/>
      <c r="O107" s="79" t="s">
        <v>339</v>
      </c>
      <c r="P107" s="81">
        <v>44404.678043981483</v>
      </c>
      <c r="Q107" s="79" t="s">
        <v>364</v>
      </c>
      <c r="R107" s="83" t="str">
        <f>HYPERLINK("https://www.youtube.com/watch?v=a9yZSmT6fwM&amp;feature=youtu.be")</f>
        <v>https://www.youtube.com/watch?v=a9yZSmT6fwM&amp;feature=youtu.be</v>
      </c>
      <c r="S107" s="79" t="s">
        <v>450</v>
      </c>
      <c r="T107" s="85" t="s">
        <v>477</v>
      </c>
      <c r="U107" s="79"/>
      <c r="V107" s="83" t="str">
        <f>HYPERLINK("https://pbs.twimg.com/profile_images/1409551882087960582/EN_K-fIZ_normal.jpg")</f>
        <v>https://pbs.twimg.com/profile_images/1409551882087960582/EN_K-fIZ_normal.jpg</v>
      </c>
      <c r="W107" s="81">
        <v>44404.678043981483</v>
      </c>
      <c r="X107" s="87">
        <v>44404</v>
      </c>
      <c r="Y107" s="85" t="s">
        <v>559</v>
      </c>
      <c r="Z107" s="83" t="str">
        <f>HYPERLINK("https://twitter.com/aeeetrio/status/1420055476759408653")</f>
        <v>https://twitter.com/aeeetrio/status/1420055476759408653</v>
      </c>
      <c r="AA107" s="79"/>
      <c r="AB107" s="79"/>
      <c r="AC107" s="85" t="s">
        <v>738</v>
      </c>
      <c r="AD107" s="79"/>
      <c r="AE107" s="79" t="b">
        <v>0</v>
      </c>
      <c r="AF107" s="79">
        <v>0</v>
      </c>
      <c r="AG107" s="85" t="s">
        <v>867</v>
      </c>
      <c r="AH107" s="79" t="b">
        <v>0</v>
      </c>
      <c r="AI107" s="79" t="s">
        <v>874</v>
      </c>
      <c r="AJ107" s="79"/>
      <c r="AK107" s="85" t="s">
        <v>867</v>
      </c>
      <c r="AL107" s="79" t="b">
        <v>0</v>
      </c>
      <c r="AM107" s="79">
        <v>0</v>
      </c>
      <c r="AN107" s="85" t="s">
        <v>867</v>
      </c>
      <c r="AO107" s="85" t="s">
        <v>882</v>
      </c>
      <c r="AP107" s="79" t="b">
        <v>0</v>
      </c>
      <c r="AQ107" s="85" t="s">
        <v>738</v>
      </c>
      <c r="AR107" s="79" t="s">
        <v>177</v>
      </c>
      <c r="AS107" s="79">
        <v>0</v>
      </c>
      <c r="AT107" s="79">
        <v>0</v>
      </c>
      <c r="AU107" s="79"/>
      <c r="AV107" s="79"/>
      <c r="AW107" s="79"/>
      <c r="AX107" s="79"/>
      <c r="AY107" s="79"/>
      <c r="AZ107" s="79"/>
      <c r="BA107" s="79"/>
      <c r="BB107" s="79"/>
      <c r="BC107">
        <v>1</v>
      </c>
      <c r="BD107" s="78" t="str">
        <f>REPLACE(INDEX(GroupVertices[Group], MATCH(Edges13[[#This Row],[Vertex 1]],GroupVertices[Vertex],0)),1,1,"")</f>
        <v>8</v>
      </c>
      <c r="BE107" s="78" t="str">
        <f>REPLACE(INDEX(GroupVertices[Group], MATCH(Edges13[[#This Row],[Vertex 2]],GroupVertices[Vertex],0)),1,1,"")</f>
        <v>8</v>
      </c>
    </row>
    <row r="108" spans="1:57" x14ac:dyDescent="0.25">
      <c r="A108" s="64" t="s">
        <v>227</v>
      </c>
      <c r="B108" s="64" t="s">
        <v>303</v>
      </c>
      <c r="C108" s="65"/>
      <c r="D108" s="66"/>
      <c r="E108" s="67"/>
      <c r="F108" s="68"/>
      <c r="G108" s="65"/>
      <c r="H108" s="69"/>
      <c r="I108" s="70"/>
      <c r="J108" s="70"/>
      <c r="K108" s="35" t="s">
        <v>65</v>
      </c>
      <c r="L108" s="77">
        <v>214</v>
      </c>
      <c r="M108" s="77"/>
      <c r="N108" s="72"/>
      <c r="O108" s="79" t="s">
        <v>339</v>
      </c>
      <c r="P108" s="81">
        <v>44404.006516203706</v>
      </c>
      <c r="Q108" s="79" t="s">
        <v>348</v>
      </c>
      <c r="R108" s="79"/>
      <c r="S108" s="79"/>
      <c r="T108" s="85" t="s">
        <v>465</v>
      </c>
      <c r="U108" s="83" t="str">
        <f t="shared" ref="U108:V110" si="1">HYPERLINK("https://pbs.twimg.com/media/E7QvmeIVIAA-Iqk.jpg")</f>
        <v>https://pbs.twimg.com/media/E7QvmeIVIAA-Iqk.jpg</v>
      </c>
      <c r="V108" s="83" t="str">
        <f t="shared" si="1"/>
        <v>https://pbs.twimg.com/media/E7QvmeIVIAA-Iqk.jpg</v>
      </c>
      <c r="W108" s="81">
        <v>44404.006516203706</v>
      </c>
      <c r="X108" s="87">
        <v>44404</v>
      </c>
      <c r="Y108" s="85" t="s">
        <v>521</v>
      </c>
      <c r="Z108" s="83" t="str">
        <f>HYPERLINK("https://twitter.com/strwisescholar/status/1419812122494595075")</f>
        <v>https://twitter.com/strwisescholar/status/1419812122494595075</v>
      </c>
      <c r="AA108" s="79"/>
      <c r="AB108" s="79"/>
      <c r="AC108" s="85" t="s">
        <v>697</v>
      </c>
      <c r="AD108" s="79"/>
      <c r="AE108" s="79" t="b">
        <v>0</v>
      </c>
      <c r="AF108" s="79">
        <v>67</v>
      </c>
      <c r="AG108" s="85" t="s">
        <v>867</v>
      </c>
      <c r="AH108" s="79" t="b">
        <v>0</v>
      </c>
      <c r="AI108" s="79" t="s">
        <v>874</v>
      </c>
      <c r="AJ108" s="79"/>
      <c r="AK108" s="85" t="s">
        <v>867</v>
      </c>
      <c r="AL108" s="79" t="b">
        <v>0</v>
      </c>
      <c r="AM108" s="79">
        <v>2</v>
      </c>
      <c r="AN108" s="85" t="s">
        <v>867</v>
      </c>
      <c r="AO108" s="85" t="s">
        <v>887</v>
      </c>
      <c r="AP108" s="79" t="b">
        <v>0</v>
      </c>
      <c r="AQ108" s="85" t="s">
        <v>697</v>
      </c>
      <c r="AR108" s="79" t="s">
        <v>177</v>
      </c>
      <c r="AS108" s="79">
        <v>0</v>
      </c>
      <c r="AT108" s="79">
        <v>0</v>
      </c>
      <c r="AU108" s="79"/>
      <c r="AV108" s="79"/>
      <c r="AW108" s="79"/>
      <c r="AX108" s="79"/>
      <c r="AY108" s="79"/>
      <c r="AZ108" s="79"/>
      <c r="BA108" s="79"/>
      <c r="BB108" s="79"/>
      <c r="BC108">
        <v>1</v>
      </c>
      <c r="BD108" s="78" t="str">
        <f>REPLACE(INDEX(GroupVertices[Group], MATCH(Edges13[[#This Row],[Vertex 1]],GroupVertices[Vertex],0)),1,1,"")</f>
        <v>9</v>
      </c>
      <c r="BE108" s="78" t="str">
        <f>REPLACE(INDEX(GroupVertices[Group], MATCH(Edges13[[#This Row],[Vertex 2]],GroupVertices[Vertex],0)),1,1,"")</f>
        <v>9</v>
      </c>
    </row>
    <row r="109" spans="1:57" x14ac:dyDescent="0.25">
      <c r="A109" s="64" t="s">
        <v>225</v>
      </c>
      <c r="B109" s="64" t="s">
        <v>303</v>
      </c>
      <c r="C109" s="65"/>
      <c r="D109" s="66"/>
      <c r="E109" s="67"/>
      <c r="F109" s="68"/>
      <c r="G109" s="65"/>
      <c r="H109" s="69"/>
      <c r="I109" s="70"/>
      <c r="J109" s="70"/>
      <c r="K109" s="35" t="s">
        <v>65</v>
      </c>
      <c r="L109" s="77">
        <v>215</v>
      </c>
      <c r="M109" s="77"/>
      <c r="N109" s="72"/>
      <c r="O109" s="79" t="s">
        <v>337</v>
      </c>
      <c r="P109" s="81">
        <v>44404.084085648145</v>
      </c>
      <c r="Q109" s="79" t="s">
        <v>348</v>
      </c>
      <c r="R109" s="79"/>
      <c r="S109" s="79"/>
      <c r="T109" s="85" t="s">
        <v>465</v>
      </c>
      <c r="U109" s="83" t="str">
        <f t="shared" si="1"/>
        <v>https://pbs.twimg.com/media/E7QvmeIVIAA-Iqk.jpg</v>
      </c>
      <c r="V109" s="83" t="str">
        <f t="shared" si="1"/>
        <v>https://pbs.twimg.com/media/E7QvmeIVIAA-Iqk.jpg</v>
      </c>
      <c r="W109" s="81">
        <v>44404.084085648145</v>
      </c>
      <c r="X109" s="87">
        <v>44404</v>
      </c>
      <c r="Y109" s="85" t="s">
        <v>519</v>
      </c>
      <c r="Z109" s="83" t="str">
        <f>HYPERLINK("https://twitter.com/grodriguezlemus/status/1419840231428083712")</f>
        <v>https://twitter.com/grodriguezlemus/status/1419840231428083712</v>
      </c>
      <c r="AA109" s="79"/>
      <c r="AB109" s="79"/>
      <c r="AC109" s="85" t="s">
        <v>695</v>
      </c>
      <c r="AD109" s="79"/>
      <c r="AE109" s="79" t="b">
        <v>0</v>
      </c>
      <c r="AF109" s="79">
        <v>0</v>
      </c>
      <c r="AG109" s="85" t="s">
        <v>867</v>
      </c>
      <c r="AH109" s="79" t="b">
        <v>0</v>
      </c>
      <c r="AI109" s="79" t="s">
        <v>874</v>
      </c>
      <c r="AJ109" s="79"/>
      <c r="AK109" s="85" t="s">
        <v>867</v>
      </c>
      <c r="AL109" s="79" t="b">
        <v>0</v>
      </c>
      <c r="AM109" s="79">
        <v>2</v>
      </c>
      <c r="AN109" s="85" t="s">
        <v>697</v>
      </c>
      <c r="AO109" s="85" t="s">
        <v>883</v>
      </c>
      <c r="AP109" s="79" t="b">
        <v>0</v>
      </c>
      <c r="AQ109" s="85" t="s">
        <v>697</v>
      </c>
      <c r="AR109" s="79" t="s">
        <v>177</v>
      </c>
      <c r="AS109" s="79">
        <v>0</v>
      </c>
      <c r="AT109" s="79">
        <v>0</v>
      </c>
      <c r="AU109" s="79"/>
      <c r="AV109" s="79"/>
      <c r="AW109" s="79"/>
      <c r="AX109" s="79"/>
      <c r="AY109" s="79"/>
      <c r="AZ109" s="79"/>
      <c r="BA109" s="79"/>
      <c r="BB109" s="79"/>
      <c r="BC109">
        <v>1</v>
      </c>
      <c r="BD109" s="78" t="str">
        <f>REPLACE(INDEX(GroupVertices[Group], MATCH(Edges13[[#This Row],[Vertex 1]],GroupVertices[Vertex],0)),1,1,"")</f>
        <v>9</v>
      </c>
      <c r="BE109" s="78" t="str">
        <f>REPLACE(INDEX(GroupVertices[Group], MATCH(Edges13[[#This Row],[Vertex 2]],GroupVertices[Vertex],0)),1,1,"")</f>
        <v>9</v>
      </c>
    </row>
    <row r="110" spans="1:57" x14ac:dyDescent="0.25">
      <c r="A110" s="64" t="s">
        <v>228</v>
      </c>
      <c r="B110" s="64" t="s">
        <v>303</v>
      </c>
      <c r="C110" s="65"/>
      <c r="D110" s="66"/>
      <c r="E110" s="67"/>
      <c r="F110" s="68"/>
      <c r="G110" s="65"/>
      <c r="H110" s="69"/>
      <c r="I110" s="70"/>
      <c r="J110" s="70"/>
      <c r="K110" s="35" t="s">
        <v>65</v>
      </c>
      <c r="L110" s="77">
        <v>216</v>
      </c>
      <c r="M110" s="77"/>
      <c r="N110" s="72"/>
      <c r="O110" s="79" t="s">
        <v>337</v>
      </c>
      <c r="P110" s="81">
        <v>44404.192395833335</v>
      </c>
      <c r="Q110" s="79" t="s">
        <v>348</v>
      </c>
      <c r="R110" s="79"/>
      <c r="S110" s="79"/>
      <c r="T110" s="85" t="s">
        <v>465</v>
      </c>
      <c r="U110" s="83" t="str">
        <f t="shared" si="1"/>
        <v>https://pbs.twimg.com/media/E7QvmeIVIAA-Iqk.jpg</v>
      </c>
      <c r="V110" s="83" t="str">
        <f t="shared" si="1"/>
        <v>https://pbs.twimg.com/media/E7QvmeIVIAA-Iqk.jpg</v>
      </c>
      <c r="W110" s="81">
        <v>44404.192395833335</v>
      </c>
      <c r="X110" s="87">
        <v>44404</v>
      </c>
      <c r="Y110" s="85" t="s">
        <v>522</v>
      </c>
      <c r="Z110" s="83" t="str">
        <f>HYPERLINK("https://twitter.com/adriela95/status/1419879481385177090")</f>
        <v>https://twitter.com/adriela95/status/1419879481385177090</v>
      </c>
      <c r="AA110" s="79"/>
      <c r="AB110" s="79"/>
      <c r="AC110" s="85" t="s">
        <v>698</v>
      </c>
      <c r="AD110" s="79"/>
      <c r="AE110" s="79" t="b">
        <v>0</v>
      </c>
      <c r="AF110" s="79">
        <v>0</v>
      </c>
      <c r="AG110" s="85" t="s">
        <v>867</v>
      </c>
      <c r="AH110" s="79" t="b">
        <v>0</v>
      </c>
      <c r="AI110" s="79" t="s">
        <v>874</v>
      </c>
      <c r="AJ110" s="79"/>
      <c r="AK110" s="85" t="s">
        <v>867</v>
      </c>
      <c r="AL110" s="79" t="b">
        <v>0</v>
      </c>
      <c r="AM110" s="79">
        <v>2</v>
      </c>
      <c r="AN110" s="85" t="s">
        <v>697</v>
      </c>
      <c r="AO110" s="85" t="s">
        <v>883</v>
      </c>
      <c r="AP110" s="79" t="b">
        <v>0</v>
      </c>
      <c r="AQ110" s="85" t="s">
        <v>697</v>
      </c>
      <c r="AR110" s="79" t="s">
        <v>177</v>
      </c>
      <c r="AS110" s="79">
        <v>0</v>
      </c>
      <c r="AT110" s="79">
        <v>0</v>
      </c>
      <c r="AU110" s="79"/>
      <c r="AV110" s="79"/>
      <c r="AW110" s="79"/>
      <c r="AX110" s="79"/>
      <c r="AY110" s="79"/>
      <c r="AZ110" s="79"/>
      <c r="BA110" s="79"/>
      <c r="BB110" s="79"/>
      <c r="BC110">
        <v>1</v>
      </c>
      <c r="BD110" s="78" t="str">
        <f>REPLACE(INDEX(GroupVertices[Group], MATCH(Edges13[[#This Row],[Vertex 1]],GroupVertices[Vertex],0)),1,1,"")</f>
        <v>9</v>
      </c>
      <c r="BE110" s="78" t="str">
        <f>REPLACE(INDEX(GroupVertices[Group], MATCH(Edges13[[#This Row],[Vertex 2]],GroupVertices[Vertex],0)),1,1,"")</f>
        <v>9</v>
      </c>
    </row>
    <row r="111" spans="1:57" x14ac:dyDescent="0.25">
      <c r="A111" s="64" t="s">
        <v>284</v>
      </c>
      <c r="B111" s="64" t="s">
        <v>284</v>
      </c>
      <c r="C111" s="65"/>
      <c r="D111" s="66"/>
      <c r="E111" s="67"/>
      <c r="F111" s="68"/>
      <c r="G111" s="65"/>
      <c r="H111" s="69"/>
      <c r="I111" s="70"/>
      <c r="J111" s="70"/>
      <c r="K111" s="35" t="s">
        <v>65</v>
      </c>
      <c r="L111" s="77">
        <v>217</v>
      </c>
      <c r="M111" s="77"/>
      <c r="N111" s="72"/>
      <c r="O111" s="79" t="s">
        <v>177</v>
      </c>
      <c r="P111" s="81">
        <v>44407.656597222223</v>
      </c>
      <c r="Q111" s="79" t="s">
        <v>377</v>
      </c>
      <c r="R111" s="83" t="str">
        <f>HYPERLINK("https://successprints.shop/")</f>
        <v>https://successprints.shop/</v>
      </c>
      <c r="S111" s="79" t="s">
        <v>451</v>
      </c>
      <c r="T111" s="85" t="s">
        <v>483</v>
      </c>
      <c r="U111" s="83" t="str">
        <f>HYPERLINK("https://pbs.twimg.com/media/E7jioWZVoAgYW8D.jpg")</f>
        <v>https://pbs.twimg.com/media/E7jioWZVoAgYW8D.jpg</v>
      </c>
      <c r="V111" s="83" t="str">
        <f>HYPERLINK("https://pbs.twimg.com/media/E7jioWZVoAgYW8D.jpg")</f>
        <v>https://pbs.twimg.com/media/E7jioWZVoAgYW8D.jpg</v>
      </c>
      <c r="W111" s="81">
        <v>44407.656597222223</v>
      </c>
      <c r="X111" s="87">
        <v>44407</v>
      </c>
      <c r="Y111" s="85" t="s">
        <v>598</v>
      </c>
      <c r="Z111" s="83" t="str">
        <f>HYPERLINK("https://twitter.com/success_prints/status/1421134868637884422")</f>
        <v>https://twitter.com/success_prints/status/1421134868637884422</v>
      </c>
      <c r="AA111" s="79"/>
      <c r="AB111" s="79"/>
      <c r="AC111" s="85" t="s">
        <v>778</v>
      </c>
      <c r="AD111" s="79"/>
      <c r="AE111" s="79" t="b">
        <v>0</v>
      </c>
      <c r="AF111" s="79">
        <v>2</v>
      </c>
      <c r="AG111" s="85" t="s">
        <v>867</v>
      </c>
      <c r="AH111" s="79" t="b">
        <v>0</v>
      </c>
      <c r="AI111" s="79" t="s">
        <v>874</v>
      </c>
      <c r="AJ111" s="79"/>
      <c r="AK111" s="85" t="s">
        <v>867</v>
      </c>
      <c r="AL111" s="79" t="b">
        <v>0</v>
      </c>
      <c r="AM111" s="79">
        <v>0</v>
      </c>
      <c r="AN111" s="85" t="s">
        <v>867</v>
      </c>
      <c r="AO111" s="85" t="s">
        <v>883</v>
      </c>
      <c r="AP111" s="79" t="b">
        <v>0</v>
      </c>
      <c r="AQ111" s="85" t="s">
        <v>778</v>
      </c>
      <c r="AR111" s="79" t="s">
        <v>177</v>
      </c>
      <c r="AS111" s="79">
        <v>0</v>
      </c>
      <c r="AT111" s="79">
        <v>0</v>
      </c>
      <c r="AU111" s="79"/>
      <c r="AV111" s="79"/>
      <c r="AW111" s="79"/>
      <c r="AX111" s="79"/>
      <c r="AY111" s="79"/>
      <c r="AZ111" s="79"/>
      <c r="BA111" s="79"/>
      <c r="BB111" s="79"/>
      <c r="BC111">
        <v>1</v>
      </c>
      <c r="BD111" s="78" t="str">
        <f>REPLACE(INDEX(GroupVertices[Group], MATCH(Edges13[[#This Row],[Vertex 1]],GroupVertices[Vertex],0)),1,1,"")</f>
        <v>15</v>
      </c>
      <c r="BE111" s="78" t="str">
        <f>REPLACE(INDEX(GroupVertices[Group], MATCH(Edges13[[#This Row],[Vertex 2]],GroupVertices[Vertex],0)),1,1,"")</f>
        <v>15</v>
      </c>
    </row>
    <row r="112" spans="1:57" x14ac:dyDescent="0.25">
      <c r="A112" s="64" t="s">
        <v>233</v>
      </c>
      <c r="B112" s="64" t="s">
        <v>305</v>
      </c>
      <c r="C112" s="65"/>
      <c r="D112" s="66"/>
      <c r="E112" s="67"/>
      <c r="F112" s="68"/>
      <c r="G112" s="65"/>
      <c r="H112" s="69"/>
      <c r="I112" s="70"/>
      <c r="J112" s="70"/>
      <c r="K112" s="35" t="s">
        <v>65</v>
      </c>
      <c r="L112" s="77">
        <v>220</v>
      </c>
      <c r="M112" s="77"/>
      <c r="N112" s="72"/>
      <c r="O112" s="79" t="s">
        <v>337</v>
      </c>
      <c r="P112" s="81">
        <v>44404.652627314812</v>
      </c>
      <c r="Q112" s="79" t="s">
        <v>352</v>
      </c>
      <c r="R112" s="79"/>
      <c r="S112" s="79"/>
      <c r="T112" s="85" t="s">
        <v>469</v>
      </c>
      <c r="U112" s="83" t="str">
        <f>HYPERLINK("https://pbs.twimg.com/media/E4HAellVcAI99lO.jpg")</f>
        <v>https://pbs.twimg.com/media/E4HAellVcAI99lO.jpg</v>
      </c>
      <c r="V112" s="83" t="str">
        <f>HYPERLINK("https://pbs.twimg.com/media/E4HAellVcAI99lO.jpg")</f>
        <v>https://pbs.twimg.com/media/E4HAellVcAI99lO.jpg</v>
      </c>
      <c r="W112" s="81">
        <v>44404.652627314812</v>
      </c>
      <c r="X112" s="87">
        <v>44404</v>
      </c>
      <c r="Y112" s="85" t="s">
        <v>526</v>
      </c>
      <c r="Z112" s="83" t="str">
        <f>HYPERLINK("https://twitter.com/swasaptrio/status/1420046266835275781")</f>
        <v>https://twitter.com/swasaptrio/status/1420046266835275781</v>
      </c>
      <c r="AA112" s="79"/>
      <c r="AB112" s="79"/>
      <c r="AC112" s="85" t="s">
        <v>703</v>
      </c>
      <c r="AD112" s="79"/>
      <c r="AE112" s="79" t="b">
        <v>0</v>
      </c>
      <c r="AF112" s="79">
        <v>0</v>
      </c>
      <c r="AG112" s="85" t="s">
        <v>867</v>
      </c>
      <c r="AH112" s="79" t="b">
        <v>0</v>
      </c>
      <c r="AI112" s="79" t="s">
        <v>874</v>
      </c>
      <c r="AJ112" s="79"/>
      <c r="AK112" s="85" t="s">
        <v>867</v>
      </c>
      <c r="AL112" s="79" t="b">
        <v>0</v>
      </c>
      <c r="AM112" s="79">
        <v>2</v>
      </c>
      <c r="AN112" s="85" t="s">
        <v>702</v>
      </c>
      <c r="AO112" s="85" t="s">
        <v>882</v>
      </c>
      <c r="AP112" s="79" t="b">
        <v>0</v>
      </c>
      <c r="AQ112" s="85" t="s">
        <v>702</v>
      </c>
      <c r="AR112" s="79" t="s">
        <v>177</v>
      </c>
      <c r="AS112" s="79">
        <v>0</v>
      </c>
      <c r="AT112" s="79">
        <v>0</v>
      </c>
      <c r="AU112" s="79"/>
      <c r="AV112" s="79"/>
      <c r="AW112" s="79"/>
      <c r="AX112" s="79"/>
      <c r="AY112" s="79"/>
      <c r="AZ112" s="79"/>
      <c r="BA112" s="79"/>
      <c r="BB112" s="79"/>
      <c r="BC112">
        <v>1</v>
      </c>
      <c r="BD112" s="78" t="str">
        <f>REPLACE(INDEX(GroupVertices[Group], MATCH(Edges13[[#This Row],[Vertex 1]],GroupVertices[Vertex],0)),1,1,"")</f>
        <v>6</v>
      </c>
      <c r="BE112" s="78" t="str">
        <f>REPLACE(INDEX(GroupVertices[Group], MATCH(Edges13[[#This Row],[Vertex 2]],GroupVertices[Vertex],0)),1,1,"")</f>
        <v>6</v>
      </c>
    </row>
    <row r="113" spans="1:57" x14ac:dyDescent="0.25">
      <c r="A113" s="64" t="s">
        <v>261</v>
      </c>
      <c r="B113" s="64" t="s">
        <v>327</v>
      </c>
      <c r="C113" s="65"/>
      <c r="D113" s="66"/>
      <c r="E113" s="67"/>
      <c r="F113" s="68"/>
      <c r="G113" s="65"/>
      <c r="H113" s="69"/>
      <c r="I113" s="70"/>
      <c r="J113" s="70"/>
      <c r="K113" s="35" t="s">
        <v>65</v>
      </c>
      <c r="L113" s="77">
        <v>221</v>
      </c>
      <c r="M113" s="77"/>
      <c r="N113" s="72"/>
      <c r="O113" s="79" t="s">
        <v>339</v>
      </c>
      <c r="P113" s="81">
        <v>44404.740162037036</v>
      </c>
      <c r="Q113" s="79" t="s">
        <v>374</v>
      </c>
      <c r="R113" s="79"/>
      <c r="S113" s="79"/>
      <c r="T113" s="85" t="s">
        <v>480</v>
      </c>
      <c r="U113" s="79"/>
      <c r="V113" s="83" t="str">
        <f>HYPERLINK("https://pbs.twimg.com/profile_images/1409551882087960582/EN_K-fIZ_normal.jpg")</f>
        <v>https://pbs.twimg.com/profile_images/1409551882087960582/EN_K-fIZ_normal.jpg</v>
      </c>
      <c r="W113" s="81">
        <v>44404.740162037036</v>
      </c>
      <c r="X113" s="87">
        <v>44404</v>
      </c>
      <c r="Y113" s="85" t="s">
        <v>590</v>
      </c>
      <c r="Z113" s="83" t="str">
        <f>HYPERLINK("https://twitter.com/aeeetrio/status/1420077987823865861")</f>
        <v>https://twitter.com/aeeetrio/status/1420077987823865861</v>
      </c>
      <c r="AA113" s="79"/>
      <c r="AB113" s="79"/>
      <c r="AC113" s="85" t="s">
        <v>770</v>
      </c>
      <c r="AD113" s="79"/>
      <c r="AE113" s="79" t="b">
        <v>0</v>
      </c>
      <c r="AF113" s="79">
        <v>2</v>
      </c>
      <c r="AG113" s="85" t="s">
        <v>867</v>
      </c>
      <c r="AH113" s="79" t="b">
        <v>0</v>
      </c>
      <c r="AI113" s="79" t="s">
        <v>874</v>
      </c>
      <c r="AJ113" s="79"/>
      <c r="AK113" s="85" t="s">
        <v>867</v>
      </c>
      <c r="AL113" s="79" t="b">
        <v>0</v>
      </c>
      <c r="AM113" s="79">
        <v>1</v>
      </c>
      <c r="AN113" s="85" t="s">
        <v>867</v>
      </c>
      <c r="AO113" s="85" t="s">
        <v>882</v>
      </c>
      <c r="AP113" s="79" t="b">
        <v>0</v>
      </c>
      <c r="AQ113" s="85" t="s">
        <v>770</v>
      </c>
      <c r="AR113" s="79" t="s">
        <v>177</v>
      </c>
      <c r="AS113" s="79">
        <v>0</v>
      </c>
      <c r="AT113" s="79">
        <v>0</v>
      </c>
      <c r="AU113" s="79"/>
      <c r="AV113" s="79"/>
      <c r="AW113" s="79"/>
      <c r="AX113" s="79"/>
      <c r="AY113" s="79"/>
      <c r="AZ113" s="79"/>
      <c r="BA113" s="79"/>
      <c r="BB113" s="79"/>
      <c r="BC113">
        <v>1</v>
      </c>
      <c r="BD113" s="78" t="str">
        <f>REPLACE(INDEX(GroupVertices[Group], MATCH(Edges13[[#This Row],[Vertex 1]],GroupVertices[Vertex],0)),1,1,"")</f>
        <v>8</v>
      </c>
      <c r="BE113" s="78" t="str">
        <f>REPLACE(INDEX(GroupVertices[Group], MATCH(Edges13[[#This Row],[Vertex 2]],GroupVertices[Vertex],0)),1,1,"")</f>
        <v>8</v>
      </c>
    </row>
    <row r="114" spans="1:57" x14ac:dyDescent="0.25">
      <c r="A114" s="64" t="s">
        <v>279</v>
      </c>
      <c r="B114" s="64" t="s">
        <v>327</v>
      </c>
      <c r="C114" s="65"/>
      <c r="D114" s="66"/>
      <c r="E114" s="67"/>
      <c r="F114" s="68"/>
      <c r="G114" s="65"/>
      <c r="H114" s="69"/>
      <c r="I114" s="70"/>
      <c r="J114" s="70"/>
      <c r="K114" s="35" t="s">
        <v>65</v>
      </c>
      <c r="L114" s="77">
        <v>222</v>
      </c>
      <c r="M114" s="77"/>
      <c r="N114" s="72"/>
      <c r="O114" s="79" t="s">
        <v>337</v>
      </c>
      <c r="P114" s="81">
        <v>44406.963402777779</v>
      </c>
      <c r="Q114" s="79" t="s">
        <v>374</v>
      </c>
      <c r="R114" s="79"/>
      <c r="S114" s="79"/>
      <c r="T114" s="85" t="s">
        <v>480</v>
      </c>
      <c r="U114" s="79"/>
      <c r="V114" s="83" t="str">
        <f>HYPERLINK("https://pbs.twimg.com/profile_images/1394673346823000065/USX0VQdW_normal.jpg")</f>
        <v>https://pbs.twimg.com/profile_images/1394673346823000065/USX0VQdW_normal.jpg</v>
      </c>
      <c r="W114" s="81">
        <v>44406.963402777779</v>
      </c>
      <c r="X114" s="87">
        <v>44406</v>
      </c>
      <c r="Y114" s="85" t="s">
        <v>591</v>
      </c>
      <c r="Z114" s="83" t="str">
        <f>HYPERLINK("https://twitter.com/jackashawiley/status/1420883663588319241")</f>
        <v>https://twitter.com/jackashawiley/status/1420883663588319241</v>
      </c>
      <c r="AA114" s="79"/>
      <c r="AB114" s="79"/>
      <c r="AC114" s="85" t="s">
        <v>771</v>
      </c>
      <c r="AD114" s="79"/>
      <c r="AE114" s="79" t="b">
        <v>0</v>
      </c>
      <c r="AF114" s="79">
        <v>0</v>
      </c>
      <c r="AG114" s="85" t="s">
        <v>867</v>
      </c>
      <c r="AH114" s="79" t="b">
        <v>0</v>
      </c>
      <c r="AI114" s="79" t="s">
        <v>874</v>
      </c>
      <c r="AJ114" s="79"/>
      <c r="AK114" s="85" t="s">
        <v>867</v>
      </c>
      <c r="AL114" s="79" t="b">
        <v>0</v>
      </c>
      <c r="AM114" s="79">
        <v>1</v>
      </c>
      <c r="AN114" s="85" t="s">
        <v>770</v>
      </c>
      <c r="AO114" s="85" t="s">
        <v>882</v>
      </c>
      <c r="AP114" s="79" t="b">
        <v>0</v>
      </c>
      <c r="AQ114" s="85" t="s">
        <v>770</v>
      </c>
      <c r="AR114" s="79" t="s">
        <v>177</v>
      </c>
      <c r="AS114" s="79">
        <v>0</v>
      </c>
      <c r="AT114" s="79">
        <v>0</v>
      </c>
      <c r="AU114" s="79"/>
      <c r="AV114" s="79"/>
      <c r="AW114" s="79"/>
      <c r="AX114" s="79"/>
      <c r="AY114" s="79"/>
      <c r="AZ114" s="79"/>
      <c r="BA114" s="79"/>
      <c r="BB114" s="79"/>
      <c r="BC114">
        <v>1</v>
      </c>
      <c r="BD114" s="78" t="str">
        <f>REPLACE(INDEX(GroupVertices[Group], MATCH(Edges13[[#This Row],[Vertex 1]],GroupVertices[Vertex],0)),1,1,"")</f>
        <v>8</v>
      </c>
      <c r="BE114" s="78" t="str">
        <f>REPLACE(INDEX(GroupVertices[Group], MATCH(Edges13[[#This Row],[Vertex 2]],GroupVertices[Vertex],0)),1,1,"")</f>
        <v>8</v>
      </c>
    </row>
    <row r="115" spans="1:57" x14ac:dyDescent="0.25">
      <c r="A115" s="64" t="s">
        <v>234</v>
      </c>
      <c r="B115" s="64" t="s">
        <v>298</v>
      </c>
      <c r="C115" s="65"/>
      <c r="D115" s="66"/>
      <c r="E115" s="67"/>
      <c r="F115" s="68"/>
      <c r="G115" s="65"/>
      <c r="H115" s="69"/>
      <c r="I115" s="70"/>
      <c r="J115" s="70"/>
      <c r="K115" s="35" t="s">
        <v>65</v>
      </c>
      <c r="L115" s="77">
        <v>225</v>
      </c>
      <c r="M115" s="77"/>
      <c r="N115" s="72"/>
      <c r="O115" s="79" t="s">
        <v>339</v>
      </c>
      <c r="P115" s="81">
        <v>44404.84003472222</v>
      </c>
      <c r="Q115" s="79" t="s">
        <v>354</v>
      </c>
      <c r="R115" s="79"/>
      <c r="S115" s="79"/>
      <c r="T115" s="85" t="s">
        <v>471</v>
      </c>
      <c r="U115" s="83" t="str">
        <f>HYPERLINK("https://pbs.twimg.com/media/E7VBXq_XMAAMbtc.jpg")</f>
        <v>https://pbs.twimg.com/media/E7VBXq_XMAAMbtc.jpg</v>
      </c>
      <c r="V115" s="83" t="str">
        <f>HYPERLINK("https://pbs.twimg.com/media/E7VBXq_XMAAMbtc.jpg")</f>
        <v>https://pbs.twimg.com/media/E7VBXq_XMAAMbtc.jpg</v>
      </c>
      <c r="W115" s="81">
        <v>44404.84003472222</v>
      </c>
      <c r="X115" s="87">
        <v>44404</v>
      </c>
      <c r="Y115" s="85" t="s">
        <v>528</v>
      </c>
      <c r="Z115" s="83" t="str">
        <f>HYPERLINK("https://twitter.com/sssivytechfw/status/1420114179822862342")</f>
        <v>https://twitter.com/sssivytechfw/status/1420114179822862342</v>
      </c>
      <c r="AA115" s="79"/>
      <c r="AB115" s="79"/>
      <c r="AC115" s="85" t="s">
        <v>705</v>
      </c>
      <c r="AD115" s="79"/>
      <c r="AE115" s="79" t="b">
        <v>0</v>
      </c>
      <c r="AF115" s="79">
        <v>1</v>
      </c>
      <c r="AG115" s="85" t="s">
        <v>867</v>
      </c>
      <c r="AH115" s="79" t="b">
        <v>0</v>
      </c>
      <c r="AI115" s="79" t="s">
        <v>874</v>
      </c>
      <c r="AJ115" s="79"/>
      <c r="AK115" s="85" t="s">
        <v>867</v>
      </c>
      <c r="AL115" s="79" t="b">
        <v>0</v>
      </c>
      <c r="AM115" s="79">
        <v>0</v>
      </c>
      <c r="AN115" s="85" t="s">
        <v>867</v>
      </c>
      <c r="AO115" s="85" t="s">
        <v>882</v>
      </c>
      <c r="AP115" s="79" t="b">
        <v>0</v>
      </c>
      <c r="AQ115" s="85" t="s">
        <v>705</v>
      </c>
      <c r="AR115" s="79" t="s">
        <v>177</v>
      </c>
      <c r="AS115" s="79">
        <v>0</v>
      </c>
      <c r="AT115" s="79">
        <v>0</v>
      </c>
      <c r="AU115" s="79"/>
      <c r="AV115" s="79"/>
      <c r="AW115" s="79"/>
      <c r="AX115" s="79"/>
      <c r="AY115" s="79"/>
      <c r="AZ115" s="79"/>
      <c r="BA115" s="79"/>
      <c r="BB115" s="79"/>
      <c r="BC115">
        <v>1</v>
      </c>
      <c r="BD115" s="78" t="str">
        <f>REPLACE(INDEX(GroupVertices[Group], MATCH(Edges13[[#This Row],[Vertex 1]],GroupVertices[Vertex],0)),1,1,"")</f>
        <v>1</v>
      </c>
      <c r="BE115" s="78" t="str">
        <f>REPLACE(INDEX(GroupVertices[Group], MATCH(Edges13[[#This Row],[Vertex 2]],GroupVertices[Vertex],0)),1,1,"")</f>
        <v>1</v>
      </c>
    </row>
    <row r="116" spans="1:57" x14ac:dyDescent="0.25">
      <c r="A116" s="64" t="s">
        <v>288</v>
      </c>
      <c r="B116" s="64" t="s">
        <v>298</v>
      </c>
      <c r="C116" s="65"/>
      <c r="D116" s="66"/>
      <c r="E116" s="67"/>
      <c r="F116" s="68"/>
      <c r="G116" s="65"/>
      <c r="H116" s="69"/>
      <c r="I116" s="70"/>
      <c r="J116" s="70"/>
      <c r="K116" s="35" t="s">
        <v>65</v>
      </c>
      <c r="L116" s="77">
        <v>226</v>
      </c>
      <c r="M116" s="77"/>
      <c r="N116" s="72"/>
      <c r="O116" s="79" t="s">
        <v>339</v>
      </c>
      <c r="P116" s="81">
        <v>44406.811898148146</v>
      </c>
      <c r="Q116" s="79" t="s">
        <v>384</v>
      </c>
      <c r="R116" s="83" t="str">
        <f>HYPERLINK("https://twitter.com/SSSIvyTechFW/status/1420826156031414278")</f>
        <v>https://twitter.com/SSSIvyTechFW/status/1420826156031414278</v>
      </c>
      <c r="S116" s="79" t="s">
        <v>449</v>
      </c>
      <c r="T116" s="85" t="s">
        <v>461</v>
      </c>
      <c r="U116" s="79"/>
      <c r="V116" s="83" t="str">
        <f>HYPERLINK("https://pbs.twimg.com/profile_images/519942229318594561/V929JwX6_normal.jpeg")</f>
        <v>https://pbs.twimg.com/profile_images/519942229318594561/V929JwX6_normal.jpeg</v>
      </c>
      <c r="W116" s="81">
        <v>44406.811898148146</v>
      </c>
      <c r="X116" s="87">
        <v>44406</v>
      </c>
      <c r="Y116" s="85" t="s">
        <v>607</v>
      </c>
      <c r="Z116" s="83" t="str">
        <f>HYPERLINK("https://twitter.com/indianatrio/status/1420828757791805440")</f>
        <v>https://twitter.com/indianatrio/status/1420828757791805440</v>
      </c>
      <c r="AA116" s="79"/>
      <c r="AB116" s="79"/>
      <c r="AC116" s="85" t="s">
        <v>787</v>
      </c>
      <c r="AD116" s="79"/>
      <c r="AE116" s="79" t="b">
        <v>0</v>
      </c>
      <c r="AF116" s="79">
        <v>0</v>
      </c>
      <c r="AG116" s="85" t="s">
        <v>867</v>
      </c>
      <c r="AH116" s="79" t="b">
        <v>1</v>
      </c>
      <c r="AI116" s="79" t="s">
        <v>874</v>
      </c>
      <c r="AJ116" s="79"/>
      <c r="AK116" s="85" t="s">
        <v>881</v>
      </c>
      <c r="AL116" s="79" t="b">
        <v>0</v>
      </c>
      <c r="AM116" s="79">
        <v>1</v>
      </c>
      <c r="AN116" s="85" t="s">
        <v>867</v>
      </c>
      <c r="AO116" s="85" t="s">
        <v>882</v>
      </c>
      <c r="AP116" s="79" t="b">
        <v>0</v>
      </c>
      <c r="AQ116" s="85" t="s">
        <v>787</v>
      </c>
      <c r="AR116" s="79" t="s">
        <v>177</v>
      </c>
      <c r="AS116" s="79">
        <v>0</v>
      </c>
      <c r="AT116" s="79">
        <v>0</v>
      </c>
      <c r="AU116" s="79"/>
      <c r="AV116" s="79"/>
      <c r="AW116" s="79"/>
      <c r="AX116" s="79"/>
      <c r="AY116" s="79"/>
      <c r="AZ116" s="79"/>
      <c r="BA116" s="79"/>
      <c r="BB116" s="79"/>
      <c r="BC116">
        <v>1</v>
      </c>
      <c r="BD116" s="78" t="str">
        <f>REPLACE(INDEX(GroupVertices[Group], MATCH(Edges13[[#This Row],[Vertex 1]],GroupVertices[Vertex],0)),1,1,"")</f>
        <v>1</v>
      </c>
      <c r="BE116" s="78" t="str">
        <f>REPLACE(INDEX(GroupVertices[Group], MATCH(Edges13[[#This Row],[Vertex 2]],GroupVertices[Vertex],0)),1,1,"")</f>
        <v>1</v>
      </c>
    </row>
    <row r="117" spans="1:57" x14ac:dyDescent="0.25">
      <c r="A117" s="64" t="s">
        <v>269</v>
      </c>
      <c r="B117" s="64" t="s">
        <v>298</v>
      </c>
      <c r="C117" s="65"/>
      <c r="D117" s="66"/>
      <c r="E117" s="67"/>
      <c r="F117" s="68"/>
      <c r="G117" s="65"/>
      <c r="H117" s="69"/>
      <c r="I117" s="70"/>
      <c r="J117" s="70"/>
      <c r="K117" s="35" t="s">
        <v>65</v>
      </c>
      <c r="L117" s="77">
        <v>227</v>
      </c>
      <c r="M117" s="77"/>
      <c r="N117" s="72"/>
      <c r="O117" s="79" t="s">
        <v>338</v>
      </c>
      <c r="P117" s="81">
        <v>44406.929270833331</v>
      </c>
      <c r="Q117" s="79" t="s">
        <v>373</v>
      </c>
      <c r="R117" s="79"/>
      <c r="S117" s="79"/>
      <c r="T117" s="85" t="s">
        <v>461</v>
      </c>
      <c r="U117" s="83" t="str">
        <f t="shared" ref="U117:V127" si="2">HYPERLINK("https://pbs.twimg.com/media/E7fhzF6XsAAoddH.jpg")</f>
        <v>https://pbs.twimg.com/media/E7fhzF6XsAAoddH.jpg</v>
      </c>
      <c r="V117" s="83" t="str">
        <f t="shared" si="2"/>
        <v>https://pbs.twimg.com/media/E7fhzF6XsAAoddH.jpg</v>
      </c>
      <c r="W117" s="81">
        <v>44406.929270833331</v>
      </c>
      <c r="X117" s="87">
        <v>44406</v>
      </c>
      <c r="Y117" s="85" t="s">
        <v>580</v>
      </c>
      <c r="Z117" s="83" t="str">
        <f>HYPERLINK("https://twitter.com/barneskhalid321/status/1420871295147913224")</f>
        <v>https://twitter.com/barneskhalid321/status/1420871295147913224</v>
      </c>
      <c r="AA117" s="79"/>
      <c r="AB117" s="79"/>
      <c r="AC117" s="85" t="s">
        <v>759</v>
      </c>
      <c r="AD117" s="79"/>
      <c r="AE117" s="79" t="b">
        <v>0</v>
      </c>
      <c r="AF117" s="79">
        <v>0</v>
      </c>
      <c r="AG117" s="85" t="s">
        <v>867</v>
      </c>
      <c r="AH117" s="79" t="b">
        <v>0</v>
      </c>
      <c r="AI117" s="79" t="s">
        <v>874</v>
      </c>
      <c r="AJ117" s="79"/>
      <c r="AK117" s="85" t="s">
        <v>867</v>
      </c>
      <c r="AL117" s="79" t="b">
        <v>0</v>
      </c>
      <c r="AM117" s="79">
        <v>14</v>
      </c>
      <c r="AN117" s="85" t="s">
        <v>851</v>
      </c>
      <c r="AO117" s="85" t="s">
        <v>887</v>
      </c>
      <c r="AP117" s="79" t="b">
        <v>0</v>
      </c>
      <c r="AQ117" s="85" t="s">
        <v>851</v>
      </c>
      <c r="AR117" s="79" t="s">
        <v>177</v>
      </c>
      <c r="AS117" s="79">
        <v>0</v>
      </c>
      <c r="AT117" s="79">
        <v>0</v>
      </c>
      <c r="AU117" s="79"/>
      <c r="AV117" s="79"/>
      <c r="AW117" s="79"/>
      <c r="AX117" s="79"/>
      <c r="AY117" s="79"/>
      <c r="AZ117" s="79"/>
      <c r="BA117" s="79"/>
      <c r="BB117" s="79"/>
      <c r="BC117">
        <v>1</v>
      </c>
      <c r="BD117" s="78" t="str">
        <f>REPLACE(INDEX(GroupVertices[Group], MATCH(Edges13[[#This Row],[Vertex 1]],GroupVertices[Vertex],0)),1,1,"")</f>
        <v>1</v>
      </c>
      <c r="BE117" s="78" t="str">
        <f>REPLACE(INDEX(GroupVertices[Group], MATCH(Edges13[[#This Row],[Vertex 2]],GroupVertices[Vertex],0)),1,1,"")</f>
        <v>1</v>
      </c>
    </row>
    <row r="118" spans="1:57" x14ac:dyDescent="0.25">
      <c r="A118" s="64" t="s">
        <v>270</v>
      </c>
      <c r="B118" s="64" t="s">
        <v>298</v>
      </c>
      <c r="C118" s="65"/>
      <c r="D118" s="66"/>
      <c r="E118" s="67"/>
      <c r="F118" s="68"/>
      <c r="G118" s="65"/>
      <c r="H118" s="69"/>
      <c r="I118" s="70"/>
      <c r="J118" s="70"/>
      <c r="K118" s="35" t="s">
        <v>65</v>
      </c>
      <c r="L118" s="77">
        <v>228</v>
      </c>
      <c r="M118" s="77"/>
      <c r="N118" s="72"/>
      <c r="O118" s="79" t="s">
        <v>338</v>
      </c>
      <c r="P118" s="81">
        <v>44406.929386574076</v>
      </c>
      <c r="Q118" s="79" t="s">
        <v>373</v>
      </c>
      <c r="R118" s="79"/>
      <c r="S118" s="79"/>
      <c r="T118" s="85" t="s">
        <v>461</v>
      </c>
      <c r="U118" s="83" t="str">
        <f t="shared" si="2"/>
        <v>https://pbs.twimg.com/media/E7fhzF6XsAAoddH.jpg</v>
      </c>
      <c r="V118" s="83" t="str">
        <f t="shared" si="2"/>
        <v>https://pbs.twimg.com/media/E7fhzF6XsAAoddH.jpg</v>
      </c>
      <c r="W118" s="81">
        <v>44406.929386574076</v>
      </c>
      <c r="X118" s="87">
        <v>44406</v>
      </c>
      <c r="Y118" s="85" t="s">
        <v>581</v>
      </c>
      <c r="Z118" s="83" t="str">
        <f>HYPERLINK("https://twitter.com/mizbosslady82/status/1420871336847683588")</f>
        <v>https://twitter.com/mizbosslady82/status/1420871336847683588</v>
      </c>
      <c r="AA118" s="79"/>
      <c r="AB118" s="79"/>
      <c r="AC118" s="85" t="s">
        <v>760</v>
      </c>
      <c r="AD118" s="79"/>
      <c r="AE118" s="79" t="b">
        <v>0</v>
      </c>
      <c r="AF118" s="79">
        <v>0</v>
      </c>
      <c r="AG118" s="85" t="s">
        <v>867</v>
      </c>
      <c r="AH118" s="79" t="b">
        <v>0</v>
      </c>
      <c r="AI118" s="79" t="s">
        <v>874</v>
      </c>
      <c r="AJ118" s="79"/>
      <c r="AK118" s="85" t="s">
        <v>867</v>
      </c>
      <c r="AL118" s="79" t="b">
        <v>0</v>
      </c>
      <c r="AM118" s="79">
        <v>14</v>
      </c>
      <c r="AN118" s="85" t="s">
        <v>851</v>
      </c>
      <c r="AO118" s="85" t="s">
        <v>883</v>
      </c>
      <c r="AP118" s="79" t="b">
        <v>0</v>
      </c>
      <c r="AQ118" s="85" t="s">
        <v>851</v>
      </c>
      <c r="AR118" s="79" t="s">
        <v>177</v>
      </c>
      <c r="AS118" s="79">
        <v>0</v>
      </c>
      <c r="AT118" s="79">
        <v>0</v>
      </c>
      <c r="AU118" s="79"/>
      <c r="AV118" s="79"/>
      <c r="AW118" s="79"/>
      <c r="AX118" s="79"/>
      <c r="AY118" s="79"/>
      <c r="AZ118" s="79"/>
      <c r="BA118" s="79"/>
      <c r="BB118" s="79"/>
      <c r="BC118">
        <v>1</v>
      </c>
      <c r="BD118" s="78" t="str">
        <f>REPLACE(INDEX(GroupVertices[Group], MATCH(Edges13[[#This Row],[Vertex 1]],GroupVertices[Vertex],0)),1,1,"")</f>
        <v>1</v>
      </c>
      <c r="BE118" s="78" t="str">
        <f>REPLACE(INDEX(GroupVertices[Group], MATCH(Edges13[[#This Row],[Vertex 2]],GroupVertices[Vertex],0)),1,1,"")</f>
        <v>1</v>
      </c>
    </row>
    <row r="119" spans="1:57" x14ac:dyDescent="0.25">
      <c r="A119" s="64" t="s">
        <v>271</v>
      </c>
      <c r="B119" s="64" t="s">
        <v>298</v>
      </c>
      <c r="C119" s="65"/>
      <c r="D119" s="66"/>
      <c r="E119" s="67"/>
      <c r="F119" s="68"/>
      <c r="G119" s="65"/>
      <c r="H119" s="69"/>
      <c r="I119" s="70"/>
      <c r="J119" s="70"/>
      <c r="K119" s="35" t="s">
        <v>65</v>
      </c>
      <c r="L119" s="77">
        <v>229</v>
      </c>
      <c r="M119" s="77"/>
      <c r="N119" s="72"/>
      <c r="O119" s="79" t="s">
        <v>338</v>
      </c>
      <c r="P119" s="81">
        <v>44406.931215277778</v>
      </c>
      <c r="Q119" s="79" t="s">
        <v>373</v>
      </c>
      <c r="R119" s="79"/>
      <c r="S119" s="79"/>
      <c r="T119" s="85" t="s">
        <v>461</v>
      </c>
      <c r="U119" s="83" t="str">
        <f t="shared" si="2"/>
        <v>https://pbs.twimg.com/media/E7fhzF6XsAAoddH.jpg</v>
      </c>
      <c r="V119" s="83" t="str">
        <f t="shared" si="2"/>
        <v>https://pbs.twimg.com/media/E7fhzF6XsAAoddH.jpg</v>
      </c>
      <c r="W119" s="81">
        <v>44406.931215277778</v>
      </c>
      <c r="X119" s="87">
        <v>44406</v>
      </c>
      <c r="Y119" s="85" t="s">
        <v>582</v>
      </c>
      <c r="Z119" s="83" t="str">
        <f>HYPERLINK("https://twitter.com/shirley10090505/status/1420871998654255107")</f>
        <v>https://twitter.com/shirley10090505/status/1420871998654255107</v>
      </c>
      <c r="AA119" s="79"/>
      <c r="AB119" s="79"/>
      <c r="AC119" s="85" t="s">
        <v>761</v>
      </c>
      <c r="AD119" s="79"/>
      <c r="AE119" s="79" t="b">
        <v>0</v>
      </c>
      <c r="AF119" s="79">
        <v>0</v>
      </c>
      <c r="AG119" s="85" t="s">
        <v>867</v>
      </c>
      <c r="AH119" s="79" t="b">
        <v>0</v>
      </c>
      <c r="AI119" s="79" t="s">
        <v>874</v>
      </c>
      <c r="AJ119" s="79"/>
      <c r="AK119" s="85" t="s">
        <v>867</v>
      </c>
      <c r="AL119" s="79" t="b">
        <v>0</v>
      </c>
      <c r="AM119" s="79">
        <v>14</v>
      </c>
      <c r="AN119" s="85" t="s">
        <v>851</v>
      </c>
      <c r="AO119" s="85" t="s">
        <v>883</v>
      </c>
      <c r="AP119" s="79" t="b">
        <v>0</v>
      </c>
      <c r="AQ119" s="85" t="s">
        <v>851</v>
      </c>
      <c r="AR119" s="79" t="s">
        <v>177</v>
      </c>
      <c r="AS119" s="79">
        <v>0</v>
      </c>
      <c r="AT119" s="79">
        <v>0</v>
      </c>
      <c r="AU119" s="79"/>
      <c r="AV119" s="79"/>
      <c r="AW119" s="79"/>
      <c r="AX119" s="79"/>
      <c r="AY119" s="79"/>
      <c r="AZ119" s="79"/>
      <c r="BA119" s="79"/>
      <c r="BB119" s="79"/>
      <c r="BC119">
        <v>1</v>
      </c>
      <c r="BD119" s="78" t="str">
        <f>REPLACE(INDEX(GroupVertices[Group], MATCH(Edges13[[#This Row],[Vertex 1]],GroupVertices[Vertex],0)),1,1,"")</f>
        <v>1</v>
      </c>
      <c r="BE119" s="78" t="str">
        <f>REPLACE(INDEX(GroupVertices[Group], MATCH(Edges13[[#This Row],[Vertex 2]],GroupVertices[Vertex],0)),1,1,"")</f>
        <v>1</v>
      </c>
    </row>
    <row r="120" spans="1:57" x14ac:dyDescent="0.25">
      <c r="A120" s="64" t="s">
        <v>272</v>
      </c>
      <c r="B120" s="64" t="s">
        <v>298</v>
      </c>
      <c r="C120" s="65"/>
      <c r="D120" s="66"/>
      <c r="E120" s="67"/>
      <c r="F120" s="68"/>
      <c r="G120" s="65"/>
      <c r="H120" s="69"/>
      <c r="I120" s="70"/>
      <c r="J120" s="70"/>
      <c r="K120" s="35" t="s">
        <v>65</v>
      </c>
      <c r="L120" s="77">
        <v>230</v>
      </c>
      <c r="M120" s="77"/>
      <c r="N120" s="72"/>
      <c r="O120" s="79" t="s">
        <v>338</v>
      </c>
      <c r="P120" s="81">
        <v>44406.932581018518</v>
      </c>
      <c r="Q120" s="79" t="s">
        <v>373</v>
      </c>
      <c r="R120" s="79"/>
      <c r="S120" s="79"/>
      <c r="T120" s="85" t="s">
        <v>461</v>
      </c>
      <c r="U120" s="83" t="str">
        <f t="shared" si="2"/>
        <v>https://pbs.twimg.com/media/E7fhzF6XsAAoddH.jpg</v>
      </c>
      <c r="V120" s="83" t="str">
        <f t="shared" si="2"/>
        <v>https://pbs.twimg.com/media/E7fhzF6XsAAoddH.jpg</v>
      </c>
      <c r="W120" s="81">
        <v>44406.932581018518</v>
      </c>
      <c r="X120" s="87">
        <v>44406</v>
      </c>
      <c r="Y120" s="85" t="s">
        <v>583</v>
      </c>
      <c r="Z120" s="83" t="str">
        <f>HYPERLINK("https://twitter.com/suemanning6/status/1420872494924304394")</f>
        <v>https://twitter.com/suemanning6/status/1420872494924304394</v>
      </c>
      <c r="AA120" s="79"/>
      <c r="AB120" s="79"/>
      <c r="AC120" s="85" t="s">
        <v>762</v>
      </c>
      <c r="AD120" s="79"/>
      <c r="AE120" s="79" t="b">
        <v>0</v>
      </c>
      <c r="AF120" s="79">
        <v>0</v>
      </c>
      <c r="AG120" s="85" t="s">
        <v>867</v>
      </c>
      <c r="AH120" s="79" t="b">
        <v>0</v>
      </c>
      <c r="AI120" s="79" t="s">
        <v>874</v>
      </c>
      <c r="AJ120" s="79"/>
      <c r="AK120" s="85" t="s">
        <v>867</v>
      </c>
      <c r="AL120" s="79" t="b">
        <v>0</v>
      </c>
      <c r="AM120" s="79">
        <v>14</v>
      </c>
      <c r="AN120" s="85" t="s">
        <v>851</v>
      </c>
      <c r="AO120" s="85" t="s">
        <v>882</v>
      </c>
      <c r="AP120" s="79" t="b">
        <v>0</v>
      </c>
      <c r="AQ120" s="85" t="s">
        <v>851</v>
      </c>
      <c r="AR120" s="79" t="s">
        <v>177</v>
      </c>
      <c r="AS120" s="79">
        <v>0</v>
      </c>
      <c r="AT120" s="79">
        <v>0</v>
      </c>
      <c r="AU120" s="79"/>
      <c r="AV120" s="79"/>
      <c r="AW120" s="79"/>
      <c r="AX120" s="79"/>
      <c r="AY120" s="79"/>
      <c r="AZ120" s="79"/>
      <c r="BA120" s="79"/>
      <c r="BB120" s="79"/>
      <c r="BC120">
        <v>1</v>
      </c>
      <c r="BD120" s="78" t="str">
        <f>REPLACE(INDEX(GroupVertices[Group], MATCH(Edges13[[#This Row],[Vertex 1]],GroupVertices[Vertex],0)),1,1,"")</f>
        <v>1</v>
      </c>
      <c r="BE120" s="78" t="str">
        <f>REPLACE(INDEX(GroupVertices[Group], MATCH(Edges13[[#This Row],[Vertex 2]],GroupVertices[Vertex],0)),1,1,"")</f>
        <v>1</v>
      </c>
    </row>
    <row r="121" spans="1:57" x14ac:dyDescent="0.25">
      <c r="A121" s="64" t="s">
        <v>273</v>
      </c>
      <c r="B121" s="64" t="s">
        <v>298</v>
      </c>
      <c r="C121" s="65"/>
      <c r="D121" s="66"/>
      <c r="E121" s="67"/>
      <c r="F121" s="68"/>
      <c r="G121" s="65"/>
      <c r="H121" s="69"/>
      <c r="I121" s="70"/>
      <c r="J121" s="70"/>
      <c r="K121" s="35" t="s">
        <v>65</v>
      </c>
      <c r="L121" s="77">
        <v>231</v>
      </c>
      <c r="M121" s="77"/>
      <c r="N121" s="72"/>
      <c r="O121" s="79" t="s">
        <v>338</v>
      </c>
      <c r="P121" s="81">
        <v>44406.934930555559</v>
      </c>
      <c r="Q121" s="79" t="s">
        <v>373</v>
      </c>
      <c r="R121" s="79"/>
      <c r="S121" s="79"/>
      <c r="T121" s="85" t="s">
        <v>461</v>
      </c>
      <c r="U121" s="83" t="str">
        <f t="shared" si="2"/>
        <v>https://pbs.twimg.com/media/E7fhzF6XsAAoddH.jpg</v>
      </c>
      <c r="V121" s="83" t="str">
        <f t="shared" si="2"/>
        <v>https://pbs.twimg.com/media/E7fhzF6XsAAoddH.jpg</v>
      </c>
      <c r="W121" s="81">
        <v>44406.934930555559</v>
      </c>
      <c r="X121" s="87">
        <v>44406</v>
      </c>
      <c r="Y121" s="85" t="s">
        <v>584</v>
      </c>
      <c r="Z121" s="83" t="str">
        <f>HYPERLINK("https://twitter.com/julieworley14/status/1420873344078028805")</f>
        <v>https://twitter.com/julieworley14/status/1420873344078028805</v>
      </c>
      <c r="AA121" s="79"/>
      <c r="AB121" s="79"/>
      <c r="AC121" s="85" t="s">
        <v>763</v>
      </c>
      <c r="AD121" s="79"/>
      <c r="AE121" s="79" t="b">
        <v>0</v>
      </c>
      <c r="AF121" s="79">
        <v>0</v>
      </c>
      <c r="AG121" s="85" t="s">
        <v>867</v>
      </c>
      <c r="AH121" s="79" t="b">
        <v>0</v>
      </c>
      <c r="AI121" s="79" t="s">
        <v>874</v>
      </c>
      <c r="AJ121" s="79"/>
      <c r="AK121" s="85" t="s">
        <v>867</v>
      </c>
      <c r="AL121" s="79" t="b">
        <v>0</v>
      </c>
      <c r="AM121" s="79">
        <v>14</v>
      </c>
      <c r="AN121" s="85" t="s">
        <v>851</v>
      </c>
      <c r="AO121" s="85" t="s">
        <v>882</v>
      </c>
      <c r="AP121" s="79" t="b">
        <v>0</v>
      </c>
      <c r="AQ121" s="85" t="s">
        <v>851</v>
      </c>
      <c r="AR121" s="79" t="s">
        <v>177</v>
      </c>
      <c r="AS121" s="79">
        <v>0</v>
      </c>
      <c r="AT121" s="79">
        <v>0</v>
      </c>
      <c r="AU121" s="79"/>
      <c r="AV121" s="79"/>
      <c r="AW121" s="79"/>
      <c r="AX121" s="79"/>
      <c r="AY121" s="79"/>
      <c r="AZ121" s="79"/>
      <c r="BA121" s="79"/>
      <c r="BB121" s="79"/>
      <c r="BC121">
        <v>1</v>
      </c>
      <c r="BD121" s="78" t="str">
        <f>REPLACE(INDEX(GroupVertices[Group], MATCH(Edges13[[#This Row],[Vertex 1]],GroupVertices[Vertex],0)),1,1,"")</f>
        <v>1</v>
      </c>
      <c r="BE121" s="78" t="str">
        <f>REPLACE(INDEX(GroupVertices[Group], MATCH(Edges13[[#This Row],[Vertex 2]],GroupVertices[Vertex],0)),1,1,"")</f>
        <v>1</v>
      </c>
    </row>
    <row r="122" spans="1:57" x14ac:dyDescent="0.25">
      <c r="A122" s="64" t="s">
        <v>275</v>
      </c>
      <c r="B122" s="64" t="s">
        <v>298</v>
      </c>
      <c r="C122" s="65"/>
      <c r="D122" s="66"/>
      <c r="E122" s="67"/>
      <c r="F122" s="68"/>
      <c r="G122" s="65"/>
      <c r="H122" s="69"/>
      <c r="I122" s="70"/>
      <c r="J122" s="70"/>
      <c r="K122" s="35" t="s">
        <v>65</v>
      </c>
      <c r="L122" s="77">
        <v>232</v>
      </c>
      <c r="M122" s="77"/>
      <c r="N122" s="72"/>
      <c r="O122" s="79" t="s">
        <v>338</v>
      </c>
      <c r="P122" s="81">
        <v>44406.94740740741</v>
      </c>
      <c r="Q122" s="79" t="s">
        <v>373</v>
      </c>
      <c r="R122" s="79"/>
      <c r="S122" s="79"/>
      <c r="T122" s="85" t="s">
        <v>461</v>
      </c>
      <c r="U122" s="83" t="str">
        <f t="shared" si="2"/>
        <v>https://pbs.twimg.com/media/E7fhzF6XsAAoddH.jpg</v>
      </c>
      <c r="V122" s="83" t="str">
        <f t="shared" si="2"/>
        <v>https://pbs.twimg.com/media/E7fhzF6XsAAoddH.jpg</v>
      </c>
      <c r="W122" s="81">
        <v>44406.94740740741</v>
      </c>
      <c r="X122" s="87">
        <v>44406</v>
      </c>
      <c r="Y122" s="85" t="s">
        <v>586</v>
      </c>
      <c r="Z122" s="83" t="str">
        <f>HYPERLINK("https://twitter.com/danadlaurens/status/1420877864895979523")</f>
        <v>https://twitter.com/danadlaurens/status/1420877864895979523</v>
      </c>
      <c r="AA122" s="79"/>
      <c r="AB122" s="79"/>
      <c r="AC122" s="85" t="s">
        <v>766</v>
      </c>
      <c r="AD122" s="79"/>
      <c r="AE122" s="79" t="b">
        <v>0</v>
      </c>
      <c r="AF122" s="79">
        <v>0</v>
      </c>
      <c r="AG122" s="85" t="s">
        <v>867</v>
      </c>
      <c r="AH122" s="79" t="b">
        <v>0</v>
      </c>
      <c r="AI122" s="79" t="s">
        <v>874</v>
      </c>
      <c r="AJ122" s="79"/>
      <c r="AK122" s="85" t="s">
        <v>867</v>
      </c>
      <c r="AL122" s="79" t="b">
        <v>0</v>
      </c>
      <c r="AM122" s="79">
        <v>14</v>
      </c>
      <c r="AN122" s="85" t="s">
        <v>851</v>
      </c>
      <c r="AO122" s="85" t="s">
        <v>883</v>
      </c>
      <c r="AP122" s="79" t="b">
        <v>0</v>
      </c>
      <c r="AQ122" s="85" t="s">
        <v>851</v>
      </c>
      <c r="AR122" s="79" t="s">
        <v>177</v>
      </c>
      <c r="AS122" s="79">
        <v>0</v>
      </c>
      <c r="AT122" s="79">
        <v>0</v>
      </c>
      <c r="AU122" s="79"/>
      <c r="AV122" s="79"/>
      <c r="AW122" s="79"/>
      <c r="AX122" s="79"/>
      <c r="AY122" s="79"/>
      <c r="AZ122" s="79"/>
      <c r="BA122" s="79"/>
      <c r="BB122" s="79"/>
      <c r="BC122">
        <v>1</v>
      </c>
      <c r="BD122" s="78" t="str">
        <f>REPLACE(INDEX(GroupVertices[Group], MATCH(Edges13[[#This Row],[Vertex 1]],GroupVertices[Vertex],0)),1,1,"")</f>
        <v>1</v>
      </c>
      <c r="BE122" s="78" t="str">
        <f>REPLACE(INDEX(GroupVertices[Group], MATCH(Edges13[[#This Row],[Vertex 2]],GroupVertices[Vertex],0)),1,1,"")</f>
        <v>1</v>
      </c>
    </row>
    <row r="123" spans="1:57" x14ac:dyDescent="0.25">
      <c r="A123" s="64" t="s">
        <v>277</v>
      </c>
      <c r="B123" s="64" t="s">
        <v>298</v>
      </c>
      <c r="C123" s="65"/>
      <c r="D123" s="66"/>
      <c r="E123" s="67"/>
      <c r="F123" s="68"/>
      <c r="G123" s="65"/>
      <c r="H123" s="69"/>
      <c r="I123" s="70"/>
      <c r="J123" s="70"/>
      <c r="K123" s="35" t="s">
        <v>65</v>
      </c>
      <c r="L123" s="77">
        <v>233</v>
      </c>
      <c r="M123" s="77"/>
      <c r="N123" s="72"/>
      <c r="O123" s="79" t="s">
        <v>338</v>
      </c>
      <c r="P123" s="81">
        <v>44406.952615740738</v>
      </c>
      <c r="Q123" s="79" t="s">
        <v>373</v>
      </c>
      <c r="R123" s="79"/>
      <c r="S123" s="79"/>
      <c r="T123" s="85" t="s">
        <v>461</v>
      </c>
      <c r="U123" s="83" t="str">
        <f t="shared" si="2"/>
        <v>https://pbs.twimg.com/media/E7fhzF6XsAAoddH.jpg</v>
      </c>
      <c r="V123" s="83" t="str">
        <f t="shared" si="2"/>
        <v>https://pbs.twimg.com/media/E7fhzF6XsAAoddH.jpg</v>
      </c>
      <c r="W123" s="81">
        <v>44406.952615740738</v>
      </c>
      <c r="X123" s="87">
        <v>44406</v>
      </c>
      <c r="Y123" s="85" t="s">
        <v>588</v>
      </c>
      <c r="Z123" s="83" t="str">
        <f>HYPERLINK("https://twitter.com/perla_51/status/1420879751233814529")</f>
        <v>https://twitter.com/perla_51/status/1420879751233814529</v>
      </c>
      <c r="AA123" s="79"/>
      <c r="AB123" s="79"/>
      <c r="AC123" s="85" t="s">
        <v>768</v>
      </c>
      <c r="AD123" s="79"/>
      <c r="AE123" s="79" t="b">
        <v>0</v>
      </c>
      <c r="AF123" s="79">
        <v>0</v>
      </c>
      <c r="AG123" s="85" t="s">
        <v>867</v>
      </c>
      <c r="AH123" s="79" t="b">
        <v>0</v>
      </c>
      <c r="AI123" s="79" t="s">
        <v>874</v>
      </c>
      <c r="AJ123" s="79"/>
      <c r="AK123" s="85" t="s">
        <v>867</v>
      </c>
      <c r="AL123" s="79" t="b">
        <v>0</v>
      </c>
      <c r="AM123" s="79">
        <v>14</v>
      </c>
      <c r="AN123" s="85" t="s">
        <v>851</v>
      </c>
      <c r="AO123" s="85" t="s">
        <v>887</v>
      </c>
      <c r="AP123" s="79" t="b">
        <v>0</v>
      </c>
      <c r="AQ123" s="85" t="s">
        <v>851</v>
      </c>
      <c r="AR123" s="79" t="s">
        <v>177</v>
      </c>
      <c r="AS123" s="79">
        <v>0</v>
      </c>
      <c r="AT123" s="79">
        <v>0</v>
      </c>
      <c r="AU123" s="79"/>
      <c r="AV123" s="79"/>
      <c r="AW123" s="79"/>
      <c r="AX123" s="79"/>
      <c r="AY123" s="79"/>
      <c r="AZ123" s="79"/>
      <c r="BA123" s="79"/>
      <c r="BB123" s="79"/>
      <c r="BC123">
        <v>1</v>
      </c>
      <c r="BD123" s="78" t="str">
        <f>REPLACE(INDEX(GroupVertices[Group], MATCH(Edges13[[#This Row],[Vertex 1]],GroupVertices[Vertex],0)),1,1,"")</f>
        <v>1</v>
      </c>
      <c r="BE123" s="78" t="str">
        <f>REPLACE(INDEX(GroupVertices[Group], MATCH(Edges13[[#This Row],[Vertex 2]],GroupVertices[Vertex],0)),1,1,"")</f>
        <v>1</v>
      </c>
    </row>
    <row r="124" spans="1:57" x14ac:dyDescent="0.25">
      <c r="A124" s="64" t="s">
        <v>280</v>
      </c>
      <c r="B124" s="64" t="s">
        <v>298</v>
      </c>
      <c r="C124" s="65"/>
      <c r="D124" s="66"/>
      <c r="E124" s="67"/>
      <c r="F124" s="68"/>
      <c r="G124" s="65"/>
      <c r="H124" s="69"/>
      <c r="I124" s="70"/>
      <c r="J124" s="70"/>
      <c r="K124" s="35" t="s">
        <v>65</v>
      </c>
      <c r="L124" s="77">
        <v>234</v>
      </c>
      <c r="M124" s="77"/>
      <c r="N124" s="72"/>
      <c r="O124" s="79" t="s">
        <v>338</v>
      </c>
      <c r="P124" s="81">
        <v>44406.966400462959</v>
      </c>
      <c r="Q124" s="79" t="s">
        <v>373</v>
      </c>
      <c r="R124" s="79"/>
      <c r="S124" s="79"/>
      <c r="T124" s="85" t="s">
        <v>461</v>
      </c>
      <c r="U124" s="83" t="str">
        <f t="shared" si="2"/>
        <v>https://pbs.twimg.com/media/E7fhzF6XsAAoddH.jpg</v>
      </c>
      <c r="V124" s="83" t="str">
        <f t="shared" si="2"/>
        <v>https://pbs.twimg.com/media/E7fhzF6XsAAoddH.jpg</v>
      </c>
      <c r="W124" s="81">
        <v>44406.966400462959</v>
      </c>
      <c r="X124" s="87">
        <v>44406</v>
      </c>
      <c r="Y124" s="85" t="s">
        <v>593</v>
      </c>
      <c r="Z124" s="83" t="str">
        <f>HYPERLINK("https://twitter.com/tlharnisch/status/1420884747157446657")</f>
        <v>https://twitter.com/tlharnisch/status/1420884747157446657</v>
      </c>
      <c r="AA124" s="79"/>
      <c r="AB124" s="79"/>
      <c r="AC124" s="85" t="s">
        <v>773</v>
      </c>
      <c r="AD124" s="79"/>
      <c r="AE124" s="79" t="b">
        <v>0</v>
      </c>
      <c r="AF124" s="79">
        <v>0</v>
      </c>
      <c r="AG124" s="85" t="s">
        <v>867</v>
      </c>
      <c r="AH124" s="79" t="b">
        <v>0</v>
      </c>
      <c r="AI124" s="79" t="s">
        <v>874</v>
      </c>
      <c r="AJ124" s="79"/>
      <c r="AK124" s="85" t="s">
        <v>867</v>
      </c>
      <c r="AL124" s="79" t="b">
        <v>0</v>
      </c>
      <c r="AM124" s="79">
        <v>14</v>
      </c>
      <c r="AN124" s="85" t="s">
        <v>851</v>
      </c>
      <c r="AO124" s="85" t="s">
        <v>882</v>
      </c>
      <c r="AP124" s="79" t="b">
        <v>0</v>
      </c>
      <c r="AQ124" s="85" t="s">
        <v>851</v>
      </c>
      <c r="AR124" s="79" t="s">
        <v>177</v>
      </c>
      <c r="AS124" s="79">
        <v>0</v>
      </c>
      <c r="AT124" s="79">
        <v>0</v>
      </c>
      <c r="AU124" s="79"/>
      <c r="AV124" s="79"/>
      <c r="AW124" s="79"/>
      <c r="AX124" s="79"/>
      <c r="AY124" s="79"/>
      <c r="AZ124" s="79"/>
      <c r="BA124" s="79"/>
      <c r="BB124" s="79"/>
      <c r="BC124">
        <v>1</v>
      </c>
      <c r="BD124" s="78" t="str">
        <f>REPLACE(INDEX(GroupVertices[Group], MATCH(Edges13[[#This Row],[Vertex 1]],GroupVertices[Vertex],0)),1,1,"")</f>
        <v>1</v>
      </c>
      <c r="BE124" s="78" t="str">
        <f>REPLACE(INDEX(GroupVertices[Group], MATCH(Edges13[[#This Row],[Vertex 2]],GroupVertices[Vertex],0)),1,1,"")</f>
        <v>1</v>
      </c>
    </row>
    <row r="125" spans="1:57" x14ac:dyDescent="0.25">
      <c r="A125" s="64" t="s">
        <v>283</v>
      </c>
      <c r="B125" s="64" t="s">
        <v>298</v>
      </c>
      <c r="C125" s="65"/>
      <c r="D125" s="66"/>
      <c r="E125" s="67"/>
      <c r="F125" s="68"/>
      <c r="G125" s="65"/>
      <c r="H125" s="69"/>
      <c r="I125" s="70"/>
      <c r="J125" s="70"/>
      <c r="K125" s="35" t="s">
        <v>65</v>
      </c>
      <c r="L125" s="77">
        <v>236</v>
      </c>
      <c r="M125" s="77"/>
      <c r="N125" s="72"/>
      <c r="O125" s="79" t="s">
        <v>338</v>
      </c>
      <c r="P125" s="81">
        <v>44407.646527777775</v>
      </c>
      <c r="Q125" s="79" t="s">
        <v>373</v>
      </c>
      <c r="R125" s="79"/>
      <c r="S125" s="79"/>
      <c r="T125" s="85" t="s">
        <v>461</v>
      </c>
      <c r="U125" s="83" t="str">
        <f t="shared" si="2"/>
        <v>https://pbs.twimg.com/media/E7fhzF6XsAAoddH.jpg</v>
      </c>
      <c r="V125" s="83" t="str">
        <f t="shared" si="2"/>
        <v>https://pbs.twimg.com/media/E7fhzF6XsAAoddH.jpg</v>
      </c>
      <c r="W125" s="81">
        <v>44407.646527777775</v>
      </c>
      <c r="X125" s="87">
        <v>44407</v>
      </c>
      <c r="Y125" s="85" t="s">
        <v>596</v>
      </c>
      <c r="Z125" s="83" t="str">
        <f>HYPERLINK("https://twitter.com/msn100ms46/status/1421131218402246657")</f>
        <v>https://twitter.com/msn100ms46/status/1421131218402246657</v>
      </c>
      <c r="AA125" s="79"/>
      <c r="AB125" s="79"/>
      <c r="AC125" s="85" t="s">
        <v>776</v>
      </c>
      <c r="AD125" s="79"/>
      <c r="AE125" s="79" t="b">
        <v>0</v>
      </c>
      <c r="AF125" s="79">
        <v>0</v>
      </c>
      <c r="AG125" s="85" t="s">
        <v>867</v>
      </c>
      <c r="AH125" s="79" t="b">
        <v>0</v>
      </c>
      <c r="AI125" s="79" t="s">
        <v>874</v>
      </c>
      <c r="AJ125" s="79"/>
      <c r="AK125" s="85" t="s">
        <v>867</v>
      </c>
      <c r="AL125" s="79" t="b">
        <v>0</v>
      </c>
      <c r="AM125" s="79">
        <v>14</v>
      </c>
      <c r="AN125" s="85" t="s">
        <v>851</v>
      </c>
      <c r="AO125" s="85" t="s">
        <v>883</v>
      </c>
      <c r="AP125" s="79" t="b">
        <v>0</v>
      </c>
      <c r="AQ125" s="85" t="s">
        <v>851</v>
      </c>
      <c r="AR125" s="79" t="s">
        <v>177</v>
      </c>
      <c r="AS125" s="79">
        <v>0</v>
      </c>
      <c r="AT125" s="79">
        <v>0</v>
      </c>
      <c r="AU125" s="79"/>
      <c r="AV125" s="79"/>
      <c r="AW125" s="79"/>
      <c r="AX125" s="79"/>
      <c r="AY125" s="79"/>
      <c r="AZ125" s="79"/>
      <c r="BA125" s="79"/>
      <c r="BB125" s="79"/>
      <c r="BC125">
        <v>1</v>
      </c>
      <c r="BD125" s="78" t="str">
        <f>REPLACE(INDEX(GroupVertices[Group], MATCH(Edges13[[#This Row],[Vertex 1]],GroupVertices[Vertex],0)),1,1,"")</f>
        <v>1</v>
      </c>
      <c r="BE125" s="78" t="str">
        <f>REPLACE(INDEX(GroupVertices[Group], MATCH(Edges13[[#This Row],[Vertex 2]],GroupVertices[Vertex],0)),1,1,"")</f>
        <v>1</v>
      </c>
    </row>
    <row r="126" spans="1:57" x14ac:dyDescent="0.25">
      <c r="A126" s="64" t="s">
        <v>290</v>
      </c>
      <c r="B126" s="64" t="s">
        <v>298</v>
      </c>
      <c r="C126" s="65"/>
      <c r="D126" s="66"/>
      <c r="E126" s="67"/>
      <c r="F126" s="68"/>
      <c r="G126" s="65"/>
      <c r="H126" s="69"/>
      <c r="I126" s="70"/>
      <c r="J126" s="70"/>
      <c r="K126" s="35" t="s">
        <v>65</v>
      </c>
      <c r="L126" s="77">
        <v>237</v>
      </c>
      <c r="M126" s="77"/>
      <c r="N126" s="72"/>
      <c r="O126" s="79" t="s">
        <v>338</v>
      </c>
      <c r="P126" s="81">
        <v>44407.769409722219</v>
      </c>
      <c r="Q126" s="79" t="s">
        <v>373</v>
      </c>
      <c r="R126" s="79"/>
      <c r="S126" s="79"/>
      <c r="T126" s="85" t="s">
        <v>461</v>
      </c>
      <c r="U126" s="83" t="str">
        <f t="shared" si="2"/>
        <v>https://pbs.twimg.com/media/E7fhzF6XsAAoddH.jpg</v>
      </c>
      <c r="V126" s="83" t="str">
        <f t="shared" si="2"/>
        <v>https://pbs.twimg.com/media/E7fhzF6XsAAoddH.jpg</v>
      </c>
      <c r="W126" s="81">
        <v>44407.769409722219</v>
      </c>
      <c r="X126" s="87">
        <v>44407</v>
      </c>
      <c r="Y126" s="85" t="s">
        <v>625</v>
      </c>
      <c r="Z126" s="83" t="str">
        <f>HYPERLINK("https://twitter.com/444sai/status/1421175748602126336")</f>
        <v>https://twitter.com/444sai/status/1421175748602126336</v>
      </c>
      <c r="AA126" s="79"/>
      <c r="AB126" s="79"/>
      <c r="AC126" s="85" t="s">
        <v>805</v>
      </c>
      <c r="AD126" s="79"/>
      <c r="AE126" s="79" t="b">
        <v>0</v>
      </c>
      <c r="AF126" s="79">
        <v>0</v>
      </c>
      <c r="AG126" s="85" t="s">
        <v>867</v>
      </c>
      <c r="AH126" s="79" t="b">
        <v>0</v>
      </c>
      <c r="AI126" s="79" t="s">
        <v>874</v>
      </c>
      <c r="AJ126" s="79"/>
      <c r="AK126" s="85" t="s">
        <v>867</v>
      </c>
      <c r="AL126" s="79" t="b">
        <v>0</v>
      </c>
      <c r="AM126" s="79">
        <v>14</v>
      </c>
      <c r="AN126" s="85" t="s">
        <v>851</v>
      </c>
      <c r="AO126" s="85" t="s">
        <v>883</v>
      </c>
      <c r="AP126" s="79" t="b">
        <v>0</v>
      </c>
      <c r="AQ126" s="85" t="s">
        <v>851</v>
      </c>
      <c r="AR126" s="79" t="s">
        <v>177</v>
      </c>
      <c r="AS126" s="79">
        <v>0</v>
      </c>
      <c r="AT126" s="79">
        <v>0</v>
      </c>
      <c r="AU126" s="79"/>
      <c r="AV126" s="79"/>
      <c r="AW126" s="79"/>
      <c r="AX126" s="79"/>
      <c r="AY126" s="79"/>
      <c r="AZ126" s="79"/>
      <c r="BA126" s="79"/>
      <c r="BB126" s="79"/>
      <c r="BC126">
        <v>1</v>
      </c>
      <c r="BD126" s="78" t="str">
        <f>REPLACE(INDEX(GroupVertices[Group], MATCH(Edges13[[#This Row],[Vertex 1]],GroupVertices[Vertex],0)),1,1,"")</f>
        <v>1</v>
      </c>
      <c r="BE126" s="78" t="str">
        <f>REPLACE(INDEX(GroupVertices[Group], MATCH(Edges13[[#This Row],[Vertex 2]],GroupVertices[Vertex],0)),1,1,"")</f>
        <v>1</v>
      </c>
    </row>
    <row r="127" spans="1:57" x14ac:dyDescent="0.25">
      <c r="A127" s="64" t="s">
        <v>293</v>
      </c>
      <c r="B127" s="64" t="s">
        <v>298</v>
      </c>
      <c r="C127" s="65"/>
      <c r="D127" s="66"/>
      <c r="E127" s="67"/>
      <c r="F127" s="68"/>
      <c r="G127" s="65"/>
      <c r="H127" s="69"/>
      <c r="I127" s="70"/>
      <c r="J127" s="70"/>
      <c r="K127" s="35" t="s">
        <v>65</v>
      </c>
      <c r="L127" s="77">
        <v>238</v>
      </c>
      <c r="M127" s="77"/>
      <c r="N127" s="72"/>
      <c r="O127" s="79" t="s">
        <v>338</v>
      </c>
      <c r="P127" s="81">
        <v>44407.894363425927</v>
      </c>
      <c r="Q127" s="79" t="s">
        <v>373</v>
      </c>
      <c r="R127" s="79"/>
      <c r="S127" s="79"/>
      <c r="T127" s="85" t="s">
        <v>461</v>
      </c>
      <c r="U127" s="83" t="str">
        <f t="shared" si="2"/>
        <v>https://pbs.twimg.com/media/E7fhzF6XsAAoddH.jpg</v>
      </c>
      <c r="V127" s="83" t="str">
        <f t="shared" si="2"/>
        <v>https://pbs.twimg.com/media/E7fhzF6XsAAoddH.jpg</v>
      </c>
      <c r="W127" s="81">
        <v>44407.894363425927</v>
      </c>
      <c r="X127" s="87">
        <v>44407</v>
      </c>
      <c r="Y127" s="85" t="s">
        <v>633</v>
      </c>
      <c r="Z127" s="83" t="str">
        <f>HYPERLINK("https://twitter.com/nikolasvision/status/1421221030736154625")</f>
        <v>https://twitter.com/nikolasvision/status/1421221030736154625</v>
      </c>
      <c r="AA127" s="79"/>
      <c r="AB127" s="79"/>
      <c r="AC127" s="85" t="s">
        <v>813</v>
      </c>
      <c r="AD127" s="79"/>
      <c r="AE127" s="79" t="b">
        <v>0</v>
      </c>
      <c r="AF127" s="79">
        <v>0</v>
      </c>
      <c r="AG127" s="85" t="s">
        <v>867</v>
      </c>
      <c r="AH127" s="79" t="b">
        <v>0</v>
      </c>
      <c r="AI127" s="79" t="s">
        <v>874</v>
      </c>
      <c r="AJ127" s="79"/>
      <c r="AK127" s="85" t="s">
        <v>867</v>
      </c>
      <c r="AL127" s="79" t="b">
        <v>0</v>
      </c>
      <c r="AM127" s="79">
        <v>14</v>
      </c>
      <c r="AN127" s="85" t="s">
        <v>851</v>
      </c>
      <c r="AO127" s="85" t="s">
        <v>882</v>
      </c>
      <c r="AP127" s="79" t="b">
        <v>0</v>
      </c>
      <c r="AQ127" s="85" t="s">
        <v>851</v>
      </c>
      <c r="AR127" s="79" t="s">
        <v>177</v>
      </c>
      <c r="AS127" s="79">
        <v>0</v>
      </c>
      <c r="AT127" s="79">
        <v>0</v>
      </c>
      <c r="AU127" s="79"/>
      <c r="AV127" s="79"/>
      <c r="AW127" s="79"/>
      <c r="AX127" s="79"/>
      <c r="AY127" s="79"/>
      <c r="AZ127" s="79"/>
      <c r="BA127" s="79"/>
      <c r="BB127" s="79"/>
      <c r="BC127">
        <v>1</v>
      </c>
      <c r="BD127" s="78" t="str">
        <f>REPLACE(INDEX(GroupVertices[Group], MATCH(Edges13[[#This Row],[Vertex 1]],GroupVertices[Vertex],0)),1,1,"")</f>
        <v>1</v>
      </c>
      <c r="BE127" s="78" t="str">
        <f>REPLACE(INDEX(GroupVertices[Group], MATCH(Edges13[[#This Row],[Vertex 2]],GroupVertices[Vertex],0)),1,1,"")</f>
        <v>1</v>
      </c>
    </row>
    <row r="128" spans="1:57" x14ac:dyDescent="0.25">
      <c r="A128" s="64" t="s">
        <v>231</v>
      </c>
      <c r="B128" s="64" t="s">
        <v>304</v>
      </c>
      <c r="C128" s="65"/>
      <c r="D128" s="66"/>
      <c r="E128" s="67"/>
      <c r="F128" s="68"/>
      <c r="G128" s="65"/>
      <c r="H128" s="69"/>
      <c r="I128" s="70"/>
      <c r="J128" s="70"/>
      <c r="K128" s="35" t="s">
        <v>65</v>
      </c>
      <c r="L128" s="77">
        <v>240</v>
      </c>
      <c r="M128" s="77"/>
      <c r="N128" s="72"/>
      <c r="O128" s="79" t="s">
        <v>339</v>
      </c>
      <c r="P128" s="81">
        <v>44404.64403935185</v>
      </c>
      <c r="Q128" s="79" t="s">
        <v>351</v>
      </c>
      <c r="R128" s="79"/>
      <c r="S128" s="79"/>
      <c r="T128" s="85" t="s">
        <v>468</v>
      </c>
      <c r="U128" s="79"/>
      <c r="V128" s="83" t="str">
        <f>HYPERLINK("https://pbs.twimg.com/profile_images/867414285898723328/dHpvU7Q-_normal.jpg")</f>
        <v>https://pbs.twimg.com/profile_images/867414285898723328/dHpvU7Q-_normal.jpg</v>
      </c>
      <c r="W128" s="81">
        <v>44404.64403935185</v>
      </c>
      <c r="X128" s="87">
        <v>44404</v>
      </c>
      <c r="Y128" s="85" t="s">
        <v>525</v>
      </c>
      <c r="Z128" s="83" t="str">
        <f>HYPERLINK("https://twitter.com/rader_trader/status/1420043153533374466")</f>
        <v>https://twitter.com/rader_trader/status/1420043153533374466</v>
      </c>
      <c r="AA128" s="79"/>
      <c r="AB128" s="79"/>
      <c r="AC128" s="85" t="s">
        <v>701</v>
      </c>
      <c r="AD128" s="79"/>
      <c r="AE128" s="79" t="b">
        <v>0</v>
      </c>
      <c r="AF128" s="79">
        <v>2</v>
      </c>
      <c r="AG128" s="85" t="s">
        <v>867</v>
      </c>
      <c r="AH128" s="79" t="b">
        <v>0</v>
      </c>
      <c r="AI128" s="79" t="s">
        <v>874</v>
      </c>
      <c r="AJ128" s="79"/>
      <c r="AK128" s="85" t="s">
        <v>867</v>
      </c>
      <c r="AL128" s="79" t="b">
        <v>0</v>
      </c>
      <c r="AM128" s="79">
        <v>0</v>
      </c>
      <c r="AN128" s="85" t="s">
        <v>867</v>
      </c>
      <c r="AO128" s="85" t="s">
        <v>883</v>
      </c>
      <c r="AP128" s="79" t="b">
        <v>0</v>
      </c>
      <c r="AQ128" s="85" t="s">
        <v>701</v>
      </c>
      <c r="AR128" s="79" t="s">
        <v>177</v>
      </c>
      <c r="AS128" s="79">
        <v>0</v>
      </c>
      <c r="AT128" s="79">
        <v>0</v>
      </c>
      <c r="AU128" s="79"/>
      <c r="AV128" s="79"/>
      <c r="AW128" s="79"/>
      <c r="AX128" s="79"/>
      <c r="AY128" s="79"/>
      <c r="AZ128" s="79"/>
      <c r="BA128" s="79"/>
      <c r="BB128" s="79"/>
      <c r="BC128">
        <v>1</v>
      </c>
      <c r="BD128" s="78" t="str">
        <f>REPLACE(INDEX(GroupVertices[Group], MATCH(Edges13[[#This Row],[Vertex 1]],GroupVertices[Vertex],0)),1,1,"")</f>
        <v>1</v>
      </c>
      <c r="BE128" s="78" t="str">
        <f>REPLACE(INDEX(GroupVertices[Group], MATCH(Edges13[[#This Row],[Vertex 2]],GroupVertices[Vertex],0)),1,1,"")</f>
        <v>1</v>
      </c>
    </row>
    <row r="129" spans="1:57" x14ac:dyDescent="0.25">
      <c r="A129" s="64" t="s">
        <v>262</v>
      </c>
      <c r="B129" s="64" t="s">
        <v>304</v>
      </c>
      <c r="C129" s="65"/>
      <c r="D129" s="66"/>
      <c r="E129" s="67"/>
      <c r="F129" s="68"/>
      <c r="G129" s="65"/>
      <c r="H129" s="69"/>
      <c r="I129" s="70"/>
      <c r="J129" s="70"/>
      <c r="K129" s="35" t="s">
        <v>65</v>
      </c>
      <c r="L129" s="77">
        <v>241</v>
      </c>
      <c r="M129" s="77"/>
      <c r="N129" s="72"/>
      <c r="O129" s="79" t="s">
        <v>337</v>
      </c>
      <c r="P129" s="81">
        <v>44406.182662037034</v>
      </c>
      <c r="Q129" s="79" t="s">
        <v>365</v>
      </c>
      <c r="R129" s="79"/>
      <c r="S129" s="79"/>
      <c r="T129" s="85" t="s">
        <v>461</v>
      </c>
      <c r="U129" s="83" t="str">
        <f t="shared" ref="U129:V136" si="3">HYPERLINK("https://pbs.twimg.com/ext_tw_video_thumb/1420560954690088965/pu/img/mw30pB3lQf5fmFQ8.jpg")</f>
        <v>https://pbs.twimg.com/ext_tw_video_thumb/1420560954690088965/pu/img/mw30pB3lQf5fmFQ8.jpg</v>
      </c>
      <c r="V129" s="83" t="str">
        <f t="shared" si="3"/>
        <v>https://pbs.twimg.com/ext_tw_video_thumb/1420560954690088965/pu/img/mw30pB3lQf5fmFQ8.jpg</v>
      </c>
      <c r="W129" s="81">
        <v>44406.182662037034</v>
      </c>
      <c r="X129" s="87">
        <v>44406</v>
      </c>
      <c r="Y129" s="85" t="s">
        <v>560</v>
      </c>
      <c r="Z129" s="83" t="str">
        <f>HYPERLINK("https://twitter.com/jkkahlden/status/1420600732139524097")</f>
        <v>https://twitter.com/jkkahlden/status/1420600732139524097</v>
      </c>
      <c r="AA129" s="79"/>
      <c r="AB129" s="79"/>
      <c r="AC129" s="85" t="s">
        <v>739</v>
      </c>
      <c r="AD129" s="79"/>
      <c r="AE129" s="79" t="b">
        <v>0</v>
      </c>
      <c r="AF129" s="79">
        <v>0</v>
      </c>
      <c r="AG129" s="85" t="s">
        <v>867</v>
      </c>
      <c r="AH129" s="79" t="b">
        <v>0</v>
      </c>
      <c r="AI129" s="79" t="s">
        <v>874</v>
      </c>
      <c r="AJ129" s="79"/>
      <c r="AK129" s="85" t="s">
        <v>867</v>
      </c>
      <c r="AL129" s="79" t="b">
        <v>0</v>
      </c>
      <c r="AM129" s="79">
        <v>8</v>
      </c>
      <c r="AN129" s="85" t="s">
        <v>784</v>
      </c>
      <c r="AO129" s="85" t="s">
        <v>883</v>
      </c>
      <c r="AP129" s="79" t="b">
        <v>0</v>
      </c>
      <c r="AQ129" s="85" t="s">
        <v>784</v>
      </c>
      <c r="AR129" s="79" t="s">
        <v>177</v>
      </c>
      <c r="AS129" s="79">
        <v>0</v>
      </c>
      <c r="AT129" s="79">
        <v>0</v>
      </c>
      <c r="AU129" s="79"/>
      <c r="AV129" s="79"/>
      <c r="AW129" s="79"/>
      <c r="AX129" s="79"/>
      <c r="AY129" s="79"/>
      <c r="AZ129" s="79"/>
      <c r="BA129" s="79"/>
      <c r="BB129" s="79"/>
      <c r="BC129">
        <v>1</v>
      </c>
      <c r="BD129" s="78" t="str">
        <f>REPLACE(INDEX(GroupVertices[Group], MATCH(Edges13[[#This Row],[Vertex 1]],GroupVertices[Vertex],0)),1,1,"")</f>
        <v>1</v>
      </c>
      <c r="BE129" s="78" t="str">
        <f>REPLACE(INDEX(GroupVertices[Group], MATCH(Edges13[[#This Row],[Vertex 2]],GroupVertices[Vertex],0)),1,1,"")</f>
        <v>1</v>
      </c>
    </row>
    <row r="130" spans="1:57" x14ac:dyDescent="0.25">
      <c r="A130" s="64" t="s">
        <v>263</v>
      </c>
      <c r="B130" s="64" t="s">
        <v>304</v>
      </c>
      <c r="C130" s="65"/>
      <c r="D130" s="66"/>
      <c r="E130" s="67"/>
      <c r="F130" s="68"/>
      <c r="G130" s="65"/>
      <c r="H130" s="69"/>
      <c r="I130" s="70"/>
      <c r="J130" s="70"/>
      <c r="K130" s="35" t="s">
        <v>65</v>
      </c>
      <c r="L130" s="77">
        <v>242</v>
      </c>
      <c r="M130" s="77"/>
      <c r="N130" s="72"/>
      <c r="O130" s="79" t="s">
        <v>337</v>
      </c>
      <c r="P130" s="81">
        <v>44406.183032407411</v>
      </c>
      <c r="Q130" s="79" t="s">
        <v>365</v>
      </c>
      <c r="R130" s="79"/>
      <c r="S130" s="79"/>
      <c r="T130" s="85" t="s">
        <v>461</v>
      </c>
      <c r="U130" s="83" t="str">
        <f t="shared" si="3"/>
        <v>https://pbs.twimg.com/ext_tw_video_thumb/1420560954690088965/pu/img/mw30pB3lQf5fmFQ8.jpg</v>
      </c>
      <c r="V130" s="83" t="str">
        <f t="shared" si="3"/>
        <v>https://pbs.twimg.com/ext_tw_video_thumb/1420560954690088965/pu/img/mw30pB3lQf5fmFQ8.jpg</v>
      </c>
      <c r="W130" s="81">
        <v>44406.183032407411</v>
      </c>
      <c r="X130" s="87">
        <v>44406</v>
      </c>
      <c r="Y130" s="85" t="s">
        <v>561</v>
      </c>
      <c r="Z130" s="83" t="str">
        <f>HYPERLINK("https://twitter.com/cory_lemay/status/1420600866482974721")</f>
        <v>https://twitter.com/cory_lemay/status/1420600866482974721</v>
      </c>
      <c r="AA130" s="79"/>
      <c r="AB130" s="79"/>
      <c r="AC130" s="85" t="s">
        <v>740</v>
      </c>
      <c r="AD130" s="79"/>
      <c r="AE130" s="79" t="b">
        <v>0</v>
      </c>
      <c r="AF130" s="79">
        <v>0</v>
      </c>
      <c r="AG130" s="85" t="s">
        <v>867</v>
      </c>
      <c r="AH130" s="79" t="b">
        <v>0</v>
      </c>
      <c r="AI130" s="79" t="s">
        <v>874</v>
      </c>
      <c r="AJ130" s="79"/>
      <c r="AK130" s="85" t="s">
        <v>867</v>
      </c>
      <c r="AL130" s="79" t="b">
        <v>0</v>
      </c>
      <c r="AM130" s="79">
        <v>8</v>
      </c>
      <c r="AN130" s="85" t="s">
        <v>784</v>
      </c>
      <c r="AO130" s="85" t="s">
        <v>882</v>
      </c>
      <c r="AP130" s="79" t="b">
        <v>0</v>
      </c>
      <c r="AQ130" s="85" t="s">
        <v>784</v>
      </c>
      <c r="AR130" s="79" t="s">
        <v>177</v>
      </c>
      <c r="AS130" s="79">
        <v>0</v>
      </c>
      <c r="AT130" s="79">
        <v>0</v>
      </c>
      <c r="AU130" s="79"/>
      <c r="AV130" s="79"/>
      <c r="AW130" s="79"/>
      <c r="AX130" s="79"/>
      <c r="AY130" s="79"/>
      <c r="AZ130" s="79"/>
      <c r="BA130" s="79"/>
      <c r="BB130" s="79"/>
      <c r="BC130">
        <v>1</v>
      </c>
      <c r="BD130" s="78" t="str">
        <f>REPLACE(INDEX(GroupVertices[Group], MATCH(Edges13[[#This Row],[Vertex 1]],GroupVertices[Vertex],0)),1,1,"")</f>
        <v>1</v>
      </c>
      <c r="BE130" s="78" t="str">
        <f>REPLACE(INDEX(GroupVertices[Group], MATCH(Edges13[[#This Row],[Vertex 2]],GroupVertices[Vertex],0)),1,1,"")</f>
        <v>1</v>
      </c>
    </row>
    <row r="131" spans="1:57" x14ac:dyDescent="0.25">
      <c r="A131" s="64" t="s">
        <v>264</v>
      </c>
      <c r="B131" s="64" t="s">
        <v>304</v>
      </c>
      <c r="C131" s="65"/>
      <c r="D131" s="66"/>
      <c r="E131" s="67"/>
      <c r="F131" s="68"/>
      <c r="G131" s="65"/>
      <c r="H131" s="69"/>
      <c r="I131" s="70"/>
      <c r="J131" s="70"/>
      <c r="K131" s="35" t="s">
        <v>65</v>
      </c>
      <c r="L131" s="77">
        <v>243</v>
      </c>
      <c r="M131" s="77"/>
      <c r="N131" s="72"/>
      <c r="O131" s="79" t="s">
        <v>337</v>
      </c>
      <c r="P131" s="81">
        <v>44406.594548611109</v>
      </c>
      <c r="Q131" s="79" t="s">
        <v>365</v>
      </c>
      <c r="R131" s="79"/>
      <c r="S131" s="79"/>
      <c r="T131" s="85" t="s">
        <v>461</v>
      </c>
      <c r="U131" s="83" t="str">
        <f t="shared" si="3"/>
        <v>https://pbs.twimg.com/ext_tw_video_thumb/1420560954690088965/pu/img/mw30pB3lQf5fmFQ8.jpg</v>
      </c>
      <c r="V131" s="83" t="str">
        <f t="shared" si="3"/>
        <v>https://pbs.twimg.com/ext_tw_video_thumb/1420560954690088965/pu/img/mw30pB3lQf5fmFQ8.jpg</v>
      </c>
      <c r="W131" s="81">
        <v>44406.594548611109</v>
      </c>
      <c r="X131" s="87">
        <v>44406</v>
      </c>
      <c r="Y131" s="85" t="s">
        <v>562</v>
      </c>
      <c r="Z131" s="83" t="str">
        <f>HYPERLINK("https://twitter.com/upward_boundesu/status/1420749992285724675")</f>
        <v>https://twitter.com/upward_boundesu/status/1420749992285724675</v>
      </c>
      <c r="AA131" s="79"/>
      <c r="AB131" s="79"/>
      <c r="AC131" s="85" t="s">
        <v>741</v>
      </c>
      <c r="AD131" s="79"/>
      <c r="AE131" s="79" t="b">
        <v>0</v>
      </c>
      <c r="AF131" s="79">
        <v>0</v>
      </c>
      <c r="AG131" s="85" t="s">
        <v>867</v>
      </c>
      <c r="AH131" s="79" t="b">
        <v>0</v>
      </c>
      <c r="AI131" s="79" t="s">
        <v>874</v>
      </c>
      <c r="AJ131" s="79"/>
      <c r="AK131" s="85" t="s">
        <v>867</v>
      </c>
      <c r="AL131" s="79" t="b">
        <v>0</v>
      </c>
      <c r="AM131" s="79">
        <v>8</v>
      </c>
      <c r="AN131" s="85" t="s">
        <v>784</v>
      </c>
      <c r="AO131" s="85" t="s">
        <v>882</v>
      </c>
      <c r="AP131" s="79" t="b">
        <v>0</v>
      </c>
      <c r="AQ131" s="85" t="s">
        <v>784</v>
      </c>
      <c r="AR131" s="79" t="s">
        <v>177</v>
      </c>
      <c r="AS131" s="79">
        <v>0</v>
      </c>
      <c r="AT131" s="79">
        <v>0</v>
      </c>
      <c r="AU131" s="79"/>
      <c r="AV131" s="79"/>
      <c r="AW131" s="79"/>
      <c r="AX131" s="79"/>
      <c r="AY131" s="79"/>
      <c r="AZ131" s="79"/>
      <c r="BA131" s="79"/>
      <c r="BB131" s="79"/>
      <c r="BC131">
        <v>1</v>
      </c>
      <c r="BD131" s="78" t="str">
        <f>REPLACE(INDEX(GroupVertices[Group], MATCH(Edges13[[#This Row],[Vertex 1]],GroupVertices[Vertex],0)),1,1,"")</f>
        <v>1</v>
      </c>
      <c r="BE131" s="78" t="str">
        <f>REPLACE(INDEX(GroupVertices[Group], MATCH(Edges13[[#This Row],[Vertex 2]],GroupVertices[Vertex],0)),1,1,"")</f>
        <v>1</v>
      </c>
    </row>
    <row r="132" spans="1:57" x14ac:dyDescent="0.25">
      <c r="A132" s="64" t="s">
        <v>274</v>
      </c>
      <c r="B132" s="64" t="s">
        <v>304</v>
      </c>
      <c r="C132" s="65"/>
      <c r="D132" s="66"/>
      <c r="E132" s="67"/>
      <c r="F132" s="68"/>
      <c r="G132" s="65"/>
      <c r="H132" s="69"/>
      <c r="I132" s="70"/>
      <c r="J132" s="70"/>
      <c r="K132" s="35" t="s">
        <v>65</v>
      </c>
      <c r="L132" s="77">
        <v>244</v>
      </c>
      <c r="M132" s="77"/>
      <c r="N132" s="72"/>
      <c r="O132" s="79" t="s">
        <v>337</v>
      </c>
      <c r="P132" s="81">
        <v>44406.942465277774</v>
      </c>
      <c r="Q132" s="79" t="s">
        <v>365</v>
      </c>
      <c r="R132" s="79"/>
      <c r="S132" s="79"/>
      <c r="T132" s="85" t="s">
        <v>461</v>
      </c>
      <c r="U132" s="83" t="str">
        <f t="shared" si="3"/>
        <v>https://pbs.twimg.com/ext_tw_video_thumb/1420560954690088965/pu/img/mw30pB3lQf5fmFQ8.jpg</v>
      </c>
      <c r="V132" s="83" t="str">
        <f t="shared" si="3"/>
        <v>https://pbs.twimg.com/ext_tw_video_thumb/1420560954690088965/pu/img/mw30pB3lQf5fmFQ8.jpg</v>
      </c>
      <c r="W132" s="81">
        <v>44406.942465277774</v>
      </c>
      <c r="X132" s="87">
        <v>44406</v>
      </c>
      <c r="Y132" s="85" t="s">
        <v>585</v>
      </c>
      <c r="Z132" s="83" t="str">
        <f>HYPERLINK("https://twitter.com/kjcounsel/status/1420876074184060928")</f>
        <v>https://twitter.com/kjcounsel/status/1420876074184060928</v>
      </c>
      <c r="AA132" s="79"/>
      <c r="AB132" s="79"/>
      <c r="AC132" s="85" t="s">
        <v>765</v>
      </c>
      <c r="AD132" s="79"/>
      <c r="AE132" s="79" t="b">
        <v>0</v>
      </c>
      <c r="AF132" s="79">
        <v>0</v>
      </c>
      <c r="AG132" s="85" t="s">
        <v>867</v>
      </c>
      <c r="AH132" s="79" t="b">
        <v>0</v>
      </c>
      <c r="AI132" s="79" t="s">
        <v>874</v>
      </c>
      <c r="AJ132" s="79"/>
      <c r="AK132" s="85" t="s">
        <v>867</v>
      </c>
      <c r="AL132" s="79" t="b">
        <v>0</v>
      </c>
      <c r="AM132" s="79">
        <v>8</v>
      </c>
      <c r="AN132" s="85" t="s">
        <v>784</v>
      </c>
      <c r="AO132" s="85" t="s">
        <v>883</v>
      </c>
      <c r="AP132" s="79" t="b">
        <v>0</v>
      </c>
      <c r="AQ132" s="85" t="s">
        <v>784</v>
      </c>
      <c r="AR132" s="79" t="s">
        <v>177</v>
      </c>
      <c r="AS132" s="79">
        <v>0</v>
      </c>
      <c r="AT132" s="79">
        <v>0</v>
      </c>
      <c r="AU132" s="79"/>
      <c r="AV132" s="79"/>
      <c r="AW132" s="79"/>
      <c r="AX132" s="79"/>
      <c r="AY132" s="79"/>
      <c r="AZ132" s="79"/>
      <c r="BA132" s="79"/>
      <c r="BB132" s="79"/>
      <c r="BC132">
        <v>1</v>
      </c>
      <c r="BD132" s="78" t="str">
        <f>REPLACE(INDEX(GroupVertices[Group], MATCH(Edges13[[#This Row],[Vertex 1]],GroupVertices[Vertex],0)),1,1,"")</f>
        <v>6</v>
      </c>
      <c r="BE132" s="78" t="str">
        <f>REPLACE(INDEX(GroupVertices[Group], MATCH(Edges13[[#This Row],[Vertex 2]],GroupVertices[Vertex],0)),1,1,"")</f>
        <v>1</v>
      </c>
    </row>
    <row r="133" spans="1:57" x14ac:dyDescent="0.25">
      <c r="A133" s="64" t="s">
        <v>276</v>
      </c>
      <c r="B133" s="64" t="s">
        <v>304</v>
      </c>
      <c r="C133" s="65"/>
      <c r="D133" s="66"/>
      <c r="E133" s="67"/>
      <c r="F133" s="68"/>
      <c r="G133" s="65"/>
      <c r="H133" s="69"/>
      <c r="I133" s="70"/>
      <c r="J133" s="70"/>
      <c r="K133" s="35" t="s">
        <v>65</v>
      </c>
      <c r="L133" s="77">
        <v>245</v>
      </c>
      <c r="M133" s="77"/>
      <c r="N133" s="72"/>
      <c r="O133" s="79" t="s">
        <v>337</v>
      </c>
      <c r="P133" s="81">
        <v>44406.95076388889</v>
      </c>
      <c r="Q133" s="79" t="s">
        <v>365</v>
      </c>
      <c r="R133" s="79"/>
      <c r="S133" s="79"/>
      <c r="T133" s="85" t="s">
        <v>461</v>
      </c>
      <c r="U133" s="83" t="str">
        <f t="shared" si="3"/>
        <v>https://pbs.twimg.com/ext_tw_video_thumb/1420560954690088965/pu/img/mw30pB3lQf5fmFQ8.jpg</v>
      </c>
      <c r="V133" s="83" t="str">
        <f t="shared" si="3"/>
        <v>https://pbs.twimg.com/ext_tw_video_thumb/1420560954690088965/pu/img/mw30pB3lQf5fmFQ8.jpg</v>
      </c>
      <c r="W133" s="81">
        <v>44406.95076388889</v>
      </c>
      <c r="X133" s="87">
        <v>44406</v>
      </c>
      <c r="Y133" s="85" t="s">
        <v>587</v>
      </c>
      <c r="Z133" s="83" t="str">
        <f>HYPERLINK("https://twitter.com/independantdemo/status/1420879083693436928")</f>
        <v>https://twitter.com/independantdemo/status/1420879083693436928</v>
      </c>
      <c r="AA133" s="79"/>
      <c r="AB133" s="79"/>
      <c r="AC133" s="85" t="s">
        <v>767</v>
      </c>
      <c r="AD133" s="79"/>
      <c r="AE133" s="79" t="b">
        <v>0</v>
      </c>
      <c r="AF133" s="79">
        <v>0</v>
      </c>
      <c r="AG133" s="85" t="s">
        <v>867</v>
      </c>
      <c r="AH133" s="79" t="b">
        <v>0</v>
      </c>
      <c r="AI133" s="79" t="s">
        <v>874</v>
      </c>
      <c r="AJ133" s="79"/>
      <c r="AK133" s="85" t="s">
        <v>867</v>
      </c>
      <c r="AL133" s="79" t="b">
        <v>0</v>
      </c>
      <c r="AM133" s="79">
        <v>8</v>
      </c>
      <c r="AN133" s="85" t="s">
        <v>784</v>
      </c>
      <c r="AO133" s="85" t="s">
        <v>883</v>
      </c>
      <c r="AP133" s="79" t="b">
        <v>0</v>
      </c>
      <c r="AQ133" s="85" t="s">
        <v>784</v>
      </c>
      <c r="AR133" s="79" t="s">
        <v>177</v>
      </c>
      <c r="AS133" s="79">
        <v>0</v>
      </c>
      <c r="AT133" s="79">
        <v>0</v>
      </c>
      <c r="AU133" s="79"/>
      <c r="AV133" s="79"/>
      <c r="AW133" s="79"/>
      <c r="AX133" s="79"/>
      <c r="AY133" s="79"/>
      <c r="AZ133" s="79"/>
      <c r="BA133" s="79"/>
      <c r="BB133" s="79"/>
      <c r="BC133">
        <v>1</v>
      </c>
      <c r="BD133" s="78" t="str">
        <f>REPLACE(INDEX(GroupVertices[Group], MATCH(Edges13[[#This Row],[Vertex 1]],GroupVertices[Vertex],0)),1,1,"")</f>
        <v>1</v>
      </c>
      <c r="BE133" s="78" t="str">
        <f>REPLACE(INDEX(GroupVertices[Group], MATCH(Edges13[[#This Row],[Vertex 2]],GroupVertices[Vertex],0)),1,1,"")</f>
        <v>1</v>
      </c>
    </row>
    <row r="134" spans="1:57" x14ac:dyDescent="0.25">
      <c r="A134" s="64" t="s">
        <v>278</v>
      </c>
      <c r="B134" s="64" t="s">
        <v>304</v>
      </c>
      <c r="C134" s="65"/>
      <c r="D134" s="66"/>
      <c r="E134" s="67"/>
      <c r="F134" s="68"/>
      <c r="G134" s="65"/>
      <c r="H134" s="69"/>
      <c r="I134" s="70"/>
      <c r="J134" s="70"/>
      <c r="K134" s="35" t="s">
        <v>65</v>
      </c>
      <c r="L134" s="77">
        <v>246</v>
      </c>
      <c r="M134" s="77"/>
      <c r="N134" s="72"/>
      <c r="O134" s="79" t="s">
        <v>337</v>
      </c>
      <c r="P134" s="81">
        <v>44406.953831018516</v>
      </c>
      <c r="Q134" s="79" t="s">
        <v>365</v>
      </c>
      <c r="R134" s="79"/>
      <c r="S134" s="79"/>
      <c r="T134" s="85" t="s">
        <v>461</v>
      </c>
      <c r="U134" s="83" t="str">
        <f t="shared" si="3"/>
        <v>https://pbs.twimg.com/ext_tw_video_thumb/1420560954690088965/pu/img/mw30pB3lQf5fmFQ8.jpg</v>
      </c>
      <c r="V134" s="83" t="str">
        <f t="shared" si="3"/>
        <v>https://pbs.twimg.com/ext_tw_video_thumb/1420560954690088965/pu/img/mw30pB3lQf5fmFQ8.jpg</v>
      </c>
      <c r="W134" s="81">
        <v>44406.953831018516</v>
      </c>
      <c r="X134" s="87">
        <v>44406</v>
      </c>
      <c r="Y134" s="85" t="s">
        <v>589</v>
      </c>
      <c r="Z134" s="83" t="str">
        <f>HYPERLINK("https://twitter.com/mickeybellet/status/1420880191577001985")</f>
        <v>https://twitter.com/mickeybellet/status/1420880191577001985</v>
      </c>
      <c r="AA134" s="79"/>
      <c r="AB134" s="79"/>
      <c r="AC134" s="85" t="s">
        <v>769</v>
      </c>
      <c r="AD134" s="79"/>
      <c r="AE134" s="79" t="b">
        <v>0</v>
      </c>
      <c r="AF134" s="79">
        <v>0</v>
      </c>
      <c r="AG134" s="85" t="s">
        <v>867</v>
      </c>
      <c r="AH134" s="79" t="b">
        <v>0</v>
      </c>
      <c r="AI134" s="79" t="s">
        <v>874</v>
      </c>
      <c r="AJ134" s="79"/>
      <c r="AK134" s="85" t="s">
        <v>867</v>
      </c>
      <c r="AL134" s="79" t="b">
        <v>0</v>
      </c>
      <c r="AM134" s="79">
        <v>8</v>
      </c>
      <c r="AN134" s="85" t="s">
        <v>784</v>
      </c>
      <c r="AO134" s="85" t="s">
        <v>887</v>
      </c>
      <c r="AP134" s="79" t="b">
        <v>0</v>
      </c>
      <c r="AQ134" s="85" t="s">
        <v>784</v>
      </c>
      <c r="AR134" s="79" t="s">
        <v>177</v>
      </c>
      <c r="AS134" s="79">
        <v>0</v>
      </c>
      <c r="AT134" s="79">
        <v>0</v>
      </c>
      <c r="AU134" s="79"/>
      <c r="AV134" s="79"/>
      <c r="AW134" s="79"/>
      <c r="AX134" s="79"/>
      <c r="AY134" s="79"/>
      <c r="AZ134" s="79"/>
      <c r="BA134" s="79"/>
      <c r="BB134" s="79"/>
      <c r="BC134">
        <v>1</v>
      </c>
      <c r="BD134" s="78" t="str">
        <f>REPLACE(INDEX(GroupVertices[Group], MATCH(Edges13[[#This Row],[Vertex 1]],GroupVertices[Vertex],0)),1,1,"")</f>
        <v>1</v>
      </c>
      <c r="BE134" s="78" t="str">
        <f>REPLACE(INDEX(GroupVertices[Group], MATCH(Edges13[[#This Row],[Vertex 2]],GroupVertices[Vertex],0)),1,1,"")</f>
        <v>1</v>
      </c>
    </row>
    <row r="135" spans="1:57" x14ac:dyDescent="0.25">
      <c r="A135" s="64" t="s">
        <v>281</v>
      </c>
      <c r="B135" s="64" t="s">
        <v>304</v>
      </c>
      <c r="C135" s="65"/>
      <c r="D135" s="66"/>
      <c r="E135" s="67"/>
      <c r="F135" s="68"/>
      <c r="G135" s="65"/>
      <c r="H135" s="69"/>
      <c r="I135" s="70"/>
      <c r="J135" s="70"/>
      <c r="K135" s="35" t="s">
        <v>65</v>
      </c>
      <c r="L135" s="77">
        <v>247</v>
      </c>
      <c r="M135" s="77"/>
      <c r="N135" s="72"/>
      <c r="O135" s="79" t="s">
        <v>337</v>
      </c>
      <c r="P135" s="81">
        <v>44406.986979166664</v>
      </c>
      <c r="Q135" s="79" t="s">
        <v>365</v>
      </c>
      <c r="R135" s="79"/>
      <c r="S135" s="79"/>
      <c r="T135" s="85" t="s">
        <v>461</v>
      </c>
      <c r="U135" s="83" t="str">
        <f t="shared" si="3"/>
        <v>https://pbs.twimg.com/ext_tw_video_thumb/1420560954690088965/pu/img/mw30pB3lQf5fmFQ8.jpg</v>
      </c>
      <c r="V135" s="83" t="str">
        <f t="shared" si="3"/>
        <v>https://pbs.twimg.com/ext_tw_video_thumb/1420560954690088965/pu/img/mw30pB3lQf5fmFQ8.jpg</v>
      </c>
      <c r="W135" s="81">
        <v>44406.986979166664</v>
      </c>
      <c r="X135" s="87">
        <v>44406</v>
      </c>
      <c r="Y135" s="85" t="s">
        <v>594</v>
      </c>
      <c r="Z135" s="83" t="str">
        <f>HYPERLINK("https://twitter.com/divinelyteressa/status/1420892207108825094")</f>
        <v>https://twitter.com/divinelyteressa/status/1420892207108825094</v>
      </c>
      <c r="AA135" s="79"/>
      <c r="AB135" s="79"/>
      <c r="AC135" s="85" t="s">
        <v>774</v>
      </c>
      <c r="AD135" s="79"/>
      <c r="AE135" s="79" t="b">
        <v>0</v>
      </c>
      <c r="AF135" s="79">
        <v>0</v>
      </c>
      <c r="AG135" s="85" t="s">
        <v>867</v>
      </c>
      <c r="AH135" s="79" t="b">
        <v>0</v>
      </c>
      <c r="AI135" s="79" t="s">
        <v>874</v>
      </c>
      <c r="AJ135" s="79"/>
      <c r="AK135" s="85" t="s">
        <v>867</v>
      </c>
      <c r="AL135" s="79" t="b">
        <v>0</v>
      </c>
      <c r="AM135" s="79">
        <v>8</v>
      </c>
      <c r="AN135" s="85" t="s">
        <v>784</v>
      </c>
      <c r="AO135" s="85" t="s">
        <v>883</v>
      </c>
      <c r="AP135" s="79" t="b">
        <v>0</v>
      </c>
      <c r="AQ135" s="85" t="s">
        <v>784</v>
      </c>
      <c r="AR135" s="79" t="s">
        <v>177</v>
      </c>
      <c r="AS135" s="79">
        <v>0</v>
      </c>
      <c r="AT135" s="79">
        <v>0</v>
      </c>
      <c r="AU135" s="79"/>
      <c r="AV135" s="79"/>
      <c r="AW135" s="79"/>
      <c r="AX135" s="79"/>
      <c r="AY135" s="79"/>
      <c r="AZ135" s="79"/>
      <c r="BA135" s="79"/>
      <c r="BB135" s="79"/>
      <c r="BC135">
        <v>1</v>
      </c>
      <c r="BD135" s="78" t="str">
        <f>REPLACE(INDEX(GroupVertices[Group], MATCH(Edges13[[#This Row],[Vertex 1]],GroupVertices[Vertex],0)),1,1,"")</f>
        <v>1</v>
      </c>
      <c r="BE135" s="78" t="str">
        <f>REPLACE(INDEX(GroupVertices[Group], MATCH(Edges13[[#This Row],[Vertex 2]],GroupVertices[Vertex],0)),1,1,"")</f>
        <v>1</v>
      </c>
    </row>
    <row r="136" spans="1:57" x14ac:dyDescent="0.25">
      <c r="A136" s="64" t="s">
        <v>282</v>
      </c>
      <c r="B136" s="64" t="s">
        <v>304</v>
      </c>
      <c r="C136" s="65"/>
      <c r="D136" s="66"/>
      <c r="E136" s="67"/>
      <c r="F136" s="68"/>
      <c r="G136" s="65"/>
      <c r="H136" s="69"/>
      <c r="I136" s="70"/>
      <c r="J136" s="70"/>
      <c r="K136" s="35" t="s">
        <v>65</v>
      </c>
      <c r="L136" s="77">
        <v>248</v>
      </c>
      <c r="M136" s="77"/>
      <c r="N136" s="72"/>
      <c r="O136" s="79" t="s">
        <v>337</v>
      </c>
      <c r="P136" s="81">
        <v>44407.096400462964</v>
      </c>
      <c r="Q136" s="79" t="s">
        <v>365</v>
      </c>
      <c r="R136" s="79"/>
      <c r="S136" s="79"/>
      <c r="T136" s="85" t="s">
        <v>461</v>
      </c>
      <c r="U136" s="83" t="str">
        <f t="shared" si="3"/>
        <v>https://pbs.twimg.com/ext_tw_video_thumb/1420560954690088965/pu/img/mw30pB3lQf5fmFQ8.jpg</v>
      </c>
      <c r="V136" s="83" t="str">
        <f t="shared" si="3"/>
        <v>https://pbs.twimg.com/ext_tw_video_thumb/1420560954690088965/pu/img/mw30pB3lQf5fmFQ8.jpg</v>
      </c>
      <c r="W136" s="81">
        <v>44407.096400462964</v>
      </c>
      <c r="X136" s="87">
        <v>44407</v>
      </c>
      <c r="Y136" s="85" t="s">
        <v>595</v>
      </c>
      <c r="Z136" s="83" t="str">
        <f>HYPERLINK("https://twitter.com/socanderstacey/status/1420931858834104324")</f>
        <v>https://twitter.com/socanderstacey/status/1420931858834104324</v>
      </c>
      <c r="AA136" s="79"/>
      <c r="AB136" s="79"/>
      <c r="AC136" s="85" t="s">
        <v>775</v>
      </c>
      <c r="AD136" s="79"/>
      <c r="AE136" s="79" t="b">
        <v>0</v>
      </c>
      <c r="AF136" s="79">
        <v>0</v>
      </c>
      <c r="AG136" s="85" t="s">
        <v>867</v>
      </c>
      <c r="AH136" s="79" t="b">
        <v>0</v>
      </c>
      <c r="AI136" s="79" t="s">
        <v>874</v>
      </c>
      <c r="AJ136" s="79"/>
      <c r="AK136" s="85" t="s">
        <v>867</v>
      </c>
      <c r="AL136" s="79" t="b">
        <v>0</v>
      </c>
      <c r="AM136" s="79">
        <v>8</v>
      </c>
      <c r="AN136" s="85" t="s">
        <v>784</v>
      </c>
      <c r="AO136" s="85" t="s">
        <v>883</v>
      </c>
      <c r="AP136" s="79" t="b">
        <v>0</v>
      </c>
      <c r="AQ136" s="85" t="s">
        <v>784</v>
      </c>
      <c r="AR136" s="79" t="s">
        <v>177</v>
      </c>
      <c r="AS136" s="79">
        <v>0</v>
      </c>
      <c r="AT136" s="79">
        <v>0</v>
      </c>
      <c r="AU136" s="79"/>
      <c r="AV136" s="79"/>
      <c r="AW136" s="79"/>
      <c r="AX136" s="79"/>
      <c r="AY136" s="79"/>
      <c r="AZ136" s="79"/>
      <c r="BA136" s="79"/>
      <c r="BB136" s="79"/>
      <c r="BC136">
        <v>1</v>
      </c>
      <c r="BD136" s="78" t="str">
        <f>REPLACE(INDEX(GroupVertices[Group], MATCH(Edges13[[#This Row],[Vertex 1]],GroupVertices[Vertex],0)),1,1,"")</f>
        <v>1</v>
      </c>
      <c r="BE136" s="78" t="str">
        <f>REPLACE(INDEX(GroupVertices[Group], MATCH(Edges13[[#This Row],[Vertex 2]],GroupVertices[Vertex],0)),1,1,"")</f>
        <v>1</v>
      </c>
    </row>
    <row r="137" spans="1:57" x14ac:dyDescent="0.25">
      <c r="A137" s="64" t="s">
        <v>295</v>
      </c>
      <c r="B137" s="64" t="s">
        <v>332</v>
      </c>
      <c r="C137" s="65"/>
      <c r="D137" s="66"/>
      <c r="E137" s="67"/>
      <c r="F137" s="68"/>
      <c r="G137" s="65"/>
      <c r="H137" s="69"/>
      <c r="I137" s="70"/>
      <c r="J137" s="70"/>
      <c r="K137" s="35" t="s">
        <v>65</v>
      </c>
      <c r="L137" s="77">
        <v>249</v>
      </c>
      <c r="M137" s="77"/>
      <c r="N137" s="72"/>
      <c r="O137" s="79" t="s">
        <v>337</v>
      </c>
      <c r="P137" s="81">
        <v>44407.924224537041</v>
      </c>
      <c r="Q137" s="79" t="s">
        <v>422</v>
      </c>
      <c r="R137" s="79"/>
      <c r="S137" s="79"/>
      <c r="T137" s="85" t="s">
        <v>461</v>
      </c>
      <c r="U137" s="83" t="str">
        <f>HYPERLINK("https://pbs.twimg.com/ext_tw_video_thumb/1421161154945093639/pu/img/tbrT6qcfoLxlpRkV.jpg")</f>
        <v>https://pbs.twimg.com/ext_tw_video_thumb/1421161154945093639/pu/img/tbrT6qcfoLxlpRkV.jpg</v>
      </c>
      <c r="V137" s="83" t="str">
        <f>HYPERLINK("https://pbs.twimg.com/ext_tw_video_thumb/1421161154945093639/pu/img/tbrT6qcfoLxlpRkV.jpg")</f>
        <v>https://pbs.twimg.com/ext_tw_video_thumb/1421161154945093639/pu/img/tbrT6qcfoLxlpRkV.jpg</v>
      </c>
      <c r="W137" s="81">
        <v>44407.924224537041</v>
      </c>
      <c r="X137" s="87">
        <v>44407</v>
      </c>
      <c r="Y137" s="85" t="s">
        <v>657</v>
      </c>
      <c r="Z137" s="83" t="str">
        <f>HYPERLINK("https://twitter.com/terryluiken/status/1421231854368272384")</f>
        <v>https://twitter.com/terryluiken/status/1421231854368272384</v>
      </c>
      <c r="AA137" s="79"/>
      <c r="AB137" s="79"/>
      <c r="AC137" s="85" t="s">
        <v>837</v>
      </c>
      <c r="AD137" s="79"/>
      <c r="AE137" s="79" t="b">
        <v>0</v>
      </c>
      <c r="AF137" s="79">
        <v>0</v>
      </c>
      <c r="AG137" s="85" t="s">
        <v>867</v>
      </c>
      <c r="AH137" s="79" t="b">
        <v>0</v>
      </c>
      <c r="AI137" s="79" t="s">
        <v>874</v>
      </c>
      <c r="AJ137" s="79"/>
      <c r="AK137" s="85" t="s">
        <v>867</v>
      </c>
      <c r="AL137" s="79" t="b">
        <v>0</v>
      </c>
      <c r="AM137" s="79">
        <v>1</v>
      </c>
      <c r="AN137" s="85" t="s">
        <v>836</v>
      </c>
      <c r="AO137" s="85" t="s">
        <v>883</v>
      </c>
      <c r="AP137" s="79" t="b">
        <v>0</v>
      </c>
      <c r="AQ137" s="85" t="s">
        <v>836</v>
      </c>
      <c r="AR137" s="79" t="s">
        <v>177</v>
      </c>
      <c r="AS137" s="79">
        <v>0</v>
      </c>
      <c r="AT137" s="79">
        <v>0</v>
      </c>
      <c r="AU137" s="79"/>
      <c r="AV137" s="79"/>
      <c r="AW137" s="79"/>
      <c r="AX137" s="79"/>
      <c r="AY137" s="79"/>
      <c r="AZ137" s="79"/>
      <c r="BA137" s="79"/>
      <c r="BB137" s="79"/>
      <c r="BC137">
        <v>1</v>
      </c>
      <c r="BD137" s="78" t="str">
        <f>REPLACE(INDEX(GroupVertices[Group], MATCH(Edges13[[#This Row],[Vertex 1]],GroupVertices[Vertex],0)),1,1,"")</f>
        <v>1</v>
      </c>
      <c r="BE137" s="78" t="str">
        <f>REPLACE(INDEX(GroupVertices[Group], MATCH(Edges13[[#This Row],[Vertex 2]],GroupVertices[Vertex],0)),1,1,"")</f>
        <v>1</v>
      </c>
    </row>
    <row r="138" spans="1:57" x14ac:dyDescent="0.25">
      <c r="A138" s="64" t="s">
        <v>287</v>
      </c>
      <c r="B138" s="64" t="s">
        <v>286</v>
      </c>
      <c r="C138" s="65"/>
      <c r="D138" s="66"/>
      <c r="E138" s="67"/>
      <c r="F138" s="68"/>
      <c r="G138" s="65"/>
      <c r="H138" s="69"/>
      <c r="I138" s="70"/>
      <c r="J138" s="70"/>
      <c r="K138" s="35" t="s">
        <v>66</v>
      </c>
      <c r="L138" s="77">
        <v>250</v>
      </c>
      <c r="M138" s="77"/>
      <c r="N138" s="72"/>
      <c r="O138" s="79" t="s">
        <v>339</v>
      </c>
      <c r="P138" s="81">
        <v>44404.559027777781</v>
      </c>
      <c r="Q138" s="79" t="s">
        <v>381</v>
      </c>
      <c r="R138" s="83" t="str">
        <f>HYPERLINK("https://latinovictory.us/latino-victory-fund-congratulates-new-york-city-council-candidates-for-winning-democratic-primary-election/")</f>
        <v>https://latinovictory.us/latino-victory-fund-congratulates-new-york-city-council-candidates-for-winning-democratic-primary-election/</v>
      </c>
      <c r="S138" s="79" t="s">
        <v>452</v>
      </c>
      <c r="T138" s="85" t="s">
        <v>461</v>
      </c>
      <c r="U138" s="79"/>
      <c r="V138" s="83" t="str">
        <f>HYPERLINK("https://pbs.twimg.com/profile_images/1311001884824604676/RVdli881_normal.png")</f>
        <v>https://pbs.twimg.com/profile_images/1311001884824604676/RVdli881_normal.png</v>
      </c>
      <c r="W138" s="81">
        <v>44404.559027777781</v>
      </c>
      <c r="X138" s="87">
        <v>44404</v>
      </c>
      <c r="Y138" s="85" t="s">
        <v>603</v>
      </c>
      <c r="Z138" s="83" t="str">
        <f>HYPERLINK("https://twitter.com/coetalk/status/1420012347259867148")</f>
        <v>https://twitter.com/coetalk/status/1420012347259867148</v>
      </c>
      <c r="AA138" s="79"/>
      <c r="AB138" s="79"/>
      <c r="AC138" s="85" t="s">
        <v>783</v>
      </c>
      <c r="AD138" s="79"/>
      <c r="AE138" s="79" t="b">
        <v>0</v>
      </c>
      <c r="AF138" s="79">
        <v>4</v>
      </c>
      <c r="AG138" s="85" t="s">
        <v>867</v>
      </c>
      <c r="AH138" s="79" t="b">
        <v>0</v>
      </c>
      <c r="AI138" s="79" t="s">
        <v>874</v>
      </c>
      <c r="AJ138" s="79"/>
      <c r="AK138" s="85" t="s">
        <v>867</v>
      </c>
      <c r="AL138" s="79" t="b">
        <v>0</v>
      </c>
      <c r="AM138" s="79">
        <v>0</v>
      </c>
      <c r="AN138" s="85" t="s">
        <v>867</v>
      </c>
      <c r="AO138" s="85" t="s">
        <v>885</v>
      </c>
      <c r="AP138" s="79" t="b">
        <v>0</v>
      </c>
      <c r="AQ138" s="85" t="s">
        <v>783</v>
      </c>
      <c r="AR138" s="79" t="s">
        <v>177</v>
      </c>
      <c r="AS138" s="79">
        <v>0</v>
      </c>
      <c r="AT138" s="79">
        <v>0</v>
      </c>
      <c r="AU138" s="79"/>
      <c r="AV138" s="79"/>
      <c r="AW138" s="79"/>
      <c r="AX138" s="79"/>
      <c r="AY138" s="79"/>
      <c r="AZ138" s="79"/>
      <c r="BA138" s="79"/>
      <c r="BB138" s="79"/>
      <c r="BC138">
        <v>1</v>
      </c>
      <c r="BD138" s="78" t="str">
        <f>REPLACE(INDEX(GroupVertices[Group], MATCH(Edges13[[#This Row],[Vertex 1]],GroupVertices[Vertex],0)),1,1,"")</f>
        <v>1</v>
      </c>
      <c r="BE138" s="78" t="str">
        <f>REPLACE(INDEX(GroupVertices[Group], MATCH(Edges13[[#This Row],[Vertex 2]],GroupVertices[Vertex],0)),1,1,"")</f>
        <v>1</v>
      </c>
    </row>
    <row r="139" spans="1:57" x14ac:dyDescent="0.25">
      <c r="A139" s="64" t="s">
        <v>297</v>
      </c>
      <c r="B139" s="64" t="s">
        <v>334</v>
      </c>
      <c r="C139" s="65"/>
      <c r="D139" s="66"/>
      <c r="E139" s="67"/>
      <c r="F139" s="68"/>
      <c r="G139" s="65"/>
      <c r="H139" s="69"/>
      <c r="I139" s="70"/>
      <c r="J139" s="70"/>
      <c r="K139" s="35" t="s">
        <v>65</v>
      </c>
      <c r="L139" s="77">
        <v>252</v>
      </c>
      <c r="M139" s="77"/>
      <c r="N139" s="72"/>
      <c r="O139" s="79" t="s">
        <v>339</v>
      </c>
      <c r="P139" s="81">
        <v>44408.839178240742</v>
      </c>
      <c r="Q139" s="79" t="s">
        <v>431</v>
      </c>
      <c r="R139" s="83" t="str">
        <f>HYPERLINK("https://jamillimabass.tumblr.com/post/658256277007384576/frevo-bicudo-theme-comp-nahousemusicbr#_=_")</f>
        <v>https://jamillimabass.tumblr.com/post/658256277007384576/frevo-bicudo-theme-comp-nahousemusicbr#_=_</v>
      </c>
      <c r="S139" s="79" t="s">
        <v>455</v>
      </c>
      <c r="T139" s="85" t="s">
        <v>500</v>
      </c>
      <c r="U139" s="79"/>
      <c r="V139" s="83" t="str">
        <f>HYPERLINK("https://pbs.twimg.com/profile_images/1190697450228584449/9iO4Mhxr_normal.jpg")</f>
        <v>https://pbs.twimg.com/profile_images/1190697450228584449/9iO4Mhxr_normal.jpg</v>
      </c>
      <c r="W139" s="81">
        <v>44408.839178240742</v>
      </c>
      <c r="X139" s="87">
        <v>44408</v>
      </c>
      <c r="Y139" s="85" t="s">
        <v>666</v>
      </c>
      <c r="Z139" s="83" t="str">
        <f>HYPERLINK("https://twitter.com/jamillimabass/status/1421563420307070985")</f>
        <v>https://twitter.com/jamillimabass/status/1421563420307070985</v>
      </c>
      <c r="AA139" s="79"/>
      <c r="AB139" s="79"/>
      <c r="AC139" s="85" t="s">
        <v>846</v>
      </c>
      <c r="AD139" s="79"/>
      <c r="AE139" s="79" t="b">
        <v>0</v>
      </c>
      <c r="AF139" s="79">
        <v>0</v>
      </c>
      <c r="AG139" s="85" t="s">
        <v>867</v>
      </c>
      <c r="AH139" s="79" t="b">
        <v>0</v>
      </c>
      <c r="AI139" s="79" t="s">
        <v>874</v>
      </c>
      <c r="AJ139" s="79"/>
      <c r="AK139" s="85" t="s">
        <v>867</v>
      </c>
      <c r="AL139" s="79" t="b">
        <v>0</v>
      </c>
      <c r="AM139" s="79">
        <v>0</v>
      </c>
      <c r="AN139" s="85" t="s">
        <v>867</v>
      </c>
      <c r="AO139" s="85" t="s">
        <v>890</v>
      </c>
      <c r="AP139" s="79" t="b">
        <v>0</v>
      </c>
      <c r="AQ139" s="85" t="s">
        <v>846</v>
      </c>
      <c r="AR139" s="79" t="s">
        <v>177</v>
      </c>
      <c r="AS139" s="79">
        <v>0</v>
      </c>
      <c r="AT139" s="79">
        <v>0</v>
      </c>
      <c r="AU139" s="79"/>
      <c r="AV139" s="79"/>
      <c r="AW139" s="79"/>
      <c r="AX139" s="79"/>
      <c r="AY139" s="79"/>
      <c r="AZ139" s="79"/>
      <c r="BA139" s="79"/>
      <c r="BB139" s="79"/>
      <c r="BC139">
        <v>1</v>
      </c>
      <c r="BD139" s="78" t="str">
        <f>REPLACE(INDEX(GroupVertices[Group], MATCH(Edges13[[#This Row],[Vertex 1]],GroupVertices[Vertex],0)),1,1,"")</f>
        <v>16</v>
      </c>
      <c r="BE139" s="78" t="str">
        <f>REPLACE(INDEX(GroupVertices[Group], MATCH(Edges13[[#This Row],[Vertex 2]],GroupVertices[Vertex],0)),1,1,"")</f>
        <v>16</v>
      </c>
    </row>
    <row r="140" spans="1:57" x14ac:dyDescent="0.25">
      <c r="A140" s="64" t="s">
        <v>284</v>
      </c>
      <c r="B140" s="64" t="s">
        <v>328</v>
      </c>
      <c r="C140" s="65"/>
      <c r="D140" s="66"/>
      <c r="E140" s="67"/>
      <c r="F140" s="68"/>
      <c r="G140" s="65"/>
      <c r="H140" s="69"/>
      <c r="I140" s="70"/>
      <c r="J140" s="70"/>
      <c r="K140" s="35" t="s">
        <v>65</v>
      </c>
      <c r="L140" s="77">
        <v>254</v>
      </c>
      <c r="M140" s="77"/>
      <c r="N140" s="72"/>
      <c r="O140" s="79" t="s">
        <v>340</v>
      </c>
      <c r="P140" s="81">
        <v>44406.865613425929</v>
      </c>
      <c r="Q140" s="79" t="s">
        <v>376</v>
      </c>
      <c r="R140" s="79"/>
      <c r="S140" s="79"/>
      <c r="T140" s="85" t="s">
        <v>482</v>
      </c>
      <c r="U140" s="79"/>
      <c r="V140" s="83" t="str">
        <f>HYPERLINK("https://pbs.twimg.com/profile_images/1372636245281492992/uIjhEtk6_normal.jpg")</f>
        <v>https://pbs.twimg.com/profile_images/1372636245281492992/uIjhEtk6_normal.jpg</v>
      </c>
      <c r="W140" s="81">
        <v>44406.865613425929</v>
      </c>
      <c r="X140" s="87">
        <v>44406</v>
      </c>
      <c r="Y140" s="85" t="s">
        <v>597</v>
      </c>
      <c r="Z140" s="83" t="str">
        <f>HYPERLINK("https://twitter.com/success_prints/status/1420848226039599104")</f>
        <v>https://twitter.com/success_prints/status/1420848226039599104</v>
      </c>
      <c r="AA140" s="79"/>
      <c r="AB140" s="79"/>
      <c r="AC140" s="85" t="s">
        <v>777</v>
      </c>
      <c r="AD140" s="85" t="s">
        <v>865</v>
      </c>
      <c r="AE140" s="79" t="b">
        <v>0</v>
      </c>
      <c r="AF140" s="79">
        <v>0</v>
      </c>
      <c r="AG140" s="85" t="s">
        <v>870</v>
      </c>
      <c r="AH140" s="79" t="b">
        <v>0</v>
      </c>
      <c r="AI140" s="79" t="s">
        <v>874</v>
      </c>
      <c r="AJ140" s="79"/>
      <c r="AK140" s="85" t="s">
        <v>867</v>
      </c>
      <c r="AL140" s="79" t="b">
        <v>0</v>
      </c>
      <c r="AM140" s="79">
        <v>0</v>
      </c>
      <c r="AN140" s="85" t="s">
        <v>867</v>
      </c>
      <c r="AO140" s="85" t="s">
        <v>882</v>
      </c>
      <c r="AP140" s="79" t="b">
        <v>0</v>
      </c>
      <c r="AQ140" s="85" t="s">
        <v>865</v>
      </c>
      <c r="AR140" s="79" t="s">
        <v>177</v>
      </c>
      <c r="AS140" s="79">
        <v>0</v>
      </c>
      <c r="AT140" s="79">
        <v>0</v>
      </c>
      <c r="AU140" s="79"/>
      <c r="AV140" s="79"/>
      <c r="AW140" s="79"/>
      <c r="AX140" s="79"/>
      <c r="AY140" s="79"/>
      <c r="AZ140" s="79"/>
      <c r="BA140" s="79"/>
      <c r="BB140" s="79"/>
      <c r="BC140">
        <v>1</v>
      </c>
      <c r="BD140" s="78" t="str">
        <f>REPLACE(INDEX(GroupVertices[Group], MATCH(Edges13[[#This Row],[Vertex 1]],GroupVertices[Vertex],0)),1,1,"")</f>
        <v>15</v>
      </c>
      <c r="BE140" s="78" t="str">
        <f>REPLACE(INDEX(GroupVertices[Group], MATCH(Edges13[[#This Row],[Vertex 2]],GroupVertices[Vertex],0)),1,1,"")</f>
        <v>15</v>
      </c>
    </row>
    <row r="141" spans="1:57" x14ac:dyDescent="0.25">
      <c r="A141" s="64" t="s">
        <v>236</v>
      </c>
      <c r="B141" s="64" t="s">
        <v>256</v>
      </c>
      <c r="C141" s="65"/>
      <c r="D141" s="66"/>
      <c r="E141" s="67"/>
      <c r="F141" s="68"/>
      <c r="G141" s="65"/>
      <c r="H141" s="69"/>
      <c r="I141" s="70"/>
      <c r="J141" s="70"/>
      <c r="K141" s="35" t="s">
        <v>65</v>
      </c>
      <c r="L141" s="77">
        <v>255</v>
      </c>
      <c r="M141" s="77"/>
      <c r="N141" s="72"/>
      <c r="O141" s="79" t="s">
        <v>337</v>
      </c>
      <c r="P141" s="81">
        <v>44404.844317129631</v>
      </c>
      <c r="Q141" s="79" t="s">
        <v>356</v>
      </c>
      <c r="R141" s="79"/>
      <c r="S141" s="79"/>
      <c r="T141" s="85" t="s">
        <v>461</v>
      </c>
      <c r="U141" s="83" t="str">
        <f t="shared" ref="U141:V146" si="4">HYPERLINK("https://pbs.twimg.com/media/E7VCWcGXMAQx84B.jpg")</f>
        <v>https://pbs.twimg.com/media/E7VCWcGXMAQx84B.jpg</v>
      </c>
      <c r="V141" s="83" t="str">
        <f t="shared" si="4"/>
        <v>https://pbs.twimg.com/media/E7VCWcGXMAQx84B.jpg</v>
      </c>
      <c r="W141" s="81">
        <v>44404.844317129631</v>
      </c>
      <c r="X141" s="87">
        <v>44404</v>
      </c>
      <c r="Y141" s="85" t="s">
        <v>530</v>
      </c>
      <c r="Z141" s="83" t="str">
        <f>HYPERLINK("https://twitter.com/renaissancemars/status/1420115731555962882")</f>
        <v>https://twitter.com/renaissancemars/status/1420115731555962882</v>
      </c>
      <c r="AA141" s="79"/>
      <c r="AB141" s="79"/>
      <c r="AC141" s="85" t="s">
        <v>707</v>
      </c>
      <c r="AD141" s="79"/>
      <c r="AE141" s="79" t="b">
        <v>0</v>
      </c>
      <c r="AF141" s="79">
        <v>0</v>
      </c>
      <c r="AG141" s="85" t="s">
        <v>867</v>
      </c>
      <c r="AH141" s="79" t="b">
        <v>0</v>
      </c>
      <c r="AI141" s="79" t="s">
        <v>874</v>
      </c>
      <c r="AJ141" s="79"/>
      <c r="AK141" s="85" t="s">
        <v>867</v>
      </c>
      <c r="AL141" s="79" t="b">
        <v>0</v>
      </c>
      <c r="AM141" s="79">
        <v>21</v>
      </c>
      <c r="AN141" s="85" t="s">
        <v>736</v>
      </c>
      <c r="AO141" s="85" t="s">
        <v>882</v>
      </c>
      <c r="AP141" s="79" t="b">
        <v>0</v>
      </c>
      <c r="AQ141" s="85" t="s">
        <v>736</v>
      </c>
      <c r="AR141" s="79" t="s">
        <v>177</v>
      </c>
      <c r="AS141" s="79">
        <v>0</v>
      </c>
      <c r="AT141" s="79">
        <v>0</v>
      </c>
      <c r="AU141" s="79"/>
      <c r="AV141" s="79"/>
      <c r="AW141" s="79"/>
      <c r="AX141" s="79"/>
      <c r="AY141" s="79"/>
      <c r="AZ141" s="79"/>
      <c r="BA141" s="79"/>
      <c r="BB141" s="79"/>
      <c r="BC141">
        <v>1</v>
      </c>
      <c r="BD141" s="78" t="str">
        <f>REPLACE(INDEX(GroupVertices[Group], MATCH(Edges13[[#This Row],[Vertex 1]],GroupVertices[Vertex],0)),1,1,"")</f>
        <v>2</v>
      </c>
      <c r="BE141" s="78" t="str">
        <f>REPLACE(INDEX(GroupVertices[Group], MATCH(Edges13[[#This Row],[Vertex 2]],GroupVertices[Vertex],0)),1,1,"")</f>
        <v>2</v>
      </c>
    </row>
    <row r="142" spans="1:57" x14ac:dyDescent="0.25">
      <c r="A142" s="64" t="s">
        <v>238</v>
      </c>
      <c r="B142" s="64" t="s">
        <v>256</v>
      </c>
      <c r="C142" s="65"/>
      <c r="D142" s="66"/>
      <c r="E142" s="67"/>
      <c r="F142" s="68"/>
      <c r="G142" s="65"/>
      <c r="H142" s="69"/>
      <c r="I142" s="70"/>
      <c r="J142" s="70"/>
      <c r="K142" s="35" t="s">
        <v>65</v>
      </c>
      <c r="L142" s="77">
        <v>256</v>
      </c>
      <c r="M142" s="77"/>
      <c r="N142" s="72"/>
      <c r="O142" s="79" t="s">
        <v>337</v>
      </c>
      <c r="P142" s="81">
        <v>44404.851157407407</v>
      </c>
      <c r="Q142" s="79" t="s">
        <v>356</v>
      </c>
      <c r="R142" s="79"/>
      <c r="S142" s="79"/>
      <c r="T142" s="85" t="s">
        <v>461</v>
      </c>
      <c r="U142" s="83" t="str">
        <f t="shared" si="4"/>
        <v>https://pbs.twimg.com/media/E7VCWcGXMAQx84B.jpg</v>
      </c>
      <c r="V142" s="83" t="str">
        <f t="shared" si="4"/>
        <v>https://pbs.twimg.com/media/E7VCWcGXMAQx84B.jpg</v>
      </c>
      <c r="W142" s="81">
        <v>44404.851157407407</v>
      </c>
      <c r="X142" s="87">
        <v>44404</v>
      </c>
      <c r="Y142" s="85" t="s">
        <v>532</v>
      </c>
      <c r="Z142" s="83" t="str">
        <f>HYPERLINK("https://twitter.com/_kamoafo/status/1420118208187617280")</f>
        <v>https://twitter.com/_kamoafo/status/1420118208187617280</v>
      </c>
      <c r="AA142" s="79"/>
      <c r="AB142" s="79"/>
      <c r="AC142" s="85" t="s">
        <v>709</v>
      </c>
      <c r="AD142" s="79"/>
      <c r="AE142" s="79" t="b">
        <v>0</v>
      </c>
      <c r="AF142" s="79">
        <v>0</v>
      </c>
      <c r="AG142" s="85" t="s">
        <v>867</v>
      </c>
      <c r="AH142" s="79" t="b">
        <v>0</v>
      </c>
      <c r="AI142" s="79" t="s">
        <v>874</v>
      </c>
      <c r="AJ142" s="79"/>
      <c r="AK142" s="85" t="s">
        <v>867</v>
      </c>
      <c r="AL142" s="79" t="b">
        <v>0</v>
      </c>
      <c r="AM142" s="79">
        <v>21</v>
      </c>
      <c r="AN142" s="85" t="s">
        <v>736</v>
      </c>
      <c r="AO142" s="85" t="s">
        <v>883</v>
      </c>
      <c r="AP142" s="79" t="b">
        <v>0</v>
      </c>
      <c r="AQ142" s="85" t="s">
        <v>736</v>
      </c>
      <c r="AR142" s="79" t="s">
        <v>177</v>
      </c>
      <c r="AS142" s="79">
        <v>0</v>
      </c>
      <c r="AT142" s="79">
        <v>0</v>
      </c>
      <c r="AU142" s="79"/>
      <c r="AV142" s="79"/>
      <c r="AW142" s="79"/>
      <c r="AX142" s="79"/>
      <c r="AY142" s="79"/>
      <c r="AZ142" s="79"/>
      <c r="BA142" s="79"/>
      <c r="BB142" s="79"/>
      <c r="BC142">
        <v>1</v>
      </c>
      <c r="BD142" s="78" t="str">
        <f>REPLACE(INDEX(GroupVertices[Group], MATCH(Edges13[[#This Row],[Vertex 1]],GroupVertices[Vertex],0)),1,1,"")</f>
        <v>2</v>
      </c>
      <c r="BE142" s="78" t="str">
        <f>REPLACE(INDEX(GroupVertices[Group], MATCH(Edges13[[#This Row],[Vertex 2]],GroupVertices[Vertex],0)),1,1,"")</f>
        <v>2</v>
      </c>
    </row>
    <row r="143" spans="1:57" x14ac:dyDescent="0.25">
      <c r="A143" s="64" t="s">
        <v>239</v>
      </c>
      <c r="B143" s="64" t="s">
        <v>256</v>
      </c>
      <c r="C143" s="65"/>
      <c r="D143" s="66"/>
      <c r="E143" s="67"/>
      <c r="F143" s="68"/>
      <c r="G143" s="65"/>
      <c r="H143" s="69"/>
      <c r="I143" s="70"/>
      <c r="J143" s="70"/>
      <c r="K143" s="35" t="s">
        <v>65</v>
      </c>
      <c r="L143" s="77">
        <v>257</v>
      </c>
      <c r="M143" s="77"/>
      <c r="N143" s="72"/>
      <c r="O143" s="79" t="s">
        <v>337</v>
      </c>
      <c r="P143" s="81">
        <v>44404.869456018518</v>
      </c>
      <c r="Q143" s="79" t="s">
        <v>356</v>
      </c>
      <c r="R143" s="79"/>
      <c r="S143" s="79"/>
      <c r="T143" s="85" t="s">
        <v>461</v>
      </c>
      <c r="U143" s="83" t="str">
        <f t="shared" si="4"/>
        <v>https://pbs.twimg.com/media/E7VCWcGXMAQx84B.jpg</v>
      </c>
      <c r="V143" s="83" t="str">
        <f t="shared" si="4"/>
        <v>https://pbs.twimg.com/media/E7VCWcGXMAQx84B.jpg</v>
      </c>
      <c r="W143" s="81">
        <v>44404.869456018518</v>
      </c>
      <c r="X143" s="87">
        <v>44404</v>
      </c>
      <c r="Y143" s="85" t="s">
        <v>533</v>
      </c>
      <c r="Z143" s="83" t="str">
        <f>HYPERLINK("https://twitter.com/peiferlabunc/status/1420124842674720769")</f>
        <v>https://twitter.com/peiferlabunc/status/1420124842674720769</v>
      </c>
      <c r="AA143" s="79"/>
      <c r="AB143" s="79"/>
      <c r="AC143" s="85" t="s">
        <v>710</v>
      </c>
      <c r="AD143" s="79"/>
      <c r="AE143" s="79" t="b">
        <v>0</v>
      </c>
      <c r="AF143" s="79">
        <v>0</v>
      </c>
      <c r="AG143" s="85" t="s">
        <v>867</v>
      </c>
      <c r="AH143" s="79" t="b">
        <v>0</v>
      </c>
      <c r="AI143" s="79" t="s">
        <v>874</v>
      </c>
      <c r="AJ143" s="79"/>
      <c r="AK143" s="85" t="s">
        <v>867</v>
      </c>
      <c r="AL143" s="79" t="b">
        <v>0</v>
      </c>
      <c r="AM143" s="79">
        <v>21</v>
      </c>
      <c r="AN143" s="85" t="s">
        <v>736</v>
      </c>
      <c r="AO143" s="85" t="s">
        <v>882</v>
      </c>
      <c r="AP143" s="79" t="b">
        <v>0</v>
      </c>
      <c r="AQ143" s="85" t="s">
        <v>736</v>
      </c>
      <c r="AR143" s="79" t="s">
        <v>177</v>
      </c>
      <c r="AS143" s="79">
        <v>0</v>
      </c>
      <c r="AT143" s="79">
        <v>0</v>
      </c>
      <c r="AU143" s="79"/>
      <c r="AV143" s="79"/>
      <c r="AW143" s="79"/>
      <c r="AX143" s="79"/>
      <c r="AY143" s="79"/>
      <c r="AZ143" s="79"/>
      <c r="BA143" s="79"/>
      <c r="BB143" s="79"/>
      <c r="BC143">
        <v>1</v>
      </c>
      <c r="BD143" s="78" t="str">
        <f>REPLACE(INDEX(GroupVertices[Group], MATCH(Edges13[[#This Row],[Vertex 1]],GroupVertices[Vertex],0)),1,1,"")</f>
        <v>2</v>
      </c>
      <c r="BE143" s="78" t="str">
        <f>REPLACE(INDEX(GroupVertices[Group], MATCH(Edges13[[#This Row],[Vertex 2]],GroupVertices[Vertex],0)),1,1,"")</f>
        <v>2</v>
      </c>
    </row>
    <row r="144" spans="1:57" x14ac:dyDescent="0.25">
      <c r="A144" s="64" t="s">
        <v>240</v>
      </c>
      <c r="B144" s="64" t="s">
        <v>256</v>
      </c>
      <c r="C144" s="65"/>
      <c r="D144" s="66"/>
      <c r="E144" s="67"/>
      <c r="F144" s="68"/>
      <c r="G144" s="65"/>
      <c r="H144" s="69"/>
      <c r="I144" s="70"/>
      <c r="J144" s="70"/>
      <c r="K144" s="35" t="s">
        <v>65</v>
      </c>
      <c r="L144" s="77">
        <v>258</v>
      </c>
      <c r="M144" s="77"/>
      <c r="N144" s="72"/>
      <c r="O144" s="79" t="s">
        <v>337</v>
      </c>
      <c r="P144" s="81">
        <v>44404.87431712963</v>
      </c>
      <c r="Q144" s="79" t="s">
        <v>356</v>
      </c>
      <c r="R144" s="79"/>
      <c r="S144" s="79"/>
      <c r="T144" s="85" t="s">
        <v>461</v>
      </c>
      <c r="U144" s="83" t="str">
        <f t="shared" si="4"/>
        <v>https://pbs.twimg.com/media/E7VCWcGXMAQx84B.jpg</v>
      </c>
      <c r="V144" s="83" t="str">
        <f t="shared" si="4"/>
        <v>https://pbs.twimg.com/media/E7VCWcGXMAQx84B.jpg</v>
      </c>
      <c r="W144" s="81">
        <v>44404.87431712963</v>
      </c>
      <c r="X144" s="87">
        <v>44404</v>
      </c>
      <c r="Y144" s="85" t="s">
        <v>534</v>
      </c>
      <c r="Z144" s="83" t="str">
        <f>HYPERLINK("https://twitter.com/blkingradschool/status/1420126604563451910")</f>
        <v>https://twitter.com/blkingradschool/status/1420126604563451910</v>
      </c>
      <c r="AA144" s="79"/>
      <c r="AB144" s="79"/>
      <c r="AC144" s="85" t="s">
        <v>711</v>
      </c>
      <c r="AD144" s="79"/>
      <c r="AE144" s="79" t="b">
        <v>0</v>
      </c>
      <c r="AF144" s="79">
        <v>0</v>
      </c>
      <c r="AG144" s="85" t="s">
        <v>867</v>
      </c>
      <c r="AH144" s="79" t="b">
        <v>0</v>
      </c>
      <c r="AI144" s="79" t="s">
        <v>874</v>
      </c>
      <c r="AJ144" s="79"/>
      <c r="AK144" s="85" t="s">
        <v>867</v>
      </c>
      <c r="AL144" s="79" t="b">
        <v>0</v>
      </c>
      <c r="AM144" s="79">
        <v>21</v>
      </c>
      <c r="AN144" s="85" t="s">
        <v>736</v>
      </c>
      <c r="AO144" s="85" t="s">
        <v>883</v>
      </c>
      <c r="AP144" s="79" t="b">
        <v>0</v>
      </c>
      <c r="AQ144" s="85" t="s">
        <v>736</v>
      </c>
      <c r="AR144" s="79" t="s">
        <v>177</v>
      </c>
      <c r="AS144" s="79">
        <v>0</v>
      </c>
      <c r="AT144" s="79">
        <v>0</v>
      </c>
      <c r="AU144" s="79"/>
      <c r="AV144" s="79"/>
      <c r="AW144" s="79"/>
      <c r="AX144" s="79"/>
      <c r="AY144" s="79"/>
      <c r="AZ144" s="79"/>
      <c r="BA144" s="79"/>
      <c r="BB144" s="79"/>
      <c r="BC144">
        <v>1</v>
      </c>
      <c r="BD144" s="78" t="str">
        <f>REPLACE(INDEX(GroupVertices[Group], MATCH(Edges13[[#This Row],[Vertex 1]],GroupVertices[Vertex],0)),1,1,"")</f>
        <v>2</v>
      </c>
      <c r="BE144" s="78" t="str">
        <f>REPLACE(INDEX(GroupVertices[Group], MATCH(Edges13[[#This Row],[Vertex 2]],GroupVertices[Vertex],0)),1,1,"")</f>
        <v>2</v>
      </c>
    </row>
    <row r="145" spans="1:57" x14ac:dyDescent="0.25">
      <c r="A145" s="64" t="s">
        <v>241</v>
      </c>
      <c r="B145" s="64" t="s">
        <v>256</v>
      </c>
      <c r="C145" s="65"/>
      <c r="D145" s="66"/>
      <c r="E145" s="67"/>
      <c r="F145" s="68"/>
      <c r="G145" s="65"/>
      <c r="H145" s="69"/>
      <c r="I145" s="70"/>
      <c r="J145" s="70"/>
      <c r="K145" s="35" t="s">
        <v>65</v>
      </c>
      <c r="L145" s="77">
        <v>259</v>
      </c>
      <c r="M145" s="77"/>
      <c r="N145" s="72"/>
      <c r="O145" s="79" t="s">
        <v>337</v>
      </c>
      <c r="P145" s="81">
        <v>44404.94494212963</v>
      </c>
      <c r="Q145" s="79" t="s">
        <v>356</v>
      </c>
      <c r="R145" s="79"/>
      <c r="S145" s="79"/>
      <c r="T145" s="85" t="s">
        <v>461</v>
      </c>
      <c r="U145" s="83" t="str">
        <f t="shared" si="4"/>
        <v>https://pbs.twimg.com/media/E7VCWcGXMAQx84B.jpg</v>
      </c>
      <c r="V145" s="83" t="str">
        <f t="shared" si="4"/>
        <v>https://pbs.twimg.com/media/E7VCWcGXMAQx84B.jpg</v>
      </c>
      <c r="W145" s="81">
        <v>44404.94494212963</v>
      </c>
      <c r="X145" s="87">
        <v>44404</v>
      </c>
      <c r="Y145" s="85" t="s">
        <v>535</v>
      </c>
      <c r="Z145" s="83" t="str">
        <f>HYPERLINK("https://twitter.com/beecyoung/status/1420152197489340416")</f>
        <v>https://twitter.com/beecyoung/status/1420152197489340416</v>
      </c>
      <c r="AA145" s="79"/>
      <c r="AB145" s="79"/>
      <c r="AC145" s="85" t="s">
        <v>712</v>
      </c>
      <c r="AD145" s="79"/>
      <c r="AE145" s="79" t="b">
        <v>0</v>
      </c>
      <c r="AF145" s="79">
        <v>0</v>
      </c>
      <c r="AG145" s="85" t="s">
        <v>867</v>
      </c>
      <c r="AH145" s="79" t="b">
        <v>0</v>
      </c>
      <c r="AI145" s="79" t="s">
        <v>874</v>
      </c>
      <c r="AJ145" s="79"/>
      <c r="AK145" s="85" t="s">
        <v>867</v>
      </c>
      <c r="AL145" s="79" t="b">
        <v>0</v>
      </c>
      <c r="AM145" s="79">
        <v>21</v>
      </c>
      <c r="AN145" s="85" t="s">
        <v>736</v>
      </c>
      <c r="AO145" s="85" t="s">
        <v>883</v>
      </c>
      <c r="AP145" s="79" t="b">
        <v>0</v>
      </c>
      <c r="AQ145" s="85" t="s">
        <v>736</v>
      </c>
      <c r="AR145" s="79" t="s">
        <v>177</v>
      </c>
      <c r="AS145" s="79">
        <v>0</v>
      </c>
      <c r="AT145" s="79">
        <v>0</v>
      </c>
      <c r="AU145" s="79"/>
      <c r="AV145" s="79"/>
      <c r="AW145" s="79"/>
      <c r="AX145" s="79"/>
      <c r="AY145" s="79"/>
      <c r="AZ145" s="79"/>
      <c r="BA145" s="79"/>
      <c r="BB145" s="79"/>
      <c r="BC145">
        <v>1</v>
      </c>
      <c r="BD145" s="78" t="str">
        <f>REPLACE(INDEX(GroupVertices[Group], MATCH(Edges13[[#This Row],[Vertex 1]],GroupVertices[Vertex],0)),1,1,"")</f>
        <v>2</v>
      </c>
      <c r="BE145" s="78" t="str">
        <f>REPLACE(INDEX(GroupVertices[Group], MATCH(Edges13[[#This Row],[Vertex 2]],GroupVertices[Vertex],0)),1,1,"")</f>
        <v>2</v>
      </c>
    </row>
    <row r="146" spans="1:57" x14ac:dyDescent="0.25">
      <c r="A146" s="64" t="s">
        <v>242</v>
      </c>
      <c r="B146" s="64" t="s">
        <v>256</v>
      </c>
      <c r="C146" s="65"/>
      <c r="D146" s="66"/>
      <c r="E146" s="67"/>
      <c r="F146" s="68"/>
      <c r="G146" s="65"/>
      <c r="H146" s="69"/>
      <c r="I146" s="70"/>
      <c r="J146" s="70"/>
      <c r="K146" s="35" t="s">
        <v>65</v>
      </c>
      <c r="L146" s="77">
        <v>260</v>
      </c>
      <c r="M146" s="77"/>
      <c r="N146" s="72"/>
      <c r="O146" s="79" t="s">
        <v>337</v>
      </c>
      <c r="P146" s="81">
        <v>44404.977719907409</v>
      </c>
      <c r="Q146" s="79" t="s">
        <v>356</v>
      </c>
      <c r="R146" s="79"/>
      <c r="S146" s="79"/>
      <c r="T146" s="85" t="s">
        <v>461</v>
      </c>
      <c r="U146" s="83" t="str">
        <f t="shared" si="4"/>
        <v>https://pbs.twimg.com/media/E7VCWcGXMAQx84B.jpg</v>
      </c>
      <c r="V146" s="83" t="str">
        <f t="shared" si="4"/>
        <v>https://pbs.twimg.com/media/E7VCWcGXMAQx84B.jpg</v>
      </c>
      <c r="W146" s="81">
        <v>44404.977719907409</v>
      </c>
      <c r="X146" s="87">
        <v>44404</v>
      </c>
      <c r="Y146" s="85" t="s">
        <v>536</v>
      </c>
      <c r="Z146" s="83" t="str">
        <f>HYPERLINK("https://twitter.com/kaydontplay_12/status/1420164076441939969")</f>
        <v>https://twitter.com/kaydontplay_12/status/1420164076441939969</v>
      </c>
      <c r="AA146" s="79"/>
      <c r="AB146" s="79"/>
      <c r="AC146" s="85" t="s">
        <v>713</v>
      </c>
      <c r="AD146" s="79"/>
      <c r="AE146" s="79" t="b">
        <v>0</v>
      </c>
      <c r="AF146" s="79">
        <v>0</v>
      </c>
      <c r="AG146" s="85" t="s">
        <v>867</v>
      </c>
      <c r="AH146" s="79" t="b">
        <v>0</v>
      </c>
      <c r="AI146" s="79" t="s">
        <v>874</v>
      </c>
      <c r="AJ146" s="79"/>
      <c r="AK146" s="85" t="s">
        <v>867</v>
      </c>
      <c r="AL146" s="79" t="b">
        <v>0</v>
      </c>
      <c r="AM146" s="79">
        <v>21</v>
      </c>
      <c r="AN146" s="85" t="s">
        <v>736</v>
      </c>
      <c r="AO146" s="85" t="s">
        <v>883</v>
      </c>
      <c r="AP146" s="79" t="b">
        <v>0</v>
      </c>
      <c r="AQ146" s="85" t="s">
        <v>736</v>
      </c>
      <c r="AR146" s="79" t="s">
        <v>177</v>
      </c>
      <c r="AS146" s="79">
        <v>0</v>
      </c>
      <c r="AT146" s="79">
        <v>0</v>
      </c>
      <c r="AU146" s="79"/>
      <c r="AV146" s="79"/>
      <c r="AW146" s="79"/>
      <c r="AX146" s="79"/>
      <c r="AY146" s="79"/>
      <c r="AZ146" s="79"/>
      <c r="BA146" s="79"/>
      <c r="BB146" s="79"/>
      <c r="BC146">
        <v>1</v>
      </c>
      <c r="BD146" s="78" t="str">
        <f>REPLACE(INDEX(GroupVertices[Group], MATCH(Edges13[[#This Row],[Vertex 1]],GroupVertices[Vertex],0)),1,1,"")</f>
        <v>2</v>
      </c>
      <c r="BE146" s="78" t="str">
        <f>REPLACE(INDEX(GroupVertices[Group], MATCH(Edges13[[#This Row],[Vertex 2]],GroupVertices[Vertex],0)),1,1,"")</f>
        <v>2</v>
      </c>
    </row>
    <row r="147" spans="1:57" x14ac:dyDescent="0.25">
      <c r="A147" s="64" t="s">
        <v>243</v>
      </c>
      <c r="B147" s="64" t="s">
        <v>256</v>
      </c>
      <c r="C147" s="65"/>
      <c r="D147" s="66"/>
      <c r="E147" s="67"/>
      <c r="F147" s="68"/>
      <c r="G147" s="65"/>
      <c r="H147" s="69"/>
      <c r="I147" s="70"/>
      <c r="J147" s="70"/>
      <c r="K147" s="35" t="s">
        <v>65</v>
      </c>
      <c r="L147" s="77">
        <v>261</v>
      </c>
      <c r="M147" s="77"/>
      <c r="N147" s="72"/>
      <c r="O147" s="79" t="s">
        <v>338</v>
      </c>
      <c r="P147" s="81">
        <v>44404.98777777778</v>
      </c>
      <c r="Q147" s="79" t="s">
        <v>358</v>
      </c>
      <c r="R147" s="83" t="str">
        <f>HYPERLINK("https://twitter.com/_MABurnett/status/1420114213658402821")</f>
        <v>https://twitter.com/_MABurnett/status/1420114213658402821</v>
      </c>
      <c r="S147" s="79" t="s">
        <v>449</v>
      </c>
      <c r="T147" s="85" t="s">
        <v>461</v>
      </c>
      <c r="U147" s="79"/>
      <c r="V147" s="83" t="str">
        <f>HYPERLINK("https://pbs.twimg.com/profile_images/1397201966644830209/6IwLm778_normal.jpg")</f>
        <v>https://pbs.twimg.com/profile_images/1397201966644830209/6IwLm778_normal.jpg</v>
      </c>
      <c r="W147" s="81">
        <v>44404.98777777778</v>
      </c>
      <c r="X147" s="87">
        <v>44404</v>
      </c>
      <c r="Y147" s="85" t="s">
        <v>537</v>
      </c>
      <c r="Z147" s="83" t="str">
        <f>HYPERLINK("https://twitter.com/miajanai_/status/1420167720784515080")</f>
        <v>https://twitter.com/miajanai_/status/1420167720784515080</v>
      </c>
      <c r="AA147" s="79"/>
      <c r="AB147" s="79"/>
      <c r="AC147" s="85" t="s">
        <v>714</v>
      </c>
      <c r="AD147" s="79"/>
      <c r="AE147" s="79" t="b">
        <v>0</v>
      </c>
      <c r="AF147" s="79">
        <v>0</v>
      </c>
      <c r="AG147" s="85" t="s">
        <v>867</v>
      </c>
      <c r="AH147" s="79" t="b">
        <v>1</v>
      </c>
      <c r="AI147" s="79" t="s">
        <v>874</v>
      </c>
      <c r="AJ147" s="79"/>
      <c r="AK147" s="85" t="s">
        <v>736</v>
      </c>
      <c r="AL147" s="79" t="b">
        <v>0</v>
      </c>
      <c r="AM147" s="79">
        <v>5</v>
      </c>
      <c r="AN147" s="85" t="s">
        <v>730</v>
      </c>
      <c r="AO147" s="85" t="s">
        <v>883</v>
      </c>
      <c r="AP147" s="79" t="b">
        <v>0</v>
      </c>
      <c r="AQ147" s="85" t="s">
        <v>730</v>
      </c>
      <c r="AR147" s="79" t="s">
        <v>177</v>
      </c>
      <c r="AS147" s="79">
        <v>0</v>
      </c>
      <c r="AT147" s="79">
        <v>0</v>
      </c>
      <c r="AU147" s="79"/>
      <c r="AV147" s="79"/>
      <c r="AW147" s="79"/>
      <c r="AX147" s="79"/>
      <c r="AY147" s="79"/>
      <c r="AZ147" s="79"/>
      <c r="BA147" s="79"/>
      <c r="BB147" s="79"/>
      <c r="BC147">
        <v>1</v>
      </c>
      <c r="BD147" s="78" t="str">
        <f>REPLACE(INDEX(GroupVertices[Group], MATCH(Edges13[[#This Row],[Vertex 1]],GroupVertices[Vertex],0)),1,1,"")</f>
        <v>2</v>
      </c>
      <c r="BE147" s="78" t="str">
        <f>REPLACE(INDEX(GroupVertices[Group], MATCH(Edges13[[#This Row],[Vertex 2]],GroupVertices[Vertex],0)),1,1,"")</f>
        <v>2</v>
      </c>
    </row>
    <row r="148" spans="1:57" x14ac:dyDescent="0.25">
      <c r="A148" s="64" t="s">
        <v>244</v>
      </c>
      <c r="B148" s="64" t="s">
        <v>256</v>
      </c>
      <c r="C148" s="65"/>
      <c r="D148" s="66"/>
      <c r="E148" s="67"/>
      <c r="F148" s="68"/>
      <c r="G148" s="65"/>
      <c r="H148" s="69"/>
      <c r="I148" s="70"/>
      <c r="J148" s="70"/>
      <c r="K148" s="35" t="s">
        <v>65</v>
      </c>
      <c r="L148" s="77">
        <v>262</v>
      </c>
      <c r="M148" s="77"/>
      <c r="N148" s="72"/>
      <c r="O148" s="79" t="s">
        <v>337</v>
      </c>
      <c r="P148" s="81">
        <v>44405.005162037036</v>
      </c>
      <c r="Q148" s="79" t="s">
        <v>356</v>
      </c>
      <c r="R148" s="79"/>
      <c r="S148" s="79"/>
      <c r="T148" s="85" t="s">
        <v>461</v>
      </c>
      <c r="U148" s="83" t="str">
        <f>HYPERLINK("https://pbs.twimg.com/media/E7VCWcGXMAQx84B.jpg")</f>
        <v>https://pbs.twimg.com/media/E7VCWcGXMAQx84B.jpg</v>
      </c>
      <c r="V148" s="83" t="str">
        <f>HYPERLINK("https://pbs.twimg.com/media/E7VCWcGXMAQx84B.jpg")</f>
        <v>https://pbs.twimg.com/media/E7VCWcGXMAQx84B.jpg</v>
      </c>
      <c r="W148" s="81">
        <v>44405.005162037036</v>
      </c>
      <c r="X148" s="87">
        <v>44405</v>
      </c>
      <c r="Y148" s="85" t="s">
        <v>538</v>
      </c>
      <c r="Z148" s="83" t="str">
        <f>HYPERLINK("https://twitter.com/monieelovee_/status/1420174020666929157")</f>
        <v>https://twitter.com/monieelovee_/status/1420174020666929157</v>
      </c>
      <c r="AA148" s="79"/>
      <c r="AB148" s="79"/>
      <c r="AC148" s="85" t="s">
        <v>715</v>
      </c>
      <c r="AD148" s="79"/>
      <c r="AE148" s="79" t="b">
        <v>0</v>
      </c>
      <c r="AF148" s="79">
        <v>0</v>
      </c>
      <c r="AG148" s="85" t="s">
        <v>867</v>
      </c>
      <c r="AH148" s="79" t="b">
        <v>0</v>
      </c>
      <c r="AI148" s="79" t="s">
        <v>874</v>
      </c>
      <c r="AJ148" s="79"/>
      <c r="AK148" s="85" t="s">
        <v>867</v>
      </c>
      <c r="AL148" s="79" t="b">
        <v>0</v>
      </c>
      <c r="AM148" s="79">
        <v>21</v>
      </c>
      <c r="AN148" s="85" t="s">
        <v>736</v>
      </c>
      <c r="AO148" s="85" t="s">
        <v>883</v>
      </c>
      <c r="AP148" s="79" t="b">
        <v>0</v>
      </c>
      <c r="AQ148" s="85" t="s">
        <v>736</v>
      </c>
      <c r="AR148" s="79" t="s">
        <v>177</v>
      </c>
      <c r="AS148" s="79">
        <v>0</v>
      </c>
      <c r="AT148" s="79">
        <v>0</v>
      </c>
      <c r="AU148" s="79"/>
      <c r="AV148" s="79"/>
      <c r="AW148" s="79"/>
      <c r="AX148" s="79"/>
      <c r="AY148" s="79"/>
      <c r="AZ148" s="79"/>
      <c r="BA148" s="79"/>
      <c r="BB148" s="79"/>
      <c r="BC148">
        <v>1</v>
      </c>
      <c r="BD148" s="78" t="str">
        <f>REPLACE(INDEX(GroupVertices[Group], MATCH(Edges13[[#This Row],[Vertex 1]],GroupVertices[Vertex],0)),1,1,"")</f>
        <v>2</v>
      </c>
      <c r="BE148" s="78" t="str">
        <f>REPLACE(INDEX(GroupVertices[Group], MATCH(Edges13[[#This Row],[Vertex 2]],GroupVertices[Vertex],0)),1,1,"")</f>
        <v>2</v>
      </c>
    </row>
    <row r="149" spans="1:57" x14ac:dyDescent="0.25">
      <c r="A149" s="64" t="s">
        <v>246</v>
      </c>
      <c r="B149" s="64" t="s">
        <v>256</v>
      </c>
      <c r="C149" s="65"/>
      <c r="D149" s="66"/>
      <c r="E149" s="67"/>
      <c r="F149" s="68"/>
      <c r="G149" s="65"/>
      <c r="H149" s="69"/>
      <c r="I149" s="70"/>
      <c r="J149" s="70"/>
      <c r="K149" s="35" t="s">
        <v>65</v>
      </c>
      <c r="L149" s="77">
        <v>263</v>
      </c>
      <c r="M149" s="77"/>
      <c r="N149" s="72"/>
      <c r="O149" s="79" t="s">
        <v>338</v>
      </c>
      <c r="P149" s="81">
        <v>44405.043622685182</v>
      </c>
      <c r="Q149" s="79" t="s">
        <v>358</v>
      </c>
      <c r="R149" s="83" t="str">
        <f>HYPERLINK("https://twitter.com/_MABurnett/status/1420114213658402821")</f>
        <v>https://twitter.com/_MABurnett/status/1420114213658402821</v>
      </c>
      <c r="S149" s="79" t="s">
        <v>449</v>
      </c>
      <c r="T149" s="85" t="s">
        <v>461</v>
      </c>
      <c r="U149" s="79"/>
      <c r="V149" s="83" t="str">
        <f>HYPERLINK("https://pbs.twimg.com/profile_images/1149100954437869568/ADya6w5m_normal.jpg")</f>
        <v>https://pbs.twimg.com/profile_images/1149100954437869568/ADya6w5m_normal.jpg</v>
      </c>
      <c r="W149" s="81">
        <v>44405.043622685182</v>
      </c>
      <c r="X149" s="87">
        <v>44405</v>
      </c>
      <c r="Y149" s="85" t="s">
        <v>541</v>
      </c>
      <c r="Z149" s="83" t="str">
        <f>HYPERLINK("https://twitter.com/logangin/status/1420187958502588417")</f>
        <v>https://twitter.com/logangin/status/1420187958502588417</v>
      </c>
      <c r="AA149" s="79"/>
      <c r="AB149" s="79"/>
      <c r="AC149" s="85" t="s">
        <v>720</v>
      </c>
      <c r="AD149" s="79"/>
      <c r="AE149" s="79" t="b">
        <v>0</v>
      </c>
      <c r="AF149" s="79">
        <v>0</v>
      </c>
      <c r="AG149" s="85" t="s">
        <v>867</v>
      </c>
      <c r="AH149" s="79" t="b">
        <v>1</v>
      </c>
      <c r="AI149" s="79" t="s">
        <v>874</v>
      </c>
      <c r="AJ149" s="79"/>
      <c r="AK149" s="85" t="s">
        <v>736</v>
      </c>
      <c r="AL149" s="79" t="b">
        <v>0</v>
      </c>
      <c r="AM149" s="79">
        <v>5</v>
      </c>
      <c r="AN149" s="85" t="s">
        <v>730</v>
      </c>
      <c r="AO149" s="85" t="s">
        <v>883</v>
      </c>
      <c r="AP149" s="79" t="b">
        <v>0</v>
      </c>
      <c r="AQ149" s="85" t="s">
        <v>730</v>
      </c>
      <c r="AR149" s="79" t="s">
        <v>177</v>
      </c>
      <c r="AS149" s="79">
        <v>0</v>
      </c>
      <c r="AT149" s="79">
        <v>0</v>
      </c>
      <c r="AU149" s="79"/>
      <c r="AV149" s="79"/>
      <c r="AW149" s="79"/>
      <c r="AX149" s="79"/>
      <c r="AY149" s="79"/>
      <c r="AZ149" s="79"/>
      <c r="BA149" s="79"/>
      <c r="BB149" s="79"/>
      <c r="BC149">
        <v>1</v>
      </c>
      <c r="BD149" s="78" t="str">
        <f>REPLACE(INDEX(GroupVertices[Group], MATCH(Edges13[[#This Row],[Vertex 1]],GroupVertices[Vertex],0)),1,1,"")</f>
        <v>2</v>
      </c>
      <c r="BE149" s="78" t="str">
        <f>REPLACE(INDEX(GroupVertices[Group], MATCH(Edges13[[#This Row],[Vertex 2]],GroupVertices[Vertex],0)),1,1,"")</f>
        <v>2</v>
      </c>
    </row>
    <row r="150" spans="1:57" x14ac:dyDescent="0.25">
      <c r="A150" s="64" t="s">
        <v>247</v>
      </c>
      <c r="B150" s="64" t="s">
        <v>256</v>
      </c>
      <c r="C150" s="65"/>
      <c r="D150" s="66"/>
      <c r="E150" s="67"/>
      <c r="F150" s="68"/>
      <c r="G150" s="65"/>
      <c r="H150" s="69"/>
      <c r="I150" s="70"/>
      <c r="J150" s="70"/>
      <c r="K150" s="35" t="s">
        <v>65</v>
      </c>
      <c r="L150" s="77">
        <v>264</v>
      </c>
      <c r="M150" s="77"/>
      <c r="N150" s="72"/>
      <c r="O150" s="79" t="s">
        <v>337</v>
      </c>
      <c r="P150" s="81">
        <v>44405.090324074074</v>
      </c>
      <c r="Q150" s="79" t="s">
        <v>356</v>
      </c>
      <c r="R150" s="79"/>
      <c r="S150" s="79"/>
      <c r="T150" s="85" t="s">
        <v>461</v>
      </c>
      <c r="U150" s="83" t="str">
        <f t="shared" ref="U150:V156" si="5">HYPERLINK("https://pbs.twimg.com/media/E7VCWcGXMAQx84B.jpg")</f>
        <v>https://pbs.twimg.com/media/E7VCWcGXMAQx84B.jpg</v>
      </c>
      <c r="V150" s="83" t="str">
        <f t="shared" si="5"/>
        <v>https://pbs.twimg.com/media/E7VCWcGXMAQx84B.jpg</v>
      </c>
      <c r="W150" s="81">
        <v>44405.090324074074</v>
      </c>
      <c r="X150" s="87">
        <v>44405</v>
      </c>
      <c r="Y150" s="85" t="s">
        <v>542</v>
      </c>
      <c r="Z150" s="83" t="str">
        <f>HYPERLINK("https://twitter.com/lamarrichards_/status/1420204880652906500")</f>
        <v>https://twitter.com/lamarrichards_/status/1420204880652906500</v>
      </c>
      <c r="AA150" s="79"/>
      <c r="AB150" s="79"/>
      <c r="AC150" s="85" t="s">
        <v>721</v>
      </c>
      <c r="AD150" s="79"/>
      <c r="AE150" s="79" t="b">
        <v>0</v>
      </c>
      <c r="AF150" s="79">
        <v>0</v>
      </c>
      <c r="AG150" s="85" t="s">
        <v>867</v>
      </c>
      <c r="AH150" s="79" t="b">
        <v>0</v>
      </c>
      <c r="AI150" s="79" t="s">
        <v>874</v>
      </c>
      <c r="AJ150" s="79"/>
      <c r="AK150" s="85" t="s">
        <v>867</v>
      </c>
      <c r="AL150" s="79" t="b">
        <v>0</v>
      </c>
      <c r="AM150" s="79">
        <v>21</v>
      </c>
      <c r="AN150" s="85" t="s">
        <v>736</v>
      </c>
      <c r="AO150" s="85" t="s">
        <v>883</v>
      </c>
      <c r="AP150" s="79" t="b">
        <v>0</v>
      </c>
      <c r="AQ150" s="85" t="s">
        <v>736</v>
      </c>
      <c r="AR150" s="79" t="s">
        <v>177</v>
      </c>
      <c r="AS150" s="79">
        <v>0</v>
      </c>
      <c r="AT150" s="79">
        <v>0</v>
      </c>
      <c r="AU150" s="79"/>
      <c r="AV150" s="79"/>
      <c r="AW150" s="79"/>
      <c r="AX150" s="79"/>
      <c r="AY150" s="79"/>
      <c r="AZ150" s="79"/>
      <c r="BA150" s="79"/>
      <c r="BB150" s="79"/>
      <c r="BC150">
        <v>1</v>
      </c>
      <c r="BD150" s="78" t="str">
        <f>REPLACE(INDEX(GroupVertices[Group], MATCH(Edges13[[#This Row],[Vertex 1]],GroupVertices[Vertex],0)),1,1,"")</f>
        <v>2</v>
      </c>
      <c r="BE150" s="78" t="str">
        <f>REPLACE(INDEX(GroupVertices[Group], MATCH(Edges13[[#This Row],[Vertex 2]],GroupVertices[Vertex],0)),1,1,"")</f>
        <v>2</v>
      </c>
    </row>
    <row r="151" spans="1:57" x14ac:dyDescent="0.25">
      <c r="A151" s="64" t="s">
        <v>248</v>
      </c>
      <c r="B151" s="64" t="s">
        <v>256</v>
      </c>
      <c r="C151" s="65"/>
      <c r="D151" s="66"/>
      <c r="E151" s="67"/>
      <c r="F151" s="68"/>
      <c r="G151" s="65"/>
      <c r="H151" s="69"/>
      <c r="I151" s="70"/>
      <c r="J151" s="70"/>
      <c r="K151" s="35" t="s">
        <v>65</v>
      </c>
      <c r="L151" s="77">
        <v>265</v>
      </c>
      <c r="M151" s="77"/>
      <c r="N151" s="72"/>
      <c r="O151" s="79" t="s">
        <v>337</v>
      </c>
      <c r="P151" s="81">
        <v>44405.09615740741</v>
      </c>
      <c r="Q151" s="79" t="s">
        <v>356</v>
      </c>
      <c r="R151" s="79"/>
      <c r="S151" s="79"/>
      <c r="T151" s="85" t="s">
        <v>461</v>
      </c>
      <c r="U151" s="83" t="str">
        <f t="shared" si="5"/>
        <v>https://pbs.twimg.com/media/E7VCWcGXMAQx84B.jpg</v>
      </c>
      <c r="V151" s="83" t="str">
        <f t="shared" si="5"/>
        <v>https://pbs.twimg.com/media/E7VCWcGXMAQx84B.jpg</v>
      </c>
      <c r="W151" s="81">
        <v>44405.09615740741</v>
      </c>
      <c r="X151" s="87">
        <v>44405</v>
      </c>
      <c r="Y151" s="85" t="s">
        <v>543</v>
      </c>
      <c r="Z151" s="83" t="str">
        <f>HYPERLINK("https://twitter.com/blasiangoddessx/status/1420206994749861892")</f>
        <v>https://twitter.com/blasiangoddessx/status/1420206994749861892</v>
      </c>
      <c r="AA151" s="79"/>
      <c r="AB151" s="79"/>
      <c r="AC151" s="85" t="s">
        <v>722</v>
      </c>
      <c r="AD151" s="79"/>
      <c r="AE151" s="79" t="b">
        <v>0</v>
      </c>
      <c r="AF151" s="79">
        <v>0</v>
      </c>
      <c r="AG151" s="85" t="s">
        <v>867</v>
      </c>
      <c r="AH151" s="79" t="b">
        <v>0</v>
      </c>
      <c r="AI151" s="79" t="s">
        <v>874</v>
      </c>
      <c r="AJ151" s="79"/>
      <c r="AK151" s="85" t="s">
        <v>867</v>
      </c>
      <c r="AL151" s="79" t="b">
        <v>0</v>
      </c>
      <c r="AM151" s="79">
        <v>21</v>
      </c>
      <c r="AN151" s="85" t="s">
        <v>736</v>
      </c>
      <c r="AO151" s="85" t="s">
        <v>883</v>
      </c>
      <c r="AP151" s="79" t="b">
        <v>0</v>
      </c>
      <c r="AQ151" s="85" t="s">
        <v>736</v>
      </c>
      <c r="AR151" s="79" t="s">
        <v>177</v>
      </c>
      <c r="AS151" s="79">
        <v>0</v>
      </c>
      <c r="AT151" s="79">
        <v>0</v>
      </c>
      <c r="AU151" s="79"/>
      <c r="AV151" s="79"/>
      <c r="AW151" s="79"/>
      <c r="AX151" s="79"/>
      <c r="AY151" s="79"/>
      <c r="AZ151" s="79"/>
      <c r="BA151" s="79"/>
      <c r="BB151" s="79"/>
      <c r="BC151">
        <v>1</v>
      </c>
      <c r="BD151" s="78" t="str">
        <f>REPLACE(INDEX(GroupVertices[Group], MATCH(Edges13[[#This Row],[Vertex 1]],GroupVertices[Vertex],0)),1,1,"")</f>
        <v>2</v>
      </c>
      <c r="BE151" s="78" t="str">
        <f>REPLACE(INDEX(GroupVertices[Group], MATCH(Edges13[[#This Row],[Vertex 2]],GroupVertices[Vertex],0)),1,1,"")</f>
        <v>2</v>
      </c>
    </row>
    <row r="152" spans="1:57" x14ac:dyDescent="0.25">
      <c r="A152" s="64" t="s">
        <v>249</v>
      </c>
      <c r="B152" s="64" t="s">
        <v>256</v>
      </c>
      <c r="C152" s="65"/>
      <c r="D152" s="66"/>
      <c r="E152" s="67"/>
      <c r="F152" s="68"/>
      <c r="G152" s="65"/>
      <c r="H152" s="69"/>
      <c r="I152" s="70"/>
      <c r="J152" s="70"/>
      <c r="K152" s="35" t="s">
        <v>65</v>
      </c>
      <c r="L152" s="77">
        <v>266</v>
      </c>
      <c r="M152" s="77"/>
      <c r="N152" s="72"/>
      <c r="O152" s="79" t="s">
        <v>337</v>
      </c>
      <c r="P152" s="81">
        <v>44405.118437500001</v>
      </c>
      <c r="Q152" s="79" t="s">
        <v>356</v>
      </c>
      <c r="R152" s="79"/>
      <c r="S152" s="79"/>
      <c r="T152" s="85" t="s">
        <v>461</v>
      </c>
      <c r="U152" s="83" t="str">
        <f t="shared" si="5"/>
        <v>https://pbs.twimg.com/media/E7VCWcGXMAQx84B.jpg</v>
      </c>
      <c r="V152" s="83" t="str">
        <f t="shared" si="5"/>
        <v>https://pbs.twimg.com/media/E7VCWcGXMAQx84B.jpg</v>
      </c>
      <c r="W152" s="81">
        <v>44405.118437500001</v>
      </c>
      <c r="X152" s="87">
        <v>44405</v>
      </c>
      <c r="Y152" s="85" t="s">
        <v>544</v>
      </c>
      <c r="Z152" s="83" t="str">
        <f>HYPERLINK("https://twitter.com/jbookthacrook/status/1420215068940292096")</f>
        <v>https://twitter.com/jbookthacrook/status/1420215068940292096</v>
      </c>
      <c r="AA152" s="79"/>
      <c r="AB152" s="79"/>
      <c r="AC152" s="85" t="s">
        <v>723</v>
      </c>
      <c r="AD152" s="79"/>
      <c r="AE152" s="79" t="b">
        <v>0</v>
      </c>
      <c r="AF152" s="79">
        <v>0</v>
      </c>
      <c r="AG152" s="85" t="s">
        <v>867</v>
      </c>
      <c r="AH152" s="79" t="b">
        <v>0</v>
      </c>
      <c r="AI152" s="79" t="s">
        <v>874</v>
      </c>
      <c r="AJ152" s="79"/>
      <c r="AK152" s="85" t="s">
        <v>867</v>
      </c>
      <c r="AL152" s="79" t="b">
        <v>0</v>
      </c>
      <c r="AM152" s="79">
        <v>21</v>
      </c>
      <c r="AN152" s="85" t="s">
        <v>736</v>
      </c>
      <c r="AO152" s="85" t="s">
        <v>883</v>
      </c>
      <c r="AP152" s="79" t="b">
        <v>0</v>
      </c>
      <c r="AQ152" s="85" t="s">
        <v>736</v>
      </c>
      <c r="AR152" s="79" t="s">
        <v>177</v>
      </c>
      <c r="AS152" s="79">
        <v>0</v>
      </c>
      <c r="AT152" s="79">
        <v>0</v>
      </c>
      <c r="AU152" s="79"/>
      <c r="AV152" s="79"/>
      <c r="AW152" s="79"/>
      <c r="AX152" s="79"/>
      <c r="AY152" s="79"/>
      <c r="AZ152" s="79"/>
      <c r="BA152" s="79"/>
      <c r="BB152" s="79"/>
      <c r="BC152">
        <v>1</v>
      </c>
      <c r="BD152" s="78" t="str">
        <f>REPLACE(INDEX(GroupVertices[Group], MATCH(Edges13[[#This Row],[Vertex 1]],GroupVertices[Vertex],0)),1,1,"")</f>
        <v>2</v>
      </c>
      <c r="BE152" s="78" t="str">
        <f>REPLACE(INDEX(GroupVertices[Group], MATCH(Edges13[[#This Row],[Vertex 2]],GroupVertices[Vertex],0)),1,1,"")</f>
        <v>2</v>
      </c>
    </row>
    <row r="153" spans="1:57" x14ac:dyDescent="0.25">
      <c r="A153" s="64" t="s">
        <v>250</v>
      </c>
      <c r="B153" s="64" t="s">
        <v>256</v>
      </c>
      <c r="C153" s="65"/>
      <c r="D153" s="66"/>
      <c r="E153" s="67"/>
      <c r="F153" s="68"/>
      <c r="G153" s="65"/>
      <c r="H153" s="69"/>
      <c r="I153" s="70"/>
      <c r="J153" s="70"/>
      <c r="K153" s="35" t="s">
        <v>65</v>
      </c>
      <c r="L153" s="77">
        <v>267</v>
      </c>
      <c r="M153" s="77"/>
      <c r="N153" s="72"/>
      <c r="O153" s="79" t="s">
        <v>337</v>
      </c>
      <c r="P153" s="81">
        <v>44405.177488425928</v>
      </c>
      <c r="Q153" s="79" t="s">
        <v>356</v>
      </c>
      <c r="R153" s="79"/>
      <c r="S153" s="79"/>
      <c r="T153" s="85" t="s">
        <v>461</v>
      </c>
      <c r="U153" s="83" t="str">
        <f t="shared" si="5"/>
        <v>https://pbs.twimg.com/media/E7VCWcGXMAQx84B.jpg</v>
      </c>
      <c r="V153" s="83" t="str">
        <f t="shared" si="5"/>
        <v>https://pbs.twimg.com/media/E7VCWcGXMAQx84B.jpg</v>
      </c>
      <c r="W153" s="81">
        <v>44405.177488425928</v>
      </c>
      <c r="X153" s="87">
        <v>44405</v>
      </c>
      <c r="Y153" s="85" t="s">
        <v>545</v>
      </c>
      <c r="Z153" s="83" t="str">
        <f>HYPERLINK("https://twitter.com/nike_bass95/status/1420236468702924801")</f>
        <v>https://twitter.com/nike_bass95/status/1420236468702924801</v>
      </c>
      <c r="AA153" s="79"/>
      <c r="AB153" s="79"/>
      <c r="AC153" s="85" t="s">
        <v>724</v>
      </c>
      <c r="AD153" s="79"/>
      <c r="AE153" s="79" t="b">
        <v>0</v>
      </c>
      <c r="AF153" s="79">
        <v>0</v>
      </c>
      <c r="AG153" s="85" t="s">
        <v>867</v>
      </c>
      <c r="AH153" s="79" t="b">
        <v>0</v>
      </c>
      <c r="AI153" s="79" t="s">
        <v>874</v>
      </c>
      <c r="AJ153" s="79"/>
      <c r="AK153" s="85" t="s">
        <v>867</v>
      </c>
      <c r="AL153" s="79" t="b">
        <v>0</v>
      </c>
      <c r="AM153" s="79">
        <v>21</v>
      </c>
      <c r="AN153" s="85" t="s">
        <v>736</v>
      </c>
      <c r="AO153" s="85" t="s">
        <v>883</v>
      </c>
      <c r="AP153" s="79" t="b">
        <v>0</v>
      </c>
      <c r="AQ153" s="85" t="s">
        <v>736</v>
      </c>
      <c r="AR153" s="79" t="s">
        <v>177</v>
      </c>
      <c r="AS153" s="79">
        <v>0</v>
      </c>
      <c r="AT153" s="79">
        <v>0</v>
      </c>
      <c r="AU153" s="79"/>
      <c r="AV153" s="79"/>
      <c r="AW153" s="79"/>
      <c r="AX153" s="79"/>
      <c r="AY153" s="79"/>
      <c r="AZ153" s="79"/>
      <c r="BA153" s="79"/>
      <c r="BB153" s="79"/>
      <c r="BC153">
        <v>1</v>
      </c>
      <c r="BD153" s="78" t="str">
        <f>REPLACE(INDEX(GroupVertices[Group], MATCH(Edges13[[#This Row],[Vertex 1]],GroupVertices[Vertex],0)),1,1,"")</f>
        <v>2</v>
      </c>
      <c r="BE153" s="78" t="str">
        <f>REPLACE(INDEX(GroupVertices[Group], MATCH(Edges13[[#This Row],[Vertex 2]],GroupVertices[Vertex],0)),1,1,"")</f>
        <v>2</v>
      </c>
    </row>
    <row r="154" spans="1:57" x14ac:dyDescent="0.25">
      <c r="A154" s="64" t="s">
        <v>251</v>
      </c>
      <c r="B154" s="64" t="s">
        <v>256</v>
      </c>
      <c r="C154" s="65"/>
      <c r="D154" s="66"/>
      <c r="E154" s="67"/>
      <c r="F154" s="68"/>
      <c r="G154" s="65"/>
      <c r="H154" s="69"/>
      <c r="I154" s="70"/>
      <c r="J154" s="70"/>
      <c r="K154" s="35" t="s">
        <v>65</v>
      </c>
      <c r="L154" s="77">
        <v>268</v>
      </c>
      <c r="M154" s="77"/>
      <c r="N154" s="72"/>
      <c r="O154" s="79" t="s">
        <v>337</v>
      </c>
      <c r="P154" s="81">
        <v>44405.211412037039</v>
      </c>
      <c r="Q154" s="79" t="s">
        <v>356</v>
      </c>
      <c r="R154" s="79"/>
      <c r="S154" s="79"/>
      <c r="T154" s="85" t="s">
        <v>461</v>
      </c>
      <c r="U154" s="83" t="str">
        <f t="shared" si="5"/>
        <v>https://pbs.twimg.com/media/E7VCWcGXMAQx84B.jpg</v>
      </c>
      <c r="V154" s="83" t="str">
        <f t="shared" si="5"/>
        <v>https://pbs.twimg.com/media/E7VCWcGXMAQx84B.jpg</v>
      </c>
      <c r="W154" s="81">
        <v>44405.211412037039</v>
      </c>
      <c r="X154" s="87">
        <v>44405</v>
      </c>
      <c r="Y154" s="85" t="s">
        <v>546</v>
      </c>
      <c r="Z154" s="83" t="str">
        <f>HYPERLINK("https://twitter.com/alitebrand/status/1420248762006523904")</f>
        <v>https://twitter.com/alitebrand/status/1420248762006523904</v>
      </c>
      <c r="AA154" s="79"/>
      <c r="AB154" s="79"/>
      <c r="AC154" s="85" t="s">
        <v>725</v>
      </c>
      <c r="AD154" s="79"/>
      <c r="AE154" s="79" t="b">
        <v>0</v>
      </c>
      <c r="AF154" s="79">
        <v>0</v>
      </c>
      <c r="AG154" s="85" t="s">
        <v>867</v>
      </c>
      <c r="AH154" s="79" t="b">
        <v>0</v>
      </c>
      <c r="AI154" s="79" t="s">
        <v>874</v>
      </c>
      <c r="AJ154" s="79"/>
      <c r="AK154" s="85" t="s">
        <v>867</v>
      </c>
      <c r="AL154" s="79" t="b">
        <v>0</v>
      </c>
      <c r="AM154" s="79">
        <v>21</v>
      </c>
      <c r="AN154" s="85" t="s">
        <v>736</v>
      </c>
      <c r="AO154" s="85" t="s">
        <v>883</v>
      </c>
      <c r="AP154" s="79" t="b">
        <v>0</v>
      </c>
      <c r="AQ154" s="85" t="s">
        <v>736</v>
      </c>
      <c r="AR154" s="79" t="s">
        <v>177</v>
      </c>
      <c r="AS154" s="79">
        <v>0</v>
      </c>
      <c r="AT154" s="79">
        <v>0</v>
      </c>
      <c r="AU154" s="79"/>
      <c r="AV154" s="79"/>
      <c r="AW154" s="79"/>
      <c r="AX154" s="79"/>
      <c r="AY154" s="79"/>
      <c r="AZ154" s="79"/>
      <c r="BA154" s="79"/>
      <c r="BB154" s="79"/>
      <c r="BC154">
        <v>1</v>
      </c>
      <c r="BD154" s="78" t="str">
        <f>REPLACE(INDEX(GroupVertices[Group], MATCH(Edges13[[#This Row],[Vertex 1]],GroupVertices[Vertex],0)),1,1,"")</f>
        <v>2</v>
      </c>
      <c r="BE154" s="78" t="str">
        <f>REPLACE(INDEX(GroupVertices[Group], MATCH(Edges13[[#This Row],[Vertex 2]],GroupVertices[Vertex],0)),1,1,"")</f>
        <v>2</v>
      </c>
    </row>
    <row r="155" spans="1:57" x14ac:dyDescent="0.25">
      <c r="A155" s="64" t="s">
        <v>252</v>
      </c>
      <c r="B155" s="64" t="s">
        <v>256</v>
      </c>
      <c r="C155" s="65"/>
      <c r="D155" s="66"/>
      <c r="E155" s="67"/>
      <c r="F155" s="68"/>
      <c r="G155" s="65"/>
      <c r="H155" s="69"/>
      <c r="I155" s="70"/>
      <c r="J155" s="70"/>
      <c r="K155" s="35" t="s">
        <v>65</v>
      </c>
      <c r="L155" s="77">
        <v>269</v>
      </c>
      <c r="M155" s="77"/>
      <c r="N155" s="72"/>
      <c r="O155" s="79" t="s">
        <v>337</v>
      </c>
      <c r="P155" s="81">
        <v>44405.424942129626</v>
      </c>
      <c r="Q155" s="79" t="s">
        <v>356</v>
      </c>
      <c r="R155" s="79"/>
      <c r="S155" s="79"/>
      <c r="T155" s="85" t="s">
        <v>461</v>
      </c>
      <c r="U155" s="83" t="str">
        <f t="shared" si="5"/>
        <v>https://pbs.twimg.com/media/E7VCWcGXMAQx84B.jpg</v>
      </c>
      <c r="V155" s="83" t="str">
        <f t="shared" si="5"/>
        <v>https://pbs.twimg.com/media/E7VCWcGXMAQx84B.jpg</v>
      </c>
      <c r="W155" s="81">
        <v>44405.424942129626</v>
      </c>
      <c r="X155" s="87">
        <v>44405</v>
      </c>
      <c r="Y155" s="85" t="s">
        <v>547</v>
      </c>
      <c r="Z155" s="83" t="str">
        <f>HYPERLINK("https://twitter.com/lotsofsassblog/status/1420326141664051201")</f>
        <v>https://twitter.com/lotsofsassblog/status/1420326141664051201</v>
      </c>
      <c r="AA155" s="79"/>
      <c r="AB155" s="79"/>
      <c r="AC155" s="85" t="s">
        <v>726</v>
      </c>
      <c r="AD155" s="79"/>
      <c r="AE155" s="79" t="b">
        <v>0</v>
      </c>
      <c r="AF155" s="79">
        <v>0</v>
      </c>
      <c r="AG155" s="85" t="s">
        <v>867</v>
      </c>
      <c r="AH155" s="79" t="b">
        <v>0</v>
      </c>
      <c r="AI155" s="79" t="s">
        <v>874</v>
      </c>
      <c r="AJ155" s="79"/>
      <c r="AK155" s="85" t="s">
        <v>867</v>
      </c>
      <c r="AL155" s="79" t="b">
        <v>0</v>
      </c>
      <c r="AM155" s="79">
        <v>21</v>
      </c>
      <c r="AN155" s="85" t="s">
        <v>736</v>
      </c>
      <c r="AO155" s="85" t="s">
        <v>883</v>
      </c>
      <c r="AP155" s="79" t="b">
        <v>0</v>
      </c>
      <c r="AQ155" s="85" t="s">
        <v>736</v>
      </c>
      <c r="AR155" s="79" t="s">
        <v>177</v>
      </c>
      <c r="AS155" s="79">
        <v>0</v>
      </c>
      <c r="AT155" s="79">
        <v>0</v>
      </c>
      <c r="AU155" s="79"/>
      <c r="AV155" s="79"/>
      <c r="AW155" s="79"/>
      <c r="AX155" s="79"/>
      <c r="AY155" s="79"/>
      <c r="AZ155" s="79"/>
      <c r="BA155" s="79"/>
      <c r="BB155" s="79"/>
      <c r="BC155">
        <v>1</v>
      </c>
      <c r="BD155" s="78" t="str">
        <f>REPLACE(INDEX(GroupVertices[Group], MATCH(Edges13[[#This Row],[Vertex 1]],GroupVertices[Vertex],0)),1,1,"")</f>
        <v>2</v>
      </c>
      <c r="BE155" s="78" t="str">
        <f>REPLACE(INDEX(GroupVertices[Group], MATCH(Edges13[[#This Row],[Vertex 2]],GroupVertices[Vertex],0)),1,1,"")</f>
        <v>2</v>
      </c>
    </row>
    <row r="156" spans="1:57" x14ac:dyDescent="0.25">
      <c r="A156" s="64" t="s">
        <v>253</v>
      </c>
      <c r="B156" s="64" t="s">
        <v>256</v>
      </c>
      <c r="C156" s="65"/>
      <c r="D156" s="66"/>
      <c r="E156" s="67"/>
      <c r="F156" s="68"/>
      <c r="G156" s="65"/>
      <c r="H156" s="69"/>
      <c r="I156" s="70"/>
      <c r="J156" s="70"/>
      <c r="K156" s="35" t="s">
        <v>65</v>
      </c>
      <c r="L156" s="77">
        <v>270</v>
      </c>
      <c r="M156" s="77"/>
      <c r="N156" s="72"/>
      <c r="O156" s="79" t="s">
        <v>337</v>
      </c>
      <c r="P156" s="81">
        <v>44405.481203703705</v>
      </c>
      <c r="Q156" s="79" t="s">
        <v>356</v>
      </c>
      <c r="R156" s="79"/>
      <c r="S156" s="79"/>
      <c r="T156" s="85" t="s">
        <v>461</v>
      </c>
      <c r="U156" s="83" t="str">
        <f t="shared" si="5"/>
        <v>https://pbs.twimg.com/media/E7VCWcGXMAQx84B.jpg</v>
      </c>
      <c r="V156" s="83" t="str">
        <f t="shared" si="5"/>
        <v>https://pbs.twimg.com/media/E7VCWcGXMAQx84B.jpg</v>
      </c>
      <c r="W156" s="81">
        <v>44405.481203703705</v>
      </c>
      <c r="X156" s="87">
        <v>44405</v>
      </c>
      <c r="Y156" s="85" t="s">
        <v>548</v>
      </c>
      <c r="Z156" s="83" t="str">
        <f>HYPERLINK("https://twitter.com/a_r_palmer/status/1420346530595319808")</f>
        <v>https://twitter.com/a_r_palmer/status/1420346530595319808</v>
      </c>
      <c r="AA156" s="79"/>
      <c r="AB156" s="79"/>
      <c r="AC156" s="85" t="s">
        <v>727</v>
      </c>
      <c r="AD156" s="79"/>
      <c r="AE156" s="79" t="b">
        <v>0</v>
      </c>
      <c r="AF156" s="79">
        <v>0</v>
      </c>
      <c r="AG156" s="85" t="s">
        <v>867</v>
      </c>
      <c r="AH156" s="79" t="b">
        <v>0</v>
      </c>
      <c r="AI156" s="79" t="s">
        <v>874</v>
      </c>
      <c r="AJ156" s="79"/>
      <c r="AK156" s="85" t="s">
        <v>867</v>
      </c>
      <c r="AL156" s="79" t="b">
        <v>0</v>
      </c>
      <c r="AM156" s="79">
        <v>21</v>
      </c>
      <c r="AN156" s="85" t="s">
        <v>736</v>
      </c>
      <c r="AO156" s="85" t="s">
        <v>887</v>
      </c>
      <c r="AP156" s="79" t="b">
        <v>0</v>
      </c>
      <c r="AQ156" s="85" t="s">
        <v>736</v>
      </c>
      <c r="AR156" s="79" t="s">
        <v>177</v>
      </c>
      <c r="AS156" s="79">
        <v>0</v>
      </c>
      <c r="AT156" s="79">
        <v>0</v>
      </c>
      <c r="AU156" s="79"/>
      <c r="AV156" s="79"/>
      <c r="AW156" s="79"/>
      <c r="AX156" s="79"/>
      <c r="AY156" s="79"/>
      <c r="AZ156" s="79"/>
      <c r="BA156" s="79"/>
      <c r="BB156" s="79"/>
      <c r="BC156">
        <v>1</v>
      </c>
      <c r="BD156" s="78" t="str">
        <f>REPLACE(INDEX(GroupVertices[Group], MATCH(Edges13[[#This Row],[Vertex 1]],GroupVertices[Vertex],0)),1,1,"")</f>
        <v>2</v>
      </c>
      <c r="BE156" s="78" t="str">
        <f>REPLACE(INDEX(GroupVertices[Group], MATCH(Edges13[[#This Row],[Vertex 2]],GroupVertices[Vertex],0)),1,1,"")</f>
        <v>2</v>
      </c>
    </row>
    <row r="157" spans="1:57" x14ac:dyDescent="0.25">
      <c r="A157" s="64" t="s">
        <v>254</v>
      </c>
      <c r="B157" s="64" t="s">
        <v>256</v>
      </c>
      <c r="C157" s="65"/>
      <c r="D157" s="66"/>
      <c r="E157" s="67"/>
      <c r="F157" s="68"/>
      <c r="G157" s="65"/>
      <c r="H157" s="69"/>
      <c r="I157" s="70"/>
      <c r="J157" s="70"/>
      <c r="K157" s="35" t="s">
        <v>65</v>
      </c>
      <c r="L157" s="77">
        <v>271</v>
      </c>
      <c r="M157" s="77"/>
      <c r="N157" s="72"/>
      <c r="O157" s="79" t="s">
        <v>338</v>
      </c>
      <c r="P157" s="81">
        <v>44405.494467592594</v>
      </c>
      <c r="Q157" s="79" t="s">
        <v>358</v>
      </c>
      <c r="R157" s="83" t="str">
        <f>HYPERLINK("https://twitter.com/_MABurnett/status/1420114213658402821")</f>
        <v>https://twitter.com/_MABurnett/status/1420114213658402821</v>
      </c>
      <c r="S157" s="79" t="s">
        <v>449</v>
      </c>
      <c r="T157" s="85" t="s">
        <v>461</v>
      </c>
      <c r="U157" s="79"/>
      <c r="V157" s="83" t="str">
        <f>HYPERLINK("https://pbs.twimg.com/profile_images/1321252358664454145/7HmMzwjD_normal.jpg")</f>
        <v>https://pbs.twimg.com/profile_images/1321252358664454145/7HmMzwjD_normal.jpg</v>
      </c>
      <c r="W157" s="81">
        <v>44405.494467592594</v>
      </c>
      <c r="X157" s="87">
        <v>44405</v>
      </c>
      <c r="Y157" s="85" t="s">
        <v>549</v>
      </c>
      <c r="Z157" s="83" t="str">
        <f>HYPERLINK("https://twitter.com/ecsuhonors/status/1420351339348074501")</f>
        <v>https://twitter.com/ecsuhonors/status/1420351339348074501</v>
      </c>
      <c r="AA157" s="79"/>
      <c r="AB157" s="79"/>
      <c r="AC157" s="85" t="s">
        <v>728</v>
      </c>
      <c r="AD157" s="79"/>
      <c r="AE157" s="79" t="b">
        <v>0</v>
      </c>
      <c r="AF157" s="79">
        <v>0</v>
      </c>
      <c r="AG157" s="85" t="s">
        <v>867</v>
      </c>
      <c r="AH157" s="79" t="b">
        <v>1</v>
      </c>
      <c r="AI157" s="79" t="s">
        <v>874</v>
      </c>
      <c r="AJ157" s="79"/>
      <c r="AK157" s="85" t="s">
        <v>736</v>
      </c>
      <c r="AL157" s="79" t="b">
        <v>0</v>
      </c>
      <c r="AM157" s="79">
        <v>5</v>
      </c>
      <c r="AN157" s="85" t="s">
        <v>730</v>
      </c>
      <c r="AO157" s="85" t="s">
        <v>882</v>
      </c>
      <c r="AP157" s="79" t="b">
        <v>0</v>
      </c>
      <c r="AQ157" s="85" t="s">
        <v>730</v>
      </c>
      <c r="AR157" s="79" t="s">
        <v>177</v>
      </c>
      <c r="AS157" s="79">
        <v>0</v>
      </c>
      <c r="AT157" s="79">
        <v>0</v>
      </c>
      <c r="AU157" s="79"/>
      <c r="AV157" s="79"/>
      <c r="AW157" s="79"/>
      <c r="AX157" s="79"/>
      <c r="AY157" s="79"/>
      <c r="AZ157" s="79"/>
      <c r="BA157" s="79"/>
      <c r="BB157" s="79"/>
      <c r="BC157">
        <v>1</v>
      </c>
      <c r="BD157" s="78" t="str">
        <f>REPLACE(INDEX(GroupVertices[Group], MATCH(Edges13[[#This Row],[Vertex 1]],GroupVertices[Vertex],0)),1,1,"")</f>
        <v>2</v>
      </c>
      <c r="BE157" s="78" t="str">
        <f>REPLACE(INDEX(GroupVertices[Group], MATCH(Edges13[[#This Row],[Vertex 2]],GroupVertices[Vertex],0)),1,1,"")</f>
        <v>2</v>
      </c>
    </row>
    <row r="158" spans="1:57" x14ac:dyDescent="0.25">
      <c r="A158" s="64" t="s">
        <v>255</v>
      </c>
      <c r="B158" s="64" t="s">
        <v>256</v>
      </c>
      <c r="C158" s="65"/>
      <c r="D158" s="66"/>
      <c r="E158" s="67"/>
      <c r="F158" s="68"/>
      <c r="G158" s="65"/>
      <c r="H158" s="69"/>
      <c r="I158" s="70"/>
      <c r="J158" s="70"/>
      <c r="K158" s="35" t="s">
        <v>65</v>
      </c>
      <c r="L158" s="77">
        <v>272</v>
      </c>
      <c r="M158" s="77"/>
      <c r="N158" s="72"/>
      <c r="O158" s="79" t="s">
        <v>337</v>
      </c>
      <c r="P158" s="81">
        <v>44405.504004629627</v>
      </c>
      <c r="Q158" s="79" t="s">
        <v>356</v>
      </c>
      <c r="R158" s="79"/>
      <c r="S158" s="79"/>
      <c r="T158" s="85" t="s">
        <v>461</v>
      </c>
      <c r="U158" s="83" t="str">
        <f>HYPERLINK("https://pbs.twimg.com/media/E7VCWcGXMAQx84B.jpg")</f>
        <v>https://pbs.twimg.com/media/E7VCWcGXMAQx84B.jpg</v>
      </c>
      <c r="V158" s="83" t="str">
        <f>HYPERLINK("https://pbs.twimg.com/media/E7VCWcGXMAQx84B.jpg")</f>
        <v>https://pbs.twimg.com/media/E7VCWcGXMAQx84B.jpg</v>
      </c>
      <c r="W158" s="81">
        <v>44405.504004629627</v>
      </c>
      <c r="X158" s="87">
        <v>44405</v>
      </c>
      <c r="Y158" s="85" t="s">
        <v>550</v>
      </c>
      <c r="Z158" s="83" t="str">
        <f>HYPERLINK("https://twitter.com/adamkirkedge/status/1420354795974668290")</f>
        <v>https://twitter.com/adamkirkedge/status/1420354795974668290</v>
      </c>
      <c r="AA158" s="79"/>
      <c r="AB158" s="79"/>
      <c r="AC158" s="85" t="s">
        <v>729</v>
      </c>
      <c r="AD158" s="79"/>
      <c r="AE158" s="79" t="b">
        <v>0</v>
      </c>
      <c r="AF158" s="79">
        <v>0</v>
      </c>
      <c r="AG158" s="85" t="s">
        <v>867</v>
      </c>
      <c r="AH158" s="79" t="b">
        <v>0</v>
      </c>
      <c r="AI158" s="79" t="s">
        <v>874</v>
      </c>
      <c r="AJ158" s="79"/>
      <c r="AK158" s="85" t="s">
        <v>867</v>
      </c>
      <c r="AL158" s="79" t="b">
        <v>0</v>
      </c>
      <c r="AM158" s="79">
        <v>21</v>
      </c>
      <c r="AN158" s="85" t="s">
        <v>736</v>
      </c>
      <c r="AO158" s="85" t="s">
        <v>887</v>
      </c>
      <c r="AP158" s="79" t="b">
        <v>0</v>
      </c>
      <c r="AQ158" s="85" t="s">
        <v>736</v>
      </c>
      <c r="AR158" s="79" t="s">
        <v>177</v>
      </c>
      <c r="AS158" s="79">
        <v>0</v>
      </c>
      <c r="AT158" s="79">
        <v>0</v>
      </c>
      <c r="AU158" s="79"/>
      <c r="AV158" s="79"/>
      <c r="AW158" s="79"/>
      <c r="AX158" s="79"/>
      <c r="AY158" s="79"/>
      <c r="AZ158" s="79"/>
      <c r="BA158" s="79"/>
      <c r="BB158" s="79"/>
      <c r="BC158">
        <v>1</v>
      </c>
      <c r="BD158" s="78" t="str">
        <f>REPLACE(INDEX(GroupVertices[Group], MATCH(Edges13[[#This Row],[Vertex 1]],GroupVertices[Vertex],0)),1,1,"")</f>
        <v>2</v>
      </c>
      <c r="BE158" s="78" t="str">
        <f>REPLACE(INDEX(GroupVertices[Group], MATCH(Edges13[[#This Row],[Vertex 2]],GroupVertices[Vertex],0)),1,1,"")</f>
        <v>2</v>
      </c>
    </row>
    <row r="159" spans="1:57" x14ac:dyDescent="0.25">
      <c r="A159" s="64" t="s">
        <v>260</v>
      </c>
      <c r="B159" s="64" t="s">
        <v>256</v>
      </c>
      <c r="C159" s="65"/>
      <c r="D159" s="66"/>
      <c r="E159" s="67"/>
      <c r="F159" s="68"/>
      <c r="G159" s="65"/>
      <c r="H159" s="69"/>
      <c r="I159" s="70"/>
      <c r="J159" s="70"/>
      <c r="K159" s="35" t="s">
        <v>65</v>
      </c>
      <c r="L159" s="77">
        <v>273</v>
      </c>
      <c r="M159" s="77"/>
      <c r="N159" s="72"/>
      <c r="O159" s="79" t="s">
        <v>339</v>
      </c>
      <c r="P159" s="81">
        <v>44405.640659722223</v>
      </c>
      <c r="Q159" s="79" t="s">
        <v>363</v>
      </c>
      <c r="R159" s="79"/>
      <c r="S159" s="79"/>
      <c r="T159" s="85" t="s">
        <v>461</v>
      </c>
      <c r="U159" s="79"/>
      <c r="V159" s="83" t="str">
        <f>HYPERLINK("https://pbs.twimg.com/profile_images/3042548870/bfa8c8093e0da871ba9c734f472fe580_normal.jpeg")</f>
        <v>https://pbs.twimg.com/profile_images/3042548870/bfa8c8093e0da871ba9c734f472fe580_normal.jpeg</v>
      </c>
      <c r="W159" s="81">
        <v>44405.640659722223</v>
      </c>
      <c r="X159" s="87">
        <v>44405</v>
      </c>
      <c r="Y159" s="85" t="s">
        <v>558</v>
      </c>
      <c r="Z159" s="83" t="str">
        <f>HYPERLINK("https://twitter.com/clcphd2004/status/1420404318184755200")</f>
        <v>https://twitter.com/clcphd2004/status/1420404318184755200</v>
      </c>
      <c r="AA159" s="79"/>
      <c r="AB159" s="79"/>
      <c r="AC159" s="85" t="s">
        <v>737</v>
      </c>
      <c r="AD159" s="85" t="s">
        <v>736</v>
      </c>
      <c r="AE159" s="79" t="b">
        <v>0</v>
      </c>
      <c r="AF159" s="79">
        <v>4</v>
      </c>
      <c r="AG159" s="85" t="s">
        <v>869</v>
      </c>
      <c r="AH159" s="79" t="b">
        <v>0</v>
      </c>
      <c r="AI159" s="79" t="s">
        <v>874</v>
      </c>
      <c r="AJ159" s="79"/>
      <c r="AK159" s="85" t="s">
        <v>867</v>
      </c>
      <c r="AL159" s="79" t="b">
        <v>0</v>
      </c>
      <c r="AM159" s="79">
        <v>0</v>
      </c>
      <c r="AN159" s="85" t="s">
        <v>867</v>
      </c>
      <c r="AO159" s="85" t="s">
        <v>882</v>
      </c>
      <c r="AP159" s="79" t="b">
        <v>0</v>
      </c>
      <c r="AQ159" s="85" t="s">
        <v>736</v>
      </c>
      <c r="AR159" s="79" t="s">
        <v>177</v>
      </c>
      <c r="AS159" s="79">
        <v>0</v>
      </c>
      <c r="AT159" s="79">
        <v>0</v>
      </c>
      <c r="AU159" s="79"/>
      <c r="AV159" s="79"/>
      <c r="AW159" s="79"/>
      <c r="AX159" s="79"/>
      <c r="AY159" s="79"/>
      <c r="AZ159" s="79"/>
      <c r="BA159" s="79"/>
      <c r="BB159" s="79"/>
      <c r="BC159">
        <v>1</v>
      </c>
      <c r="BD159" s="78" t="str">
        <f>REPLACE(INDEX(GroupVertices[Group], MATCH(Edges13[[#This Row],[Vertex 1]],GroupVertices[Vertex],0)),1,1,"")</f>
        <v>2</v>
      </c>
      <c r="BE159" s="78" t="str">
        <f>REPLACE(INDEX(GroupVertices[Group], MATCH(Edges13[[#This Row],[Vertex 2]],GroupVertices[Vertex],0)),1,1,"")</f>
        <v>2</v>
      </c>
    </row>
    <row r="160" spans="1:57" x14ac:dyDescent="0.25">
      <c r="A160" s="64" t="s">
        <v>218</v>
      </c>
      <c r="B160" s="64" t="s">
        <v>219</v>
      </c>
      <c r="C160" s="65"/>
      <c r="D160" s="66"/>
      <c r="E160" s="67"/>
      <c r="F160" s="68"/>
      <c r="G160" s="65"/>
      <c r="H160" s="69"/>
      <c r="I160" s="70"/>
      <c r="J160" s="70"/>
      <c r="K160" s="35" t="s">
        <v>66</v>
      </c>
      <c r="L160" s="77">
        <v>275</v>
      </c>
      <c r="M160" s="77"/>
      <c r="N160" s="72"/>
      <c r="O160" s="79" t="s">
        <v>339</v>
      </c>
      <c r="P160" s="81">
        <v>44400.89984953704</v>
      </c>
      <c r="Q160" s="79" t="s">
        <v>342</v>
      </c>
      <c r="R160" s="79"/>
      <c r="S160" s="79"/>
      <c r="T160" s="85" t="s">
        <v>461</v>
      </c>
      <c r="U160" s="83" t="str">
        <f>HYPERLINK("https://pbs.twimg.com/media/E7AvFTuWEAIxRbr.jpg")</f>
        <v>https://pbs.twimg.com/media/E7AvFTuWEAIxRbr.jpg</v>
      </c>
      <c r="V160" s="83" t="str">
        <f>HYPERLINK("https://pbs.twimg.com/media/E7AvFTuWEAIxRbr.jpg")</f>
        <v>https://pbs.twimg.com/media/E7AvFTuWEAIxRbr.jpg</v>
      </c>
      <c r="W160" s="81">
        <v>44400.89984953704</v>
      </c>
      <c r="X160" s="87">
        <v>44400</v>
      </c>
      <c r="Y160" s="85" t="s">
        <v>512</v>
      </c>
      <c r="Z160" s="83" t="str">
        <f>HYPERLINK("https://twitter.com/ceopmedia/status/1418686305224077315")</f>
        <v>https://twitter.com/ceopmedia/status/1418686305224077315</v>
      </c>
      <c r="AA160" s="79"/>
      <c r="AB160" s="79"/>
      <c r="AC160" s="85" t="s">
        <v>688</v>
      </c>
      <c r="AD160" s="79"/>
      <c r="AE160" s="79" t="b">
        <v>0</v>
      </c>
      <c r="AF160" s="79">
        <v>12</v>
      </c>
      <c r="AG160" s="85" t="s">
        <v>867</v>
      </c>
      <c r="AH160" s="79" t="b">
        <v>0</v>
      </c>
      <c r="AI160" s="79" t="s">
        <v>874</v>
      </c>
      <c r="AJ160" s="79"/>
      <c r="AK160" s="85" t="s">
        <v>867</v>
      </c>
      <c r="AL160" s="79" t="b">
        <v>0</v>
      </c>
      <c r="AM160" s="79">
        <v>1</v>
      </c>
      <c r="AN160" s="85" t="s">
        <v>867</v>
      </c>
      <c r="AO160" s="85" t="s">
        <v>882</v>
      </c>
      <c r="AP160" s="79" t="b">
        <v>0</v>
      </c>
      <c r="AQ160" s="85" t="s">
        <v>688</v>
      </c>
      <c r="AR160" s="79" t="s">
        <v>338</v>
      </c>
      <c r="AS160" s="79">
        <v>0</v>
      </c>
      <c r="AT160" s="79">
        <v>0</v>
      </c>
      <c r="AU160" s="79"/>
      <c r="AV160" s="79"/>
      <c r="AW160" s="79"/>
      <c r="AX160" s="79"/>
      <c r="AY160" s="79"/>
      <c r="AZ160" s="79"/>
      <c r="BA160" s="79"/>
      <c r="BB160" s="79"/>
      <c r="BC160">
        <v>1</v>
      </c>
      <c r="BD160" s="78" t="str">
        <f>REPLACE(INDEX(GroupVertices[Group], MATCH(Edges13[[#This Row],[Vertex 1]],GroupVertices[Vertex],0)),1,1,"")</f>
        <v>14</v>
      </c>
      <c r="BE160" s="78" t="str">
        <f>REPLACE(INDEX(GroupVertices[Group], MATCH(Edges13[[#This Row],[Vertex 2]],GroupVertices[Vertex],0)),1,1,"")</f>
        <v>14</v>
      </c>
    </row>
    <row r="161" spans="1:57" x14ac:dyDescent="0.25">
      <c r="A161" s="64" t="s">
        <v>216</v>
      </c>
      <c r="B161" s="64" t="s">
        <v>301</v>
      </c>
      <c r="C161" s="65"/>
      <c r="D161" s="66"/>
      <c r="E161" s="67"/>
      <c r="F161" s="68"/>
      <c r="G161" s="65"/>
      <c r="H161" s="69"/>
      <c r="I161" s="70"/>
      <c r="J161" s="70"/>
      <c r="K161" s="35" t="s">
        <v>65</v>
      </c>
      <c r="L161" s="77">
        <v>276</v>
      </c>
      <c r="M161" s="77"/>
      <c r="N161" s="72"/>
      <c r="O161" s="79" t="s">
        <v>339</v>
      </c>
      <c r="P161" s="81">
        <v>44400.711516203701</v>
      </c>
      <c r="Q161" s="79" t="s">
        <v>341</v>
      </c>
      <c r="R161" s="83" t="str">
        <f>HYPERLINK("https://doublepell.org/take-action/")</f>
        <v>https://doublepell.org/take-action/</v>
      </c>
      <c r="S161" s="79" t="s">
        <v>446</v>
      </c>
      <c r="T161" s="85" t="s">
        <v>460</v>
      </c>
      <c r="U161" s="83" t="str">
        <f t="shared" ref="U161:V163" si="6">HYPERLINK("https://pbs.twimg.com/media/E6_v8_lWUAoUB-Q.jpg")</f>
        <v>https://pbs.twimg.com/media/E6_v8_lWUAoUB-Q.jpg</v>
      </c>
      <c r="V161" s="83" t="str">
        <f t="shared" si="6"/>
        <v>https://pbs.twimg.com/media/E6_v8_lWUAoUB-Q.jpg</v>
      </c>
      <c r="W161" s="81">
        <v>44400.711516203701</v>
      </c>
      <c r="X161" s="87">
        <v>44400</v>
      </c>
      <c r="Y161" s="85" t="s">
        <v>510</v>
      </c>
      <c r="Z161" s="83" t="str">
        <f>HYPERLINK("https://twitter.com/ess_kstate/status/1418618052510470147")</f>
        <v>https://twitter.com/ess_kstate/status/1418618052510470147</v>
      </c>
      <c r="AA161" s="79"/>
      <c r="AB161" s="79"/>
      <c r="AC161" s="85" t="s">
        <v>686</v>
      </c>
      <c r="AD161" s="79"/>
      <c r="AE161" s="79" t="b">
        <v>0</v>
      </c>
      <c r="AF161" s="79">
        <v>2</v>
      </c>
      <c r="AG161" s="85" t="s">
        <v>867</v>
      </c>
      <c r="AH161" s="79" t="b">
        <v>0</v>
      </c>
      <c r="AI161" s="79" t="s">
        <v>874</v>
      </c>
      <c r="AJ161" s="79"/>
      <c r="AK161" s="85" t="s">
        <v>867</v>
      </c>
      <c r="AL161" s="79" t="b">
        <v>0</v>
      </c>
      <c r="AM161" s="79">
        <v>2</v>
      </c>
      <c r="AN161" s="85" t="s">
        <v>867</v>
      </c>
      <c r="AO161" s="85" t="s">
        <v>882</v>
      </c>
      <c r="AP161" s="79" t="b">
        <v>0</v>
      </c>
      <c r="AQ161" s="85" t="s">
        <v>686</v>
      </c>
      <c r="AR161" s="79" t="s">
        <v>338</v>
      </c>
      <c r="AS161" s="79">
        <v>0</v>
      </c>
      <c r="AT161" s="79">
        <v>0</v>
      </c>
      <c r="AU161" s="79"/>
      <c r="AV161" s="79"/>
      <c r="AW161" s="79"/>
      <c r="AX161" s="79"/>
      <c r="AY161" s="79"/>
      <c r="AZ161" s="79"/>
      <c r="BA161" s="79"/>
      <c r="BB161" s="79"/>
      <c r="BC161">
        <v>1</v>
      </c>
      <c r="BD161" s="78" t="str">
        <f>REPLACE(INDEX(GroupVertices[Group], MATCH(Edges13[[#This Row],[Vertex 1]],GroupVertices[Vertex],0)),1,1,"")</f>
        <v>7</v>
      </c>
      <c r="BE161" s="78" t="str">
        <f>REPLACE(INDEX(GroupVertices[Group], MATCH(Edges13[[#This Row],[Vertex 2]],GroupVertices[Vertex],0)),1,1,"")</f>
        <v>7</v>
      </c>
    </row>
    <row r="162" spans="1:57" x14ac:dyDescent="0.25">
      <c r="A162" s="64" t="s">
        <v>215</v>
      </c>
      <c r="B162" s="64" t="s">
        <v>301</v>
      </c>
      <c r="C162" s="65"/>
      <c r="D162" s="66"/>
      <c r="E162" s="67"/>
      <c r="F162" s="68"/>
      <c r="G162" s="65"/>
      <c r="H162" s="69"/>
      <c r="I162" s="70"/>
      <c r="J162" s="70"/>
      <c r="K162" s="35" t="s">
        <v>65</v>
      </c>
      <c r="L162" s="71">
        <v>277</v>
      </c>
      <c r="M162" s="71"/>
      <c r="N162" s="72"/>
      <c r="O162" s="78" t="s">
        <v>337</v>
      </c>
      <c r="P162" s="80">
        <v>44401.744930555556</v>
      </c>
      <c r="Q162" s="78" t="s">
        <v>341</v>
      </c>
      <c r="R162" s="82" t="str">
        <f>HYPERLINK("https://doublepell.org/take-action/")</f>
        <v>https://doublepell.org/take-action/</v>
      </c>
      <c r="S162" s="78" t="s">
        <v>446</v>
      </c>
      <c r="T162" s="84" t="s">
        <v>460</v>
      </c>
      <c r="U162" s="82" t="str">
        <f t="shared" si="6"/>
        <v>https://pbs.twimg.com/media/E6_v8_lWUAoUB-Q.jpg</v>
      </c>
      <c r="V162" s="82" t="str">
        <f t="shared" si="6"/>
        <v>https://pbs.twimg.com/media/E6_v8_lWUAoUB-Q.jpg</v>
      </c>
      <c r="W162" s="80">
        <v>44401.744930555556</v>
      </c>
      <c r="X162" s="86">
        <v>44401</v>
      </c>
      <c r="Y162" s="84" t="s">
        <v>509</v>
      </c>
      <c r="Z162" s="82" t="str">
        <f>HYPERLINK("https://twitter.com/aceducation/status/1418992550153687043")</f>
        <v>https://twitter.com/aceducation/status/1418992550153687043</v>
      </c>
      <c r="AA162" s="78"/>
      <c r="AB162" s="78"/>
      <c r="AC162" s="84" t="s">
        <v>685</v>
      </c>
      <c r="AD162" s="78"/>
      <c r="AE162" s="78" t="b">
        <v>0</v>
      </c>
      <c r="AF162" s="78">
        <v>0</v>
      </c>
      <c r="AG162" s="84" t="s">
        <v>867</v>
      </c>
      <c r="AH162" s="78" t="b">
        <v>0</v>
      </c>
      <c r="AI162" s="78" t="s">
        <v>874</v>
      </c>
      <c r="AJ162" s="78"/>
      <c r="AK162" s="84" t="s">
        <v>867</v>
      </c>
      <c r="AL162" s="78" t="b">
        <v>0</v>
      </c>
      <c r="AM162" s="78">
        <v>2</v>
      </c>
      <c r="AN162" s="84" t="s">
        <v>686</v>
      </c>
      <c r="AO162" s="84" t="s">
        <v>882</v>
      </c>
      <c r="AP162" s="78" t="b">
        <v>0</v>
      </c>
      <c r="AQ162" s="84" t="s">
        <v>686</v>
      </c>
      <c r="AR162" s="78" t="s">
        <v>177</v>
      </c>
      <c r="AS162" s="78">
        <v>0</v>
      </c>
      <c r="AT162" s="78">
        <v>0</v>
      </c>
      <c r="AU162" s="78"/>
      <c r="AV162" s="78"/>
      <c r="AW162" s="78"/>
      <c r="AX162" s="78"/>
      <c r="AY162" s="78"/>
      <c r="AZ162" s="78"/>
      <c r="BA162" s="78"/>
      <c r="BB162" s="78"/>
      <c r="BC162">
        <v>1</v>
      </c>
      <c r="BD162" s="78" t="str">
        <f>REPLACE(INDEX(GroupVertices[Group], MATCH(Edges13[[#This Row],[Vertex 1]],GroupVertices[Vertex],0)),1,1,"")</f>
        <v>7</v>
      </c>
      <c r="BE162" s="78" t="str">
        <f>REPLACE(INDEX(GroupVertices[Group], MATCH(Edges13[[#This Row],[Vertex 2]],GroupVertices[Vertex],0)),1,1,"")</f>
        <v>7</v>
      </c>
    </row>
    <row r="163" spans="1:57" x14ac:dyDescent="0.25">
      <c r="A163" s="64" t="s">
        <v>217</v>
      </c>
      <c r="B163" s="64" t="s">
        <v>301</v>
      </c>
      <c r="C163" s="65"/>
      <c r="D163" s="66"/>
      <c r="E163" s="67"/>
      <c r="F163" s="68"/>
      <c r="G163" s="65"/>
      <c r="H163" s="69"/>
      <c r="I163" s="70"/>
      <c r="J163" s="70"/>
      <c r="K163" s="35" t="s">
        <v>65</v>
      </c>
      <c r="L163" s="77">
        <v>278</v>
      </c>
      <c r="M163" s="77"/>
      <c r="N163" s="72"/>
      <c r="O163" s="79" t="s">
        <v>337</v>
      </c>
      <c r="P163" s="81">
        <v>44401.748680555553</v>
      </c>
      <c r="Q163" s="79" t="s">
        <v>341</v>
      </c>
      <c r="R163" s="83" t="str">
        <f>HYPERLINK("https://doublepell.org/take-action/")</f>
        <v>https://doublepell.org/take-action/</v>
      </c>
      <c r="S163" s="79" t="s">
        <v>446</v>
      </c>
      <c r="T163" s="85" t="s">
        <v>460</v>
      </c>
      <c r="U163" s="83" t="str">
        <f t="shared" si="6"/>
        <v>https://pbs.twimg.com/media/E6_v8_lWUAoUB-Q.jpg</v>
      </c>
      <c r="V163" s="83" t="str">
        <f t="shared" si="6"/>
        <v>https://pbs.twimg.com/media/E6_v8_lWUAoUB-Q.jpg</v>
      </c>
      <c r="W163" s="81">
        <v>44401.748680555553</v>
      </c>
      <c r="X163" s="87">
        <v>44401</v>
      </c>
      <c r="Y163" s="85" t="s">
        <v>511</v>
      </c>
      <c r="Z163" s="83" t="str">
        <f>HYPERLINK("https://twitter.com/jonriskindatace/status/1418993911645843456")</f>
        <v>https://twitter.com/jonriskindatace/status/1418993911645843456</v>
      </c>
      <c r="AA163" s="79"/>
      <c r="AB163" s="79"/>
      <c r="AC163" s="85" t="s">
        <v>687</v>
      </c>
      <c r="AD163" s="79"/>
      <c r="AE163" s="79" t="b">
        <v>0</v>
      </c>
      <c r="AF163" s="79">
        <v>0</v>
      </c>
      <c r="AG163" s="85" t="s">
        <v>867</v>
      </c>
      <c r="AH163" s="79" t="b">
        <v>0</v>
      </c>
      <c r="AI163" s="79" t="s">
        <v>874</v>
      </c>
      <c r="AJ163" s="79"/>
      <c r="AK163" s="85" t="s">
        <v>867</v>
      </c>
      <c r="AL163" s="79" t="b">
        <v>0</v>
      </c>
      <c r="AM163" s="79">
        <v>2</v>
      </c>
      <c r="AN163" s="85" t="s">
        <v>686</v>
      </c>
      <c r="AO163" s="85" t="s">
        <v>883</v>
      </c>
      <c r="AP163" s="79" t="b">
        <v>0</v>
      </c>
      <c r="AQ163" s="85" t="s">
        <v>686</v>
      </c>
      <c r="AR163" s="79" t="s">
        <v>177</v>
      </c>
      <c r="AS163" s="79">
        <v>0</v>
      </c>
      <c r="AT163" s="79">
        <v>0</v>
      </c>
      <c r="AU163" s="79"/>
      <c r="AV163" s="79"/>
      <c r="AW163" s="79"/>
      <c r="AX163" s="79"/>
      <c r="AY163" s="79"/>
      <c r="AZ163" s="79"/>
      <c r="BA163" s="79"/>
      <c r="BB163" s="79"/>
      <c r="BC163">
        <v>1</v>
      </c>
      <c r="BD163" s="78" t="str">
        <f>REPLACE(INDEX(GroupVertices[Group], MATCH(Edges13[[#This Row],[Vertex 1]],GroupVertices[Vertex],0)),1,1,"")</f>
        <v>7</v>
      </c>
      <c r="BE163" s="78" t="str">
        <f>REPLACE(INDEX(GroupVertices[Group], MATCH(Edges13[[#This Row],[Vertex 2]],GroupVertices[Vertex],0)),1,1,"")</f>
        <v>7</v>
      </c>
    </row>
    <row r="164" spans="1:57" x14ac:dyDescent="0.25">
      <c r="A164" s="64" t="s">
        <v>233</v>
      </c>
      <c r="B164" s="64" t="s">
        <v>274</v>
      </c>
      <c r="C164" s="65"/>
      <c r="D164" s="66"/>
      <c r="E164" s="67"/>
      <c r="F164" s="68"/>
      <c r="G164" s="65"/>
      <c r="H164" s="69"/>
      <c r="I164" s="70"/>
      <c r="J164" s="70"/>
      <c r="K164" s="35" t="s">
        <v>65</v>
      </c>
      <c r="L164" s="77">
        <v>282</v>
      </c>
      <c r="M164" s="77"/>
      <c r="N164" s="72"/>
      <c r="O164" s="79" t="s">
        <v>338</v>
      </c>
      <c r="P164" s="81">
        <v>44404.653032407405</v>
      </c>
      <c r="Q164" s="79" t="s">
        <v>353</v>
      </c>
      <c r="R164" s="79"/>
      <c r="S164" s="79"/>
      <c r="T164" s="85" t="s">
        <v>470</v>
      </c>
      <c r="U164" s="83" t="str">
        <f>HYPERLINK("https://pbs.twimg.com/media/E4GT9sbXwAckPlC.jpg")</f>
        <v>https://pbs.twimg.com/media/E4GT9sbXwAckPlC.jpg</v>
      </c>
      <c r="V164" s="83" t="str">
        <f>HYPERLINK("https://pbs.twimg.com/media/E4GT9sbXwAckPlC.jpg")</f>
        <v>https://pbs.twimg.com/media/E4GT9sbXwAckPlC.jpg</v>
      </c>
      <c r="W164" s="81">
        <v>44404.653032407405</v>
      </c>
      <c r="X164" s="87">
        <v>44404</v>
      </c>
      <c r="Y164" s="85" t="s">
        <v>527</v>
      </c>
      <c r="Z164" s="83" t="str">
        <f>HYPERLINK("https://twitter.com/swasaptrio/status/1420046410918027264")</f>
        <v>https://twitter.com/swasaptrio/status/1420046410918027264</v>
      </c>
      <c r="AA164" s="79"/>
      <c r="AB164" s="79"/>
      <c r="AC164" s="85" t="s">
        <v>704</v>
      </c>
      <c r="AD164" s="79"/>
      <c r="AE164" s="79" t="b">
        <v>0</v>
      </c>
      <c r="AF164" s="79">
        <v>0</v>
      </c>
      <c r="AG164" s="85" t="s">
        <v>867</v>
      </c>
      <c r="AH164" s="79" t="b">
        <v>0</v>
      </c>
      <c r="AI164" s="79" t="s">
        <v>874</v>
      </c>
      <c r="AJ164" s="79"/>
      <c r="AK164" s="85" t="s">
        <v>867</v>
      </c>
      <c r="AL164" s="79" t="b">
        <v>0</v>
      </c>
      <c r="AM164" s="79">
        <v>3</v>
      </c>
      <c r="AN164" s="85" t="s">
        <v>764</v>
      </c>
      <c r="AO164" s="85" t="s">
        <v>882</v>
      </c>
      <c r="AP164" s="79" t="b">
        <v>0</v>
      </c>
      <c r="AQ164" s="85" t="s">
        <v>764</v>
      </c>
      <c r="AR164" s="79" t="s">
        <v>177</v>
      </c>
      <c r="AS164" s="79">
        <v>0</v>
      </c>
      <c r="AT164" s="79">
        <v>0</v>
      </c>
      <c r="AU164" s="79"/>
      <c r="AV164" s="79"/>
      <c r="AW164" s="79"/>
      <c r="AX164" s="79"/>
      <c r="AY164" s="79"/>
      <c r="AZ164" s="79"/>
      <c r="BA164" s="79"/>
      <c r="BB164" s="79"/>
      <c r="BC164">
        <v>1</v>
      </c>
      <c r="BD164" s="78" t="str">
        <f>REPLACE(INDEX(GroupVertices[Group], MATCH(Edges13[[#This Row],[Vertex 1]],GroupVertices[Vertex],0)),1,1,"")</f>
        <v>6</v>
      </c>
      <c r="BE164" s="78" t="str">
        <f>REPLACE(INDEX(GroupVertices[Group], MATCH(Edges13[[#This Row],[Vertex 2]],GroupVertices[Vertex],0)),1,1,"")</f>
        <v>6</v>
      </c>
    </row>
    <row r="165" spans="1:57" x14ac:dyDescent="0.25">
      <c r="A165" s="64" t="s">
        <v>220</v>
      </c>
      <c r="B165" s="64" t="s">
        <v>220</v>
      </c>
      <c r="C165" s="65"/>
      <c r="D165" s="66"/>
      <c r="E165" s="67"/>
      <c r="F165" s="68"/>
      <c r="G165" s="65"/>
      <c r="H165" s="69"/>
      <c r="I165" s="70"/>
      <c r="J165" s="70"/>
      <c r="K165" s="35" t="s">
        <v>65</v>
      </c>
      <c r="L165" s="77">
        <v>283</v>
      </c>
      <c r="M165" s="77"/>
      <c r="N165" s="72"/>
      <c r="O165" s="79" t="s">
        <v>177</v>
      </c>
      <c r="P165" s="81">
        <v>44403.55672453704</v>
      </c>
      <c r="Q165" s="79" t="s">
        <v>343</v>
      </c>
      <c r="R165" s="79"/>
      <c r="S165" s="79"/>
      <c r="T165" s="85" t="s">
        <v>461</v>
      </c>
      <c r="U165" s="79"/>
      <c r="V165" s="83" t="str">
        <f>HYPERLINK("https://pbs.twimg.com/profile_images/1410294139736952839/I-Umq40g_normal.jpg")</f>
        <v>https://pbs.twimg.com/profile_images/1410294139736952839/I-Umq40g_normal.jpg</v>
      </c>
      <c r="W165" s="81">
        <v>44403.55672453704</v>
      </c>
      <c r="X165" s="87">
        <v>44403</v>
      </c>
      <c r="Y165" s="85" t="s">
        <v>514</v>
      </c>
      <c r="Z165" s="83" t="str">
        <f>HYPERLINK("https://twitter.com/keyofe_pro/status/1419649123582631950")</f>
        <v>https://twitter.com/keyofe_pro/status/1419649123582631950</v>
      </c>
      <c r="AA165" s="79"/>
      <c r="AB165" s="79"/>
      <c r="AC165" s="85" t="s">
        <v>690</v>
      </c>
      <c r="AD165" s="79"/>
      <c r="AE165" s="79" t="b">
        <v>0</v>
      </c>
      <c r="AF165" s="79">
        <v>1</v>
      </c>
      <c r="AG165" s="85" t="s">
        <v>867</v>
      </c>
      <c r="AH165" s="79" t="b">
        <v>0</v>
      </c>
      <c r="AI165" s="79" t="s">
        <v>874</v>
      </c>
      <c r="AJ165" s="79"/>
      <c r="AK165" s="85" t="s">
        <v>867</v>
      </c>
      <c r="AL165" s="79" t="b">
        <v>0</v>
      </c>
      <c r="AM165" s="79">
        <v>0</v>
      </c>
      <c r="AN165" s="85" t="s">
        <v>867</v>
      </c>
      <c r="AO165" s="85" t="s">
        <v>883</v>
      </c>
      <c r="AP165" s="79" t="b">
        <v>0</v>
      </c>
      <c r="AQ165" s="85" t="s">
        <v>690</v>
      </c>
      <c r="AR165" s="79" t="s">
        <v>177</v>
      </c>
      <c r="AS165" s="79">
        <v>0</v>
      </c>
      <c r="AT165" s="79">
        <v>0</v>
      </c>
      <c r="AU165" s="79"/>
      <c r="AV165" s="79"/>
      <c r="AW165" s="79"/>
      <c r="AX165" s="79"/>
      <c r="AY165" s="79"/>
      <c r="AZ165" s="79"/>
      <c r="BA165" s="79"/>
      <c r="BB165" s="79"/>
      <c r="BC165">
        <v>1</v>
      </c>
      <c r="BD165" s="78" t="str">
        <f>REPLACE(INDEX(GroupVertices[Group], MATCH(Edges13[[#This Row],[Vertex 1]],GroupVertices[Vertex],0)),1,1,"")</f>
        <v>5</v>
      </c>
      <c r="BE165" s="78" t="str">
        <f>REPLACE(INDEX(GroupVertices[Group], MATCH(Edges13[[#This Row],[Vertex 2]],GroupVertices[Vertex],0)),1,1,"")</f>
        <v>5</v>
      </c>
    </row>
    <row r="166" spans="1:57" x14ac:dyDescent="0.25">
      <c r="A166" s="64" t="s">
        <v>221</v>
      </c>
      <c r="B166" s="64" t="s">
        <v>221</v>
      </c>
      <c r="C166" s="65"/>
      <c r="D166" s="66"/>
      <c r="E166" s="67"/>
      <c r="F166" s="68"/>
      <c r="G166" s="65"/>
      <c r="H166" s="69"/>
      <c r="I166" s="70"/>
      <c r="J166" s="70"/>
      <c r="K166" s="35" t="s">
        <v>65</v>
      </c>
      <c r="L166" s="77">
        <v>285</v>
      </c>
      <c r="M166" s="77"/>
      <c r="N166" s="72"/>
      <c r="O166" s="79" t="s">
        <v>177</v>
      </c>
      <c r="P166" s="81">
        <v>44403.597974537035</v>
      </c>
      <c r="Q166" s="79" t="s">
        <v>344</v>
      </c>
      <c r="R166" s="79"/>
      <c r="S166" s="79"/>
      <c r="T166" s="85" t="s">
        <v>462</v>
      </c>
      <c r="U166" s="83" t="str">
        <f>HYPERLINK("https://pbs.twimg.com/media/E7Oo8tBWYAQa1p-.jpg")</f>
        <v>https://pbs.twimg.com/media/E7Oo8tBWYAQa1p-.jpg</v>
      </c>
      <c r="V166" s="83" t="str">
        <f>HYPERLINK("https://pbs.twimg.com/media/E7Oo8tBWYAQa1p-.jpg")</f>
        <v>https://pbs.twimg.com/media/E7Oo8tBWYAQa1p-.jpg</v>
      </c>
      <c r="W166" s="81">
        <v>44403.597974537035</v>
      </c>
      <c r="X166" s="87">
        <v>44403</v>
      </c>
      <c r="Y166" s="85" t="s">
        <v>515</v>
      </c>
      <c r="Z166" s="83" t="str">
        <f>HYPERLINK("https://twitter.com/janetadamsspeak/status/1419664072442884105")</f>
        <v>https://twitter.com/janetadamsspeak/status/1419664072442884105</v>
      </c>
      <c r="AA166" s="79"/>
      <c r="AB166" s="79"/>
      <c r="AC166" s="85" t="s">
        <v>691</v>
      </c>
      <c r="AD166" s="79"/>
      <c r="AE166" s="79" t="b">
        <v>0</v>
      </c>
      <c r="AF166" s="79">
        <v>0</v>
      </c>
      <c r="AG166" s="85" t="s">
        <v>867</v>
      </c>
      <c r="AH166" s="79" t="b">
        <v>0</v>
      </c>
      <c r="AI166" s="79" t="s">
        <v>874</v>
      </c>
      <c r="AJ166" s="79"/>
      <c r="AK166" s="85" t="s">
        <v>867</v>
      </c>
      <c r="AL166" s="79" t="b">
        <v>0</v>
      </c>
      <c r="AM166" s="79">
        <v>0</v>
      </c>
      <c r="AN166" s="85" t="s">
        <v>867</v>
      </c>
      <c r="AO166" s="85" t="s">
        <v>884</v>
      </c>
      <c r="AP166" s="79" t="b">
        <v>0</v>
      </c>
      <c r="AQ166" s="85" t="s">
        <v>691</v>
      </c>
      <c r="AR166" s="79" t="s">
        <v>177</v>
      </c>
      <c r="AS166" s="79">
        <v>0</v>
      </c>
      <c r="AT166" s="79">
        <v>0</v>
      </c>
      <c r="AU166" s="79"/>
      <c r="AV166" s="79"/>
      <c r="AW166" s="79"/>
      <c r="AX166" s="79"/>
      <c r="AY166" s="79"/>
      <c r="AZ166" s="79"/>
      <c r="BA166" s="79"/>
      <c r="BB166" s="79"/>
      <c r="BC166">
        <v>1</v>
      </c>
      <c r="BD166" s="78" t="str">
        <f>REPLACE(INDEX(GroupVertices[Group], MATCH(Edges13[[#This Row],[Vertex 1]],GroupVertices[Vertex],0)),1,1,"")</f>
        <v>5</v>
      </c>
      <c r="BE166" s="78" t="str">
        <f>REPLACE(INDEX(GroupVertices[Group], MATCH(Edges13[[#This Row],[Vertex 2]],GroupVertices[Vertex],0)),1,1,"")</f>
        <v>5</v>
      </c>
    </row>
    <row r="167" spans="1:57" x14ac:dyDescent="0.25">
      <c r="A167" s="64" t="s">
        <v>288</v>
      </c>
      <c r="B167" s="64" t="s">
        <v>288</v>
      </c>
      <c r="C167" s="65"/>
      <c r="D167" s="66"/>
      <c r="E167" s="67"/>
      <c r="F167" s="68"/>
      <c r="G167" s="65"/>
      <c r="H167" s="69"/>
      <c r="I167" s="70"/>
      <c r="J167" s="70"/>
      <c r="K167" s="35" t="s">
        <v>65</v>
      </c>
      <c r="L167" s="77">
        <v>289</v>
      </c>
      <c r="M167" s="77"/>
      <c r="N167" s="72"/>
      <c r="O167" s="79" t="s">
        <v>177</v>
      </c>
      <c r="P167" s="81">
        <v>44406.657384259262</v>
      </c>
      <c r="Q167" s="79" t="s">
        <v>383</v>
      </c>
      <c r="R167" s="83" t="str">
        <f>HYPERLINK("https://besteducationpractices.squarespace.com/")</f>
        <v>https://besteducationpractices.squarespace.com/</v>
      </c>
      <c r="S167" s="79" t="s">
        <v>453</v>
      </c>
      <c r="T167" s="85" t="s">
        <v>485</v>
      </c>
      <c r="U167" s="83" t="str">
        <f>HYPERLINK("https://pbs.twimg.com/media/E7eZM2FWEAAk4p5.jpg")</f>
        <v>https://pbs.twimg.com/media/E7eZM2FWEAAk4p5.jpg</v>
      </c>
      <c r="V167" s="83" t="str">
        <f>HYPERLINK("https://pbs.twimg.com/media/E7eZM2FWEAAk4p5.jpg")</f>
        <v>https://pbs.twimg.com/media/E7eZM2FWEAAk4p5.jpg</v>
      </c>
      <c r="W167" s="81">
        <v>44406.657384259262</v>
      </c>
      <c r="X167" s="87">
        <v>44406</v>
      </c>
      <c r="Y167" s="85" t="s">
        <v>606</v>
      </c>
      <c r="Z167" s="83" t="str">
        <f>HYPERLINK("https://twitter.com/indianatrio/status/1420772765863485440")</f>
        <v>https://twitter.com/indianatrio/status/1420772765863485440</v>
      </c>
      <c r="AA167" s="79"/>
      <c r="AB167" s="79"/>
      <c r="AC167" s="85" t="s">
        <v>786</v>
      </c>
      <c r="AD167" s="79"/>
      <c r="AE167" s="79" t="b">
        <v>0</v>
      </c>
      <c r="AF167" s="79">
        <v>0</v>
      </c>
      <c r="AG167" s="85" t="s">
        <v>867</v>
      </c>
      <c r="AH167" s="79" t="b">
        <v>0</v>
      </c>
      <c r="AI167" s="79" t="s">
        <v>874</v>
      </c>
      <c r="AJ167" s="79"/>
      <c r="AK167" s="85" t="s">
        <v>867</v>
      </c>
      <c r="AL167" s="79" t="b">
        <v>0</v>
      </c>
      <c r="AM167" s="79">
        <v>0</v>
      </c>
      <c r="AN167" s="85" t="s">
        <v>867</v>
      </c>
      <c r="AO167" s="85" t="s">
        <v>882</v>
      </c>
      <c r="AP167" s="79" t="b">
        <v>0</v>
      </c>
      <c r="AQ167" s="85" t="s">
        <v>786</v>
      </c>
      <c r="AR167" s="79" t="s">
        <v>177</v>
      </c>
      <c r="AS167" s="79">
        <v>0</v>
      </c>
      <c r="AT167" s="79">
        <v>0</v>
      </c>
      <c r="AU167" s="79"/>
      <c r="AV167" s="79"/>
      <c r="AW167" s="79"/>
      <c r="AX167" s="79"/>
      <c r="AY167" s="79"/>
      <c r="AZ167" s="79"/>
      <c r="BA167" s="79"/>
      <c r="BB167" s="79"/>
      <c r="BC167">
        <v>1</v>
      </c>
      <c r="BD167" s="78" t="str">
        <f>REPLACE(INDEX(GroupVertices[Group], MATCH(Edges13[[#This Row],[Vertex 1]],GroupVertices[Vertex],0)),1,1,"")</f>
        <v>1</v>
      </c>
      <c r="BE167" s="78" t="str">
        <f>REPLACE(INDEX(GroupVertices[Group], MATCH(Edges13[[#This Row],[Vertex 2]],GroupVertices[Vertex],0)),1,1,"")</f>
        <v>1</v>
      </c>
    </row>
    <row r="168" spans="1:57" x14ac:dyDescent="0.25">
      <c r="A168" s="64" t="s">
        <v>259</v>
      </c>
      <c r="B168" s="64" t="s">
        <v>317</v>
      </c>
      <c r="C168" s="65"/>
      <c r="D168" s="66"/>
      <c r="E168" s="67"/>
      <c r="F168" s="68"/>
      <c r="G168" s="65"/>
      <c r="H168" s="69"/>
      <c r="I168" s="70"/>
      <c r="J168" s="70"/>
      <c r="K168" s="35" t="s">
        <v>65</v>
      </c>
      <c r="L168" s="77">
        <v>291</v>
      </c>
      <c r="M168" s="77"/>
      <c r="N168" s="72"/>
      <c r="O168" s="79" t="s">
        <v>339</v>
      </c>
      <c r="P168" s="81">
        <v>44403.688333333332</v>
      </c>
      <c r="Q168" s="79" t="s">
        <v>361</v>
      </c>
      <c r="R168" s="79"/>
      <c r="S168" s="79"/>
      <c r="T168" s="85" t="s">
        <v>475</v>
      </c>
      <c r="U168" s="83" t="str">
        <f>HYPERLINK("https://pbs.twimg.com/media/E7PGuLqXEAAocXy.jpg")</f>
        <v>https://pbs.twimg.com/media/E7PGuLqXEAAocXy.jpg</v>
      </c>
      <c r="V168" s="83" t="str">
        <f>HYPERLINK("https://pbs.twimg.com/media/E7PGuLqXEAAocXy.jpg")</f>
        <v>https://pbs.twimg.com/media/E7PGuLqXEAAocXy.jpg</v>
      </c>
      <c r="W168" s="81">
        <v>44403.688333333332</v>
      </c>
      <c r="X168" s="87">
        <v>44403</v>
      </c>
      <c r="Y168" s="85" t="s">
        <v>555</v>
      </c>
      <c r="Z168" s="83" t="str">
        <f>HYPERLINK("https://twitter.com/ub_trio_sjc/status/1419696816849838083")</f>
        <v>https://twitter.com/ub_trio_sjc/status/1419696816849838083</v>
      </c>
      <c r="AA168" s="79"/>
      <c r="AB168" s="79"/>
      <c r="AC168" s="85" t="s">
        <v>734</v>
      </c>
      <c r="AD168" s="79"/>
      <c r="AE168" s="79" t="b">
        <v>0</v>
      </c>
      <c r="AF168" s="79">
        <v>0</v>
      </c>
      <c r="AG168" s="85" t="s">
        <v>867</v>
      </c>
      <c r="AH168" s="79" t="b">
        <v>0</v>
      </c>
      <c r="AI168" s="79" t="s">
        <v>874</v>
      </c>
      <c r="AJ168" s="79"/>
      <c r="AK168" s="85" t="s">
        <v>867</v>
      </c>
      <c r="AL168" s="79" t="b">
        <v>0</v>
      </c>
      <c r="AM168" s="79">
        <v>0</v>
      </c>
      <c r="AN168" s="85" t="s">
        <v>867</v>
      </c>
      <c r="AO168" s="85" t="s">
        <v>887</v>
      </c>
      <c r="AP168" s="79" t="b">
        <v>0</v>
      </c>
      <c r="AQ168" s="85" t="s">
        <v>734</v>
      </c>
      <c r="AR168" s="79" t="s">
        <v>177</v>
      </c>
      <c r="AS168" s="79">
        <v>0</v>
      </c>
      <c r="AT168" s="79">
        <v>0</v>
      </c>
      <c r="AU168" s="79"/>
      <c r="AV168" s="79"/>
      <c r="AW168" s="79"/>
      <c r="AX168" s="79"/>
      <c r="AY168" s="79"/>
      <c r="AZ168" s="79"/>
      <c r="BA168" s="79"/>
      <c r="BB168" s="79"/>
      <c r="BC168">
        <v>1</v>
      </c>
      <c r="BD168" s="78" t="str">
        <f>REPLACE(INDEX(GroupVertices[Group], MATCH(Edges13[[#This Row],[Vertex 1]],GroupVertices[Vertex],0)),1,1,"")</f>
        <v>10</v>
      </c>
      <c r="BE168" s="78" t="str">
        <f>REPLACE(INDEX(GroupVertices[Group], MATCH(Edges13[[#This Row],[Vertex 2]],GroupVertices[Vertex],0)),1,1,"")</f>
        <v>10</v>
      </c>
    </row>
    <row r="169" spans="1:57" x14ac:dyDescent="0.25">
      <c r="A169" s="64" t="s">
        <v>268</v>
      </c>
      <c r="B169" s="64" t="s">
        <v>325</v>
      </c>
      <c r="C169" s="65"/>
      <c r="D169" s="66"/>
      <c r="E169" s="67"/>
      <c r="F169" s="68"/>
      <c r="G169" s="65"/>
      <c r="H169" s="69"/>
      <c r="I169" s="70"/>
      <c r="J169" s="70"/>
      <c r="K169" s="35" t="s">
        <v>65</v>
      </c>
      <c r="L169" s="77">
        <v>292</v>
      </c>
      <c r="M169" s="77"/>
      <c r="N169" s="72"/>
      <c r="O169" s="79" t="s">
        <v>339</v>
      </c>
      <c r="P169" s="81">
        <v>44406.888229166667</v>
      </c>
      <c r="Q169" s="79" t="s">
        <v>372</v>
      </c>
      <c r="R169" s="79"/>
      <c r="S169" s="79"/>
      <c r="T169" s="85" t="s">
        <v>479</v>
      </c>
      <c r="U169" s="83" t="str">
        <f>HYPERLINK("https://pbs.twimg.com/media/E7flQVGUUAETJfT.jpg")</f>
        <v>https://pbs.twimg.com/media/E7flQVGUUAETJfT.jpg</v>
      </c>
      <c r="V169" s="83" t="str">
        <f>HYPERLINK("https://pbs.twimg.com/media/E7flQVGUUAETJfT.jpg")</f>
        <v>https://pbs.twimg.com/media/E7flQVGUUAETJfT.jpg</v>
      </c>
      <c r="W169" s="81">
        <v>44406.888229166667</v>
      </c>
      <c r="X169" s="87">
        <v>44406</v>
      </c>
      <c r="Y169" s="85" t="s">
        <v>579</v>
      </c>
      <c r="Z169" s="83" t="str">
        <f>HYPERLINK("https://twitter.com/trio_sss_mc/status/1420856420522594304")</f>
        <v>https://twitter.com/trio_sss_mc/status/1420856420522594304</v>
      </c>
      <c r="AA169" s="79"/>
      <c r="AB169" s="79"/>
      <c r="AC169" s="85" t="s">
        <v>758</v>
      </c>
      <c r="AD169" s="79"/>
      <c r="AE169" s="79" t="b">
        <v>0</v>
      </c>
      <c r="AF169" s="79">
        <v>0</v>
      </c>
      <c r="AG169" s="85" t="s">
        <v>867</v>
      </c>
      <c r="AH169" s="79" t="b">
        <v>0</v>
      </c>
      <c r="AI169" s="79" t="s">
        <v>874</v>
      </c>
      <c r="AJ169" s="79"/>
      <c r="AK169" s="85" t="s">
        <v>867</v>
      </c>
      <c r="AL169" s="79" t="b">
        <v>0</v>
      </c>
      <c r="AM169" s="79">
        <v>0</v>
      </c>
      <c r="AN169" s="85" t="s">
        <v>867</v>
      </c>
      <c r="AO169" s="85" t="s">
        <v>882</v>
      </c>
      <c r="AP169" s="79" t="b">
        <v>0</v>
      </c>
      <c r="AQ169" s="85" t="s">
        <v>758</v>
      </c>
      <c r="AR169" s="79" t="s">
        <v>177</v>
      </c>
      <c r="AS169" s="79">
        <v>0</v>
      </c>
      <c r="AT169" s="79">
        <v>0</v>
      </c>
      <c r="AU169" s="79"/>
      <c r="AV169" s="79"/>
      <c r="AW169" s="79"/>
      <c r="AX169" s="79"/>
      <c r="AY169" s="79"/>
      <c r="AZ169" s="79"/>
      <c r="BA169" s="79"/>
      <c r="BB169" s="79"/>
      <c r="BC169">
        <v>1</v>
      </c>
      <c r="BD169" s="78" t="str">
        <f>REPLACE(INDEX(GroupVertices[Group], MATCH(Edges13[[#This Row],[Vertex 1]],GroupVertices[Vertex],0)),1,1,"")</f>
        <v>13</v>
      </c>
      <c r="BE169" s="78" t="str">
        <f>REPLACE(INDEX(GroupVertices[Group], MATCH(Edges13[[#This Row],[Vertex 2]],GroupVertices[Vertex],0)),1,1,"")</f>
        <v>13</v>
      </c>
    </row>
    <row r="170" spans="1:57" x14ac:dyDescent="0.25">
      <c r="A170" s="64" t="s">
        <v>222</v>
      </c>
      <c r="B170" s="64" t="s">
        <v>302</v>
      </c>
      <c r="C170" s="65"/>
      <c r="D170" s="66"/>
      <c r="E170" s="67"/>
      <c r="F170" s="68"/>
      <c r="G170" s="65"/>
      <c r="H170" s="69"/>
      <c r="I170" s="70"/>
      <c r="J170" s="70"/>
      <c r="K170" s="35" t="s">
        <v>65</v>
      </c>
      <c r="L170" s="77">
        <v>293</v>
      </c>
      <c r="M170" s="77"/>
      <c r="N170" s="72"/>
      <c r="O170" s="79" t="s">
        <v>340</v>
      </c>
      <c r="P170" s="81">
        <v>44403.614363425928</v>
      </c>
      <c r="Q170" s="79" t="s">
        <v>345</v>
      </c>
      <c r="R170" s="83" t="str">
        <f>HYPERLINK("https://go.fiu.edu/sssgoodtrouble")</f>
        <v>https://go.fiu.edu/sssgoodtrouble</v>
      </c>
      <c r="S170" s="79" t="s">
        <v>447</v>
      </c>
      <c r="T170" s="85" t="s">
        <v>463</v>
      </c>
      <c r="U170" s="83" t="str">
        <f>HYPERLINK("https://pbs.twimg.com/media/E7Os9FjX0AAJ6GO.jpg")</f>
        <v>https://pbs.twimg.com/media/E7Os9FjX0AAJ6GO.jpg</v>
      </c>
      <c r="V170" s="83" t="str">
        <f>HYPERLINK("https://pbs.twimg.com/media/E7Os9FjX0AAJ6GO.jpg")</f>
        <v>https://pbs.twimg.com/media/E7Os9FjX0AAJ6GO.jpg</v>
      </c>
      <c r="W170" s="81">
        <v>44403.614363425928</v>
      </c>
      <c r="X170" s="87">
        <v>44403</v>
      </c>
      <c r="Y170" s="85" t="s">
        <v>516</v>
      </c>
      <c r="Z170" s="83" t="str">
        <f>HYPERLINK("https://twitter.com/fiuferre/status/1419670012516868104")</f>
        <v>https://twitter.com/fiuferre/status/1419670012516868104</v>
      </c>
      <c r="AA170" s="79"/>
      <c r="AB170" s="79"/>
      <c r="AC170" s="85" t="s">
        <v>692</v>
      </c>
      <c r="AD170" s="79"/>
      <c r="AE170" s="79" t="b">
        <v>0</v>
      </c>
      <c r="AF170" s="79">
        <v>0</v>
      </c>
      <c r="AG170" s="85" t="s">
        <v>868</v>
      </c>
      <c r="AH170" s="79" t="b">
        <v>0</v>
      </c>
      <c r="AI170" s="79" t="s">
        <v>874</v>
      </c>
      <c r="AJ170" s="79"/>
      <c r="AK170" s="85" t="s">
        <v>867</v>
      </c>
      <c r="AL170" s="79" t="b">
        <v>0</v>
      </c>
      <c r="AM170" s="79">
        <v>0</v>
      </c>
      <c r="AN170" s="85" t="s">
        <v>867</v>
      </c>
      <c r="AO170" s="85" t="s">
        <v>882</v>
      </c>
      <c r="AP170" s="79" t="b">
        <v>0</v>
      </c>
      <c r="AQ170" s="85" t="s">
        <v>692</v>
      </c>
      <c r="AR170" s="79" t="s">
        <v>177</v>
      </c>
      <c r="AS170" s="79">
        <v>0</v>
      </c>
      <c r="AT170" s="79">
        <v>0</v>
      </c>
      <c r="AU170" s="79"/>
      <c r="AV170" s="79"/>
      <c r="AW170" s="79"/>
      <c r="AX170" s="79"/>
      <c r="AY170" s="79"/>
      <c r="AZ170" s="79"/>
      <c r="BA170" s="79"/>
      <c r="BB170" s="79"/>
      <c r="BC170">
        <v>1</v>
      </c>
      <c r="BD170" s="78" t="str">
        <f>REPLACE(INDEX(GroupVertices[Group], MATCH(Edges13[[#This Row],[Vertex 1]],GroupVertices[Vertex],0)),1,1,"")</f>
        <v>12</v>
      </c>
      <c r="BE170" s="78" t="str">
        <f>REPLACE(INDEX(GroupVertices[Group], MATCH(Edges13[[#This Row],[Vertex 2]],GroupVertices[Vertex],0)),1,1,"")</f>
        <v>12</v>
      </c>
    </row>
    <row r="171" spans="1:57" x14ac:dyDescent="0.25">
      <c r="A171" s="64" t="s">
        <v>224</v>
      </c>
      <c r="B171" s="64" t="s">
        <v>224</v>
      </c>
      <c r="C171" s="65"/>
      <c r="D171" s="66"/>
      <c r="E171" s="67"/>
      <c r="F171" s="68"/>
      <c r="G171" s="65"/>
      <c r="H171" s="69"/>
      <c r="I171" s="70"/>
      <c r="J171" s="70"/>
      <c r="K171" s="35" t="s">
        <v>65</v>
      </c>
      <c r="L171" s="77">
        <v>295</v>
      </c>
      <c r="M171" s="77"/>
      <c r="N171" s="72"/>
      <c r="O171" s="79" t="s">
        <v>177</v>
      </c>
      <c r="P171" s="81">
        <v>44403.923738425925</v>
      </c>
      <c r="Q171" s="79" t="s">
        <v>347</v>
      </c>
      <c r="R171" s="83" t="str">
        <f>HYPERLINK("https://familycentered.jotform.com/211244643290045?")</f>
        <v>https://familycentered.jotform.com/211244643290045?</v>
      </c>
      <c r="S171" s="79" t="s">
        <v>448</v>
      </c>
      <c r="T171" s="85" t="s">
        <v>464</v>
      </c>
      <c r="U171" s="83" t="str">
        <f>HYPERLINK("https://pbs.twimg.com/ext_tw_video_thumb/1419782084458131459/pu/img/pI-K0wFjdCwZGDfw.jpg")</f>
        <v>https://pbs.twimg.com/ext_tw_video_thumb/1419782084458131459/pu/img/pI-K0wFjdCwZGDfw.jpg</v>
      </c>
      <c r="V171" s="83" t="str">
        <f>HYPERLINK("https://pbs.twimg.com/ext_tw_video_thumb/1419782084458131459/pu/img/pI-K0wFjdCwZGDfw.jpg")</f>
        <v>https://pbs.twimg.com/ext_tw_video_thumb/1419782084458131459/pu/img/pI-K0wFjdCwZGDfw.jpg</v>
      </c>
      <c r="W171" s="81">
        <v>44403.923738425925</v>
      </c>
      <c r="X171" s="87">
        <v>44403</v>
      </c>
      <c r="Y171" s="85" t="s">
        <v>518</v>
      </c>
      <c r="Z171" s="83" t="str">
        <f>HYPERLINK("https://twitter.com/fceatrio/status/1419782124903837697")</f>
        <v>https://twitter.com/fceatrio/status/1419782124903837697</v>
      </c>
      <c r="AA171" s="79"/>
      <c r="AB171" s="79"/>
      <c r="AC171" s="85" t="s">
        <v>694</v>
      </c>
      <c r="AD171" s="79"/>
      <c r="AE171" s="79" t="b">
        <v>0</v>
      </c>
      <c r="AF171" s="79">
        <v>1</v>
      </c>
      <c r="AG171" s="85" t="s">
        <v>867</v>
      </c>
      <c r="AH171" s="79" t="b">
        <v>0</v>
      </c>
      <c r="AI171" s="79" t="s">
        <v>874</v>
      </c>
      <c r="AJ171" s="79"/>
      <c r="AK171" s="85" t="s">
        <v>867</v>
      </c>
      <c r="AL171" s="79" t="b">
        <v>0</v>
      </c>
      <c r="AM171" s="79">
        <v>0</v>
      </c>
      <c r="AN171" s="85" t="s">
        <v>867</v>
      </c>
      <c r="AO171" s="85" t="s">
        <v>886</v>
      </c>
      <c r="AP171" s="79" t="b">
        <v>0</v>
      </c>
      <c r="AQ171" s="85" t="s">
        <v>694</v>
      </c>
      <c r="AR171" s="79" t="s">
        <v>177</v>
      </c>
      <c r="AS171" s="79">
        <v>0</v>
      </c>
      <c r="AT171" s="79">
        <v>0</v>
      </c>
      <c r="AU171" s="79"/>
      <c r="AV171" s="79"/>
      <c r="AW171" s="79"/>
      <c r="AX171" s="79"/>
      <c r="AY171" s="79"/>
      <c r="AZ171" s="79"/>
      <c r="BA171" s="79"/>
      <c r="BB171" s="79"/>
      <c r="BC171">
        <v>1</v>
      </c>
      <c r="BD171" s="78" t="str">
        <f>REPLACE(INDEX(GroupVertices[Group], MATCH(Edges13[[#This Row],[Vertex 1]],GroupVertices[Vertex],0)),1,1,"")</f>
        <v>5</v>
      </c>
      <c r="BE171" s="78" t="str">
        <f>REPLACE(INDEX(GroupVertices[Group], MATCH(Edges13[[#This Row],[Vertex 2]],GroupVertices[Vertex],0)),1,1,"")</f>
        <v>5</v>
      </c>
    </row>
    <row r="172" spans="1:57" x14ac:dyDescent="0.25">
      <c r="A172" s="64" t="s">
        <v>296</v>
      </c>
      <c r="B172" s="64" t="s">
        <v>333</v>
      </c>
      <c r="C172" s="65"/>
      <c r="D172" s="66"/>
      <c r="E172" s="67"/>
      <c r="F172" s="68"/>
      <c r="G172" s="65"/>
      <c r="H172" s="69"/>
      <c r="I172" s="70"/>
      <c r="J172" s="70"/>
      <c r="K172" s="35" t="s">
        <v>65</v>
      </c>
      <c r="L172" s="77">
        <v>298</v>
      </c>
      <c r="M172" s="77"/>
      <c r="N172" s="72"/>
      <c r="O172" s="79" t="s">
        <v>339</v>
      </c>
      <c r="P172" s="81">
        <v>44405.668310185189</v>
      </c>
      <c r="Q172" s="79" t="s">
        <v>424</v>
      </c>
      <c r="R172" s="79"/>
      <c r="S172" s="79"/>
      <c r="T172" s="85" t="s">
        <v>496</v>
      </c>
      <c r="U172" s="83" t="str">
        <f>HYPERLINK("https://pbs.twimg.com/media/E7ZTTvjX0AIZwC0.jpg")</f>
        <v>https://pbs.twimg.com/media/E7ZTTvjX0AIZwC0.jpg</v>
      </c>
      <c r="V172" s="83" t="str">
        <f>HYPERLINK("https://pbs.twimg.com/media/E7ZTTvjX0AIZwC0.jpg")</f>
        <v>https://pbs.twimg.com/media/E7ZTTvjX0AIZwC0.jpg</v>
      </c>
      <c r="W172" s="81">
        <v>44405.668310185189</v>
      </c>
      <c r="X172" s="87">
        <v>44405</v>
      </c>
      <c r="Y172" s="85" t="s">
        <v>659</v>
      </c>
      <c r="Z172" s="83" t="str">
        <f>HYPERLINK("https://twitter.com/eku_nova/status/1420414335856357376")</f>
        <v>https://twitter.com/eku_nova/status/1420414335856357376</v>
      </c>
      <c r="AA172" s="79"/>
      <c r="AB172" s="79"/>
      <c r="AC172" s="85" t="s">
        <v>839</v>
      </c>
      <c r="AD172" s="79"/>
      <c r="AE172" s="79" t="b">
        <v>0</v>
      </c>
      <c r="AF172" s="79">
        <v>1</v>
      </c>
      <c r="AG172" s="85" t="s">
        <v>867</v>
      </c>
      <c r="AH172" s="79" t="b">
        <v>0</v>
      </c>
      <c r="AI172" s="79" t="s">
        <v>874</v>
      </c>
      <c r="AJ172" s="79"/>
      <c r="AK172" s="85" t="s">
        <v>867</v>
      </c>
      <c r="AL172" s="79" t="b">
        <v>0</v>
      </c>
      <c r="AM172" s="79">
        <v>0</v>
      </c>
      <c r="AN172" s="85" t="s">
        <v>867</v>
      </c>
      <c r="AO172" s="85" t="s">
        <v>885</v>
      </c>
      <c r="AP172" s="79" t="b">
        <v>0</v>
      </c>
      <c r="AQ172" s="85" t="s">
        <v>839</v>
      </c>
      <c r="AR172" s="79" t="s">
        <v>177</v>
      </c>
      <c r="AS172" s="79">
        <v>0</v>
      </c>
      <c r="AT172" s="79">
        <v>0</v>
      </c>
      <c r="AU172" s="79"/>
      <c r="AV172" s="79"/>
      <c r="AW172" s="79"/>
      <c r="AX172" s="79"/>
      <c r="AY172" s="79"/>
      <c r="AZ172" s="79"/>
      <c r="BA172" s="79"/>
      <c r="BB172" s="79"/>
      <c r="BC172">
        <v>1</v>
      </c>
      <c r="BD172" s="78" t="str">
        <f>REPLACE(INDEX(GroupVertices[Group], MATCH(Edges13[[#This Row],[Vertex 1]],GroupVertices[Vertex],0)),1,1,"")</f>
        <v>11</v>
      </c>
      <c r="BE172" s="78" t="str">
        <f>REPLACE(INDEX(GroupVertices[Group], MATCH(Edges13[[#This Row],[Vertex 2]],GroupVertices[Vertex],0)),1,1,"")</f>
        <v>11</v>
      </c>
    </row>
    <row r="173" spans="1:57" x14ac:dyDescent="0.25">
      <c r="A173" s="64" t="s">
        <v>286</v>
      </c>
      <c r="B173" s="64" t="s">
        <v>287</v>
      </c>
      <c r="C173" s="65"/>
      <c r="D173" s="66"/>
      <c r="E173" s="67"/>
      <c r="F173" s="68"/>
      <c r="G173" s="65"/>
      <c r="H173" s="69"/>
      <c r="I173" s="70"/>
      <c r="J173" s="70"/>
      <c r="K173" s="35" t="s">
        <v>66</v>
      </c>
      <c r="L173" s="77">
        <v>303</v>
      </c>
      <c r="M173" s="77"/>
      <c r="N173" s="72"/>
      <c r="O173" s="79" t="s">
        <v>340</v>
      </c>
      <c r="P173" s="81">
        <v>44404.995416666665</v>
      </c>
      <c r="Q173" s="79" t="s">
        <v>380</v>
      </c>
      <c r="R173" s="79"/>
      <c r="S173" s="79"/>
      <c r="T173" s="85" t="s">
        <v>461</v>
      </c>
      <c r="U173" s="79"/>
      <c r="V173" s="83" t="str">
        <f>HYPERLINK("https://pbs.twimg.com/profile_images/1277648169476685824/byxD6bs4_normal.jpg")</f>
        <v>https://pbs.twimg.com/profile_images/1277648169476685824/byxD6bs4_normal.jpg</v>
      </c>
      <c r="W173" s="81">
        <v>44404.995416666665</v>
      </c>
      <c r="X173" s="87">
        <v>44404</v>
      </c>
      <c r="Y173" s="85" t="s">
        <v>602</v>
      </c>
      <c r="Z173" s="83" t="str">
        <f>HYPERLINK("https://twitter.com/pisancheznyc/status/1420170486227611648")</f>
        <v>https://twitter.com/pisancheznyc/status/1420170486227611648</v>
      </c>
      <c r="AA173" s="79"/>
      <c r="AB173" s="79"/>
      <c r="AC173" s="85" t="s">
        <v>782</v>
      </c>
      <c r="AD173" s="85" t="s">
        <v>783</v>
      </c>
      <c r="AE173" s="79" t="b">
        <v>0</v>
      </c>
      <c r="AF173" s="79">
        <v>2</v>
      </c>
      <c r="AG173" s="85" t="s">
        <v>871</v>
      </c>
      <c r="AH173" s="79" t="b">
        <v>0</v>
      </c>
      <c r="AI173" s="79" t="s">
        <v>874</v>
      </c>
      <c r="AJ173" s="79"/>
      <c r="AK173" s="85" t="s">
        <v>867</v>
      </c>
      <c r="AL173" s="79" t="b">
        <v>0</v>
      </c>
      <c r="AM173" s="79">
        <v>0</v>
      </c>
      <c r="AN173" s="85" t="s">
        <v>867</v>
      </c>
      <c r="AO173" s="85" t="s">
        <v>882</v>
      </c>
      <c r="AP173" s="79" t="b">
        <v>0</v>
      </c>
      <c r="AQ173" s="85" t="s">
        <v>783</v>
      </c>
      <c r="AR173" s="79" t="s">
        <v>177</v>
      </c>
      <c r="AS173" s="79">
        <v>0</v>
      </c>
      <c r="AT173" s="79">
        <v>0</v>
      </c>
      <c r="AU173" s="79"/>
      <c r="AV173" s="79"/>
      <c r="AW173" s="79"/>
      <c r="AX173" s="79"/>
      <c r="AY173" s="79"/>
      <c r="AZ173" s="79"/>
      <c r="BA173" s="79"/>
      <c r="BB173" s="79"/>
      <c r="BC173">
        <v>1</v>
      </c>
      <c r="BD173" s="78" t="str">
        <f>REPLACE(INDEX(GroupVertices[Group], MATCH(Edges13[[#This Row],[Vertex 1]],GroupVertices[Vertex],0)),1,1,"")</f>
        <v>1</v>
      </c>
      <c r="BE173" s="78" t="str">
        <f>REPLACE(INDEX(GroupVertices[Group], MATCH(Edges13[[#This Row],[Vertex 2]],GroupVertices[Vertex],0)),1,1,"")</f>
        <v>1</v>
      </c>
    </row>
    <row r="174" spans="1:57" x14ac:dyDescent="0.25">
      <c r="A174" s="64" t="s">
        <v>298</v>
      </c>
      <c r="B174" s="64" t="s">
        <v>287</v>
      </c>
      <c r="C174" s="65"/>
      <c r="D174" s="66"/>
      <c r="E174" s="67"/>
      <c r="F174" s="68"/>
      <c r="G174" s="65"/>
      <c r="H174" s="69"/>
      <c r="I174" s="70"/>
      <c r="J174" s="70"/>
      <c r="K174" s="35" t="s">
        <v>66</v>
      </c>
      <c r="L174" s="77">
        <v>311</v>
      </c>
      <c r="M174" s="77"/>
      <c r="N174" s="72"/>
      <c r="O174" s="79" t="s">
        <v>339</v>
      </c>
      <c r="P174" s="81">
        <v>44406.929166666669</v>
      </c>
      <c r="Q174" s="79" t="s">
        <v>373</v>
      </c>
      <c r="R174" s="79"/>
      <c r="S174" s="79"/>
      <c r="T174" s="85" t="s">
        <v>461</v>
      </c>
      <c r="U174" s="83" t="str">
        <f>HYPERLINK("https://pbs.twimg.com/media/E7fhzF6XsAAoddH.jpg")</f>
        <v>https://pbs.twimg.com/media/E7fhzF6XsAAoddH.jpg</v>
      </c>
      <c r="V174" s="83" t="str">
        <f>HYPERLINK("https://pbs.twimg.com/media/E7fhzF6XsAAoddH.jpg")</f>
        <v>https://pbs.twimg.com/media/E7fhzF6XsAAoddH.jpg</v>
      </c>
      <c r="W174" s="81">
        <v>44406.929166666669</v>
      </c>
      <c r="X174" s="87">
        <v>44406</v>
      </c>
      <c r="Y174" s="85" t="s">
        <v>671</v>
      </c>
      <c r="Z174" s="83" t="str">
        <f>HYPERLINK("https://twitter.com/seccardona/status/1420871254492565510")</f>
        <v>https://twitter.com/seccardona/status/1420871254492565510</v>
      </c>
      <c r="AA174" s="79"/>
      <c r="AB174" s="79"/>
      <c r="AC174" s="85" t="s">
        <v>851</v>
      </c>
      <c r="AD174" s="79"/>
      <c r="AE174" s="79" t="b">
        <v>0</v>
      </c>
      <c r="AF174" s="79">
        <v>60</v>
      </c>
      <c r="AG174" s="85" t="s">
        <v>867</v>
      </c>
      <c r="AH174" s="79" t="b">
        <v>0</v>
      </c>
      <c r="AI174" s="79" t="s">
        <v>874</v>
      </c>
      <c r="AJ174" s="79"/>
      <c r="AK174" s="85" t="s">
        <v>867</v>
      </c>
      <c r="AL174" s="79" t="b">
        <v>0</v>
      </c>
      <c r="AM174" s="79">
        <v>14</v>
      </c>
      <c r="AN174" s="85" t="s">
        <v>867</v>
      </c>
      <c r="AO174" s="85" t="s">
        <v>882</v>
      </c>
      <c r="AP174" s="79" t="b">
        <v>0</v>
      </c>
      <c r="AQ174" s="85" t="s">
        <v>851</v>
      </c>
      <c r="AR174" s="79" t="s">
        <v>177</v>
      </c>
      <c r="AS174" s="79">
        <v>0</v>
      </c>
      <c r="AT174" s="79">
        <v>0</v>
      </c>
      <c r="AU174" s="79"/>
      <c r="AV174" s="79"/>
      <c r="AW174" s="79"/>
      <c r="AX174" s="79"/>
      <c r="AY174" s="79"/>
      <c r="AZ174" s="79"/>
      <c r="BA174" s="79"/>
      <c r="BB174" s="79"/>
      <c r="BC174">
        <v>1</v>
      </c>
      <c r="BD174" s="78" t="str">
        <f>REPLACE(INDEX(GroupVertices[Group], MATCH(Edges13[[#This Row],[Vertex 1]],GroupVertices[Vertex],0)),1,1,"")</f>
        <v>1</v>
      </c>
      <c r="BE174" s="78" t="str">
        <f>REPLACE(INDEX(GroupVertices[Group], MATCH(Edges13[[#This Row],[Vertex 2]],GroupVertices[Vertex],0)),1,1,"")</f>
        <v>1</v>
      </c>
    </row>
    <row r="175" spans="1:57" x14ac:dyDescent="0.25">
      <c r="A175" s="64" t="s">
        <v>256</v>
      </c>
      <c r="B175" s="64" t="s">
        <v>308</v>
      </c>
      <c r="C175" s="65"/>
      <c r="D175" s="66"/>
      <c r="E175" s="67"/>
      <c r="F175" s="68"/>
      <c r="G175" s="65"/>
      <c r="H175" s="69"/>
      <c r="I175" s="70"/>
      <c r="J175" s="70"/>
      <c r="K175" s="35" t="s">
        <v>65</v>
      </c>
      <c r="L175" s="77">
        <v>329</v>
      </c>
      <c r="M175" s="77"/>
      <c r="N175" s="72"/>
      <c r="O175" s="79" t="s">
        <v>339</v>
      </c>
      <c r="P175" s="81">
        <v>44404.867418981485</v>
      </c>
      <c r="Q175" s="79" t="s">
        <v>358</v>
      </c>
      <c r="R175" s="83" t="str">
        <f>HYPERLINK("https://twitter.com/_MABurnett/status/1420114213658402821")</f>
        <v>https://twitter.com/_MABurnett/status/1420114213658402821</v>
      </c>
      <c r="S175" s="79" t="s">
        <v>449</v>
      </c>
      <c r="T175" s="85" t="s">
        <v>461</v>
      </c>
      <c r="U175" s="79"/>
      <c r="V175" s="83" t="str">
        <f>HYPERLINK("https://pbs.twimg.com/profile_images/694541205259042818/QcSFzUsp_normal.png")</f>
        <v>https://pbs.twimg.com/profile_images/694541205259042818/QcSFzUsp_normal.png</v>
      </c>
      <c r="W175" s="81">
        <v>44404.867418981485</v>
      </c>
      <c r="X175" s="87">
        <v>44404</v>
      </c>
      <c r="Y175" s="85" t="s">
        <v>551</v>
      </c>
      <c r="Z175" s="83" t="str">
        <f>HYPERLINK("https://twitter.com/mcnairunc/status/1420124103806234635")</f>
        <v>https://twitter.com/mcnairunc/status/1420124103806234635</v>
      </c>
      <c r="AA175" s="79"/>
      <c r="AB175" s="79"/>
      <c r="AC175" s="85" t="s">
        <v>730</v>
      </c>
      <c r="AD175" s="79"/>
      <c r="AE175" s="79" t="b">
        <v>0</v>
      </c>
      <c r="AF175" s="79">
        <v>35</v>
      </c>
      <c r="AG175" s="85" t="s">
        <v>867</v>
      </c>
      <c r="AH175" s="79" t="b">
        <v>1</v>
      </c>
      <c r="AI175" s="79" t="s">
        <v>874</v>
      </c>
      <c r="AJ175" s="79"/>
      <c r="AK175" s="85" t="s">
        <v>736</v>
      </c>
      <c r="AL175" s="79" t="b">
        <v>0</v>
      </c>
      <c r="AM175" s="79">
        <v>5</v>
      </c>
      <c r="AN175" s="85" t="s">
        <v>867</v>
      </c>
      <c r="AO175" s="85" t="s">
        <v>882</v>
      </c>
      <c r="AP175" s="79" t="b">
        <v>0</v>
      </c>
      <c r="AQ175" s="85" t="s">
        <v>730</v>
      </c>
      <c r="AR175" s="79" t="s">
        <v>177</v>
      </c>
      <c r="AS175" s="79">
        <v>0</v>
      </c>
      <c r="AT175" s="79">
        <v>0</v>
      </c>
      <c r="AU175" s="79"/>
      <c r="AV175" s="79"/>
      <c r="AW175" s="79"/>
      <c r="AX175" s="79"/>
      <c r="AY175" s="79"/>
      <c r="AZ175" s="79"/>
      <c r="BA175" s="79"/>
      <c r="BB175" s="79"/>
      <c r="BC175">
        <v>1</v>
      </c>
      <c r="BD175" s="78" t="str">
        <f>REPLACE(INDEX(GroupVertices[Group], MATCH(Edges13[[#This Row],[Vertex 1]],GroupVertices[Vertex],0)),1,1,"")</f>
        <v>2</v>
      </c>
      <c r="BE175" s="78" t="str">
        <f>REPLACE(INDEX(GroupVertices[Group], MATCH(Edges13[[#This Row],[Vertex 2]],GroupVertices[Vertex],0)),1,1,"")</f>
        <v>2</v>
      </c>
    </row>
    <row r="176" spans="1:57" x14ac:dyDescent="0.25">
      <c r="A176" s="64" t="s">
        <v>219</v>
      </c>
      <c r="B176" s="64" t="s">
        <v>218</v>
      </c>
      <c r="C176" s="65"/>
      <c r="D176" s="66"/>
      <c r="E176" s="67"/>
      <c r="F176" s="68"/>
      <c r="G176" s="65"/>
      <c r="H176" s="69"/>
      <c r="I176" s="70"/>
      <c r="J176" s="70"/>
      <c r="K176" s="35" t="s">
        <v>66</v>
      </c>
      <c r="L176" s="77">
        <v>335</v>
      </c>
      <c r="M176" s="77"/>
      <c r="N176" s="72"/>
      <c r="O176" s="79" t="s">
        <v>338</v>
      </c>
      <c r="P176" s="81">
        <v>44401.802743055552</v>
      </c>
      <c r="Q176" s="79" t="s">
        <v>342</v>
      </c>
      <c r="R176" s="79"/>
      <c r="S176" s="79"/>
      <c r="T176" s="85" t="s">
        <v>461</v>
      </c>
      <c r="U176" s="83" t="str">
        <f>HYPERLINK("https://pbs.twimg.com/media/E7AvFTuWEAIxRbr.jpg")</f>
        <v>https://pbs.twimg.com/media/E7AvFTuWEAIxRbr.jpg</v>
      </c>
      <c r="V176" s="83" t="str">
        <f>HYPERLINK("https://pbs.twimg.com/media/E7AvFTuWEAIxRbr.jpg")</f>
        <v>https://pbs.twimg.com/media/E7AvFTuWEAIxRbr.jpg</v>
      </c>
      <c r="W176" s="81">
        <v>44401.802743055552</v>
      </c>
      <c r="X176" s="87">
        <v>44401</v>
      </c>
      <c r="Y176" s="85" t="s">
        <v>513</v>
      </c>
      <c r="Z176" s="83" t="str">
        <f>HYPERLINK("https://twitter.com/kumcnair/status/1419013502350630914")</f>
        <v>https://twitter.com/kumcnair/status/1419013502350630914</v>
      </c>
      <c r="AA176" s="79"/>
      <c r="AB176" s="79"/>
      <c r="AC176" s="85" t="s">
        <v>689</v>
      </c>
      <c r="AD176" s="79"/>
      <c r="AE176" s="79" t="b">
        <v>0</v>
      </c>
      <c r="AF176" s="79">
        <v>0</v>
      </c>
      <c r="AG176" s="85" t="s">
        <v>867</v>
      </c>
      <c r="AH176" s="79" t="b">
        <v>0</v>
      </c>
      <c r="AI176" s="79" t="s">
        <v>874</v>
      </c>
      <c r="AJ176" s="79"/>
      <c r="AK176" s="85" t="s">
        <v>867</v>
      </c>
      <c r="AL176" s="79" t="b">
        <v>0</v>
      </c>
      <c r="AM176" s="79">
        <v>1</v>
      </c>
      <c r="AN176" s="85" t="s">
        <v>688</v>
      </c>
      <c r="AO176" s="85" t="s">
        <v>882</v>
      </c>
      <c r="AP176" s="79" t="b">
        <v>0</v>
      </c>
      <c r="AQ176" s="85" t="s">
        <v>688</v>
      </c>
      <c r="AR176" s="79" t="s">
        <v>177</v>
      </c>
      <c r="AS176" s="79">
        <v>0</v>
      </c>
      <c r="AT176" s="79">
        <v>0</v>
      </c>
      <c r="AU176" s="79"/>
      <c r="AV176" s="79"/>
      <c r="AW176" s="79"/>
      <c r="AX176" s="79"/>
      <c r="AY176" s="79"/>
      <c r="AZ176" s="79"/>
      <c r="BA176" s="79"/>
      <c r="BB176" s="79"/>
      <c r="BC176">
        <v>1</v>
      </c>
      <c r="BD176" s="78" t="str">
        <f>REPLACE(INDEX(GroupVertices[Group], MATCH(Edges13[[#This Row],[Vertex 1]],GroupVertices[Vertex],0)),1,1,"")</f>
        <v>14</v>
      </c>
      <c r="BE176" s="78" t="str">
        <f>REPLACE(INDEX(GroupVertices[Group], MATCH(Edges13[[#This Row],[Vertex 2]],GroupVertices[Vertex],0)),1,1,"")</f>
        <v>14</v>
      </c>
    </row>
    <row r="177" spans="1:57" x14ac:dyDescent="0.25">
      <c r="A177" s="64" t="s">
        <v>261</v>
      </c>
      <c r="B177" s="64" t="s">
        <v>261</v>
      </c>
      <c r="C177" s="65"/>
      <c r="D177" s="66"/>
      <c r="E177" s="67"/>
      <c r="F177" s="68"/>
      <c r="G177" s="65"/>
      <c r="H177" s="69"/>
      <c r="I177" s="70"/>
      <c r="J177" s="70"/>
      <c r="K177" s="35" t="s">
        <v>65</v>
      </c>
      <c r="L177" s="77">
        <v>340</v>
      </c>
      <c r="M177" s="77"/>
      <c r="N177" s="72"/>
      <c r="O177" s="79" t="s">
        <v>177</v>
      </c>
      <c r="P177" s="81">
        <v>44405.957245370373</v>
      </c>
      <c r="Q177" s="79" t="s">
        <v>375</v>
      </c>
      <c r="R177" s="79"/>
      <c r="S177" s="79"/>
      <c r="T177" s="85" t="s">
        <v>481</v>
      </c>
      <c r="U177" s="79"/>
      <c r="V177" s="83" t="str">
        <f>HYPERLINK("https://pbs.twimg.com/profile_images/1409551882087960582/EN_K-fIZ_normal.jpg")</f>
        <v>https://pbs.twimg.com/profile_images/1409551882087960582/EN_K-fIZ_normal.jpg</v>
      </c>
      <c r="W177" s="81">
        <v>44405.957245370373</v>
      </c>
      <c r="X177" s="87">
        <v>44405</v>
      </c>
      <c r="Y177" s="85" t="s">
        <v>592</v>
      </c>
      <c r="Z177" s="83" t="str">
        <f>HYPERLINK("https://twitter.com/aeeetrio/status/1420519044868972545")</f>
        <v>https://twitter.com/aeeetrio/status/1420519044868972545</v>
      </c>
      <c r="AA177" s="79"/>
      <c r="AB177" s="79"/>
      <c r="AC177" s="85" t="s">
        <v>772</v>
      </c>
      <c r="AD177" s="79"/>
      <c r="AE177" s="79" t="b">
        <v>0</v>
      </c>
      <c r="AF177" s="79">
        <v>1</v>
      </c>
      <c r="AG177" s="85" t="s">
        <v>867</v>
      </c>
      <c r="AH177" s="79" t="b">
        <v>0</v>
      </c>
      <c r="AI177" s="79" t="s">
        <v>874</v>
      </c>
      <c r="AJ177" s="79"/>
      <c r="AK177" s="85" t="s">
        <v>867</v>
      </c>
      <c r="AL177" s="79" t="b">
        <v>0</v>
      </c>
      <c r="AM177" s="79">
        <v>0</v>
      </c>
      <c r="AN177" s="85" t="s">
        <v>867</v>
      </c>
      <c r="AO177" s="85" t="s">
        <v>882</v>
      </c>
      <c r="AP177" s="79" t="b">
        <v>0</v>
      </c>
      <c r="AQ177" s="85" t="s">
        <v>772</v>
      </c>
      <c r="AR177" s="79" t="s">
        <v>177</v>
      </c>
      <c r="AS177" s="79">
        <v>0</v>
      </c>
      <c r="AT177" s="79">
        <v>0</v>
      </c>
      <c r="AU177" s="79"/>
      <c r="AV177" s="79"/>
      <c r="AW177" s="79"/>
      <c r="AX177" s="79"/>
      <c r="AY177" s="79"/>
      <c r="AZ177" s="79"/>
      <c r="BA177" s="79"/>
      <c r="BB177" s="79"/>
      <c r="BC177">
        <v>1</v>
      </c>
      <c r="BD177" s="78" t="str">
        <f>REPLACE(INDEX(GroupVertices[Group], MATCH(Edges13[[#This Row],[Vertex 1]],GroupVertices[Vertex],0)),1,1,"")</f>
        <v>8</v>
      </c>
      <c r="BE177" s="78" t="str">
        <f>REPLACE(INDEX(GroupVertices[Group], MATCH(Edges13[[#This Row],[Vertex 2]],GroupVertices[Vertex],0)),1,1,"")</f>
        <v>8</v>
      </c>
    </row>
    <row r="178" spans="1:57" x14ac:dyDescent="0.25">
      <c r="A178" s="64" t="s">
        <v>237</v>
      </c>
      <c r="B178" s="64" t="s">
        <v>257</v>
      </c>
      <c r="C178" s="65"/>
      <c r="D178" s="66"/>
      <c r="E178" s="67"/>
      <c r="F178" s="68"/>
      <c r="G178" s="65"/>
      <c r="H178" s="69"/>
      <c r="I178" s="70"/>
      <c r="J178" s="70"/>
      <c r="K178" s="35" t="s">
        <v>65</v>
      </c>
      <c r="L178" s="77">
        <v>343</v>
      </c>
      <c r="M178" s="77"/>
      <c r="N178" s="72"/>
      <c r="O178" s="79" t="s">
        <v>340</v>
      </c>
      <c r="P178" s="81">
        <v>44404.850763888891</v>
      </c>
      <c r="Q178" s="79" t="s">
        <v>357</v>
      </c>
      <c r="R178" s="79"/>
      <c r="S178" s="79"/>
      <c r="T178" s="85" t="s">
        <v>461</v>
      </c>
      <c r="U178" s="79"/>
      <c r="V178" s="83" t="str">
        <f>HYPERLINK("https://pbs.twimg.com/profile_images/1416529138287104004/CkD5igB__normal.jpg")</f>
        <v>https://pbs.twimg.com/profile_images/1416529138287104004/CkD5igB__normal.jpg</v>
      </c>
      <c r="W178" s="81">
        <v>44404.850763888891</v>
      </c>
      <c r="X178" s="87">
        <v>44404</v>
      </c>
      <c r="Y178" s="85" t="s">
        <v>531</v>
      </c>
      <c r="Z178" s="83" t="str">
        <f>HYPERLINK("https://twitter.com/252trinnettec/status/1420118065921073152")</f>
        <v>https://twitter.com/252trinnettec/status/1420118065921073152</v>
      </c>
      <c r="AA178" s="79"/>
      <c r="AB178" s="79"/>
      <c r="AC178" s="85" t="s">
        <v>708</v>
      </c>
      <c r="AD178" s="85" t="s">
        <v>736</v>
      </c>
      <c r="AE178" s="79" t="b">
        <v>0</v>
      </c>
      <c r="AF178" s="79">
        <v>2</v>
      </c>
      <c r="AG178" s="85" t="s">
        <v>869</v>
      </c>
      <c r="AH178" s="79" t="b">
        <v>0</v>
      </c>
      <c r="AI178" s="79" t="s">
        <v>874</v>
      </c>
      <c r="AJ178" s="79"/>
      <c r="AK178" s="85" t="s">
        <v>867</v>
      </c>
      <c r="AL178" s="79" t="b">
        <v>0</v>
      </c>
      <c r="AM178" s="79">
        <v>0</v>
      </c>
      <c r="AN178" s="85" t="s">
        <v>867</v>
      </c>
      <c r="AO178" s="85" t="s">
        <v>883</v>
      </c>
      <c r="AP178" s="79" t="b">
        <v>0</v>
      </c>
      <c r="AQ178" s="85" t="s">
        <v>736</v>
      </c>
      <c r="AR178" s="79" t="s">
        <v>177</v>
      </c>
      <c r="AS178" s="79">
        <v>0</v>
      </c>
      <c r="AT178" s="79">
        <v>0</v>
      </c>
      <c r="AU178" s="79"/>
      <c r="AV178" s="79"/>
      <c r="AW178" s="79"/>
      <c r="AX178" s="79"/>
      <c r="AY178" s="79"/>
      <c r="AZ178" s="79"/>
      <c r="BA178" s="79"/>
      <c r="BB178" s="79"/>
      <c r="BC178">
        <v>1</v>
      </c>
      <c r="BD178" s="78" t="str">
        <f>REPLACE(INDEX(GroupVertices[Group], MATCH(Edges13[[#This Row],[Vertex 1]],GroupVertices[Vertex],0)),1,1,"")</f>
        <v>2</v>
      </c>
      <c r="BE178" s="78" t="str">
        <f>REPLACE(INDEX(GroupVertices[Group], MATCH(Edges13[[#This Row],[Vertex 2]],GroupVertices[Vertex],0)),1,1,"")</f>
        <v>2</v>
      </c>
    </row>
    <row r="179" spans="1:57" x14ac:dyDescent="0.25">
      <c r="A179"/>
      <c r="B179"/>
      <c r="C179"/>
      <c r="D179"/>
      <c r="E179"/>
      <c r="F179"/>
      <c r="G179"/>
      <c r="H179"/>
      <c r="I179"/>
      <c r="J179"/>
      <c r="K179"/>
    </row>
    <row r="180" spans="1:57" x14ac:dyDescent="0.25">
      <c r="A180"/>
      <c r="B180"/>
      <c r="C180"/>
      <c r="D180"/>
      <c r="E180"/>
      <c r="F180"/>
      <c r="G180"/>
      <c r="H180"/>
      <c r="I180"/>
      <c r="J180"/>
      <c r="K180"/>
    </row>
    <row r="181" spans="1:57" x14ac:dyDescent="0.25">
      <c r="A181"/>
      <c r="B181"/>
      <c r="C181"/>
      <c r="D181"/>
      <c r="E181"/>
      <c r="F181"/>
      <c r="G181"/>
      <c r="H181"/>
      <c r="I181"/>
      <c r="J181"/>
      <c r="K181"/>
    </row>
    <row r="182" spans="1:57" x14ac:dyDescent="0.25">
      <c r="A182"/>
      <c r="B182"/>
      <c r="C182"/>
      <c r="D182"/>
      <c r="E182"/>
      <c r="F182"/>
      <c r="G182"/>
      <c r="H182"/>
      <c r="I182"/>
      <c r="J182"/>
      <c r="K182"/>
    </row>
    <row r="183" spans="1:57" x14ac:dyDescent="0.25">
      <c r="A183"/>
      <c r="B183"/>
      <c r="C183"/>
      <c r="D183"/>
      <c r="E183"/>
      <c r="F183"/>
      <c r="G183"/>
      <c r="H183"/>
      <c r="I183"/>
      <c r="J183"/>
      <c r="K183"/>
    </row>
    <row r="184" spans="1:57" x14ac:dyDescent="0.25">
      <c r="A184"/>
      <c r="B184"/>
      <c r="C184"/>
      <c r="D184"/>
      <c r="E184"/>
      <c r="F184"/>
      <c r="G184"/>
      <c r="H184"/>
      <c r="I184"/>
      <c r="J184"/>
      <c r="K184"/>
    </row>
    <row r="185" spans="1:57" x14ac:dyDescent="0.25">
      <c r="A185"/>
      <c r="B185"/>
      <c r="C185"/>
      <c r="D185"/>
      <c r="E185"/>
      <c r="F185"/>
      <c r="G185"/>
      <c r="H185"/>
      <c r="I185"/>
      <c r="J185"/>
      <c r="K185"/>
    </row>
    <row r="186" spans="1:57" x14ac:dyDescent="0.25">
      <c r="A186"/>
      <c r="B186"/>
      <c r="C186"/>
      <c r="D186"/>
      <c r="E186"/>
      <c r="F186"/>
      <c r="G186"/>
      <c r="H186"/>
      <c r="I186"/>
      <c r="J186"/>
      <c r="K186"/>
    </row>
    <row r="187" spans="1:57" x14ac:dyDescent="0.25">
      <c r="A187"/>
      <c r="B187"/>
      <c r="C187"/>
      <c r="D187"/>
      <c r="E187"/>
      <c r="F187"/>
      <c r="G187"/>
      <c r="H187"/>
      <c r="I187"/>
      <c r="J187"/>
      <c r="K187"/>
    </row>
    <row r="188" spans="1:57" x14ac:dyDescent="0.25">
      <c r="A188"/>
      <c r="B188"/>
      <c r="C188"/>
      <c r="D188"/>
      <c r="E188"/>
      <c r="F188"/>
      <c r="G188"/>
      <c r="H188"/>
      <c r="I188"/>
      <c r="J188"/>
      <c r="K188"/>
    </row>
    <row r="189" spans="1:57" x14ac:dyDescent="0.25">
      <c r="A189"/>
      <c r="B189"/>
      <c r="C189"/>
      <c r="D189"/>
      <c r="E189"/>
      <c r="F189"/>
      <c r="G189"/>
      <c r="H189"/>
      <c r="I189"/>
      <c r="J189"/>
      <c r="K189"/>
    </row>
    <row r="190" spans="1:57" x14ac:dyDescent="0.25">
      <c r="A190"/>
      <c r="B190"/>
      <c r="C190"/>
      <c r="D190"/>
      <c r="E190"/>
      <c r="F190"/>
      <c r="G190"/>
      <c r="H190"/>
      <c r="I190"/>
      <c r="J190"/>
      <c r="K190"/>
    </row>
    <row r="191" spans="1:57" x14ac:dyDescent="0.25">
      <c r="A191"/>
      <c r="B191"/>
      <c r="C191"/>
      <c r="D191"/>
      <c r="E191"/>
      <c r="F191"/>
      <c r="G191"/>
      <c r="H191"/>
      <c r="I191"/>
      <c r="J191"/>
      <c r="K191"/>
    </row>
    <row r="192" spans="1:57" x14ac:dyDescent="0.25">
      <c r="A192"/>
      <c r="B192"/>
      <c r="C192"/>
      <c r="D192"/>
      <c r="E192"/>
      <c r="F192"/>
      <c r="G192"/>
      <c r="H192"/>
      <c r="I192"/>
      <c r="J192"/>
      <c r="K192"/>
    </row>
    <row r="193" spans="1:11" x14ac:dyDescent="0.25">
      <c r="A193"/>
      <c r="B193"/>
      <c r="C193"/>
      <c r="D193"/>
      <c r="E193"/>
      <c r="F193"/>
      <c r="G193"/>
      <c r="H193"/>
      <c r="I193"/>
      <c r="J193"/>
      <c r="K193"/>
    </row>
    <row r="194" spans="1:11" x14ac:dyDescent="0.25">
      <c r="A194"/>
      <c r="B194"/>
      <c r="C194"/>
      <c r="D194"/>
      <c r="E194"/>
      <c r="F194"/>
      <c r="G194"/>
      <c r="H194"/>
      <c r="I194"/>
      <c r="J194"/>
      <c r="K194"/>
    </row>
    <row r="195" spans="1:11" x14ac:dyDescent="0.25">
      <c r="A195"/>
      <c r="B195"/>
      <c r="C195"/>
      <c r="D195"/>
      <c r="E195"/>
      <c r="F195"/>
      <c r="G195"/>
      <c r="H195"/>
      <c r="I195"/>
      <c r="J195"/>
      <c r="K195"/>
    </row>
    <row r="196" spans="1:11" x14ac:dyDescent="0.25">
      <c r="A196"/>
      <c r="B196"/>
      <c r="C196"/>
      <c r="D196"/>
      <c r="E196"/>
      <c r="F196"/>
      <c r="G196"/>
      <c r="H196"/>
      <c r="I196"/>
      <c r="J196"/>
      <c r="K196"/>
    </row>
    <row r="197" spans="1:11" x14ac:dyDescent="0.25">
      <c r="A197"/>
      <c r="B197"/>
      <c r="C197"/>
      <c r="D197"/>
      <c r="E197"/>
      <c r="F197"/>
      <c r="G197"/>
      <c r="H197"/>
      <c r="I197"/>
      <c r="J197"/>
      <c r="K197"/>
    </row>
    <row r="198" spans="1:11" x14ac:dyDescent="0.25">
      <c r="A198"/>
      <c r="B198"/>
      <c r="C198"/>
      <c r="D198"/>
      <c r="E198"/>
      <c r="F198"/>
      <c r="G198"/>
      <c r="H198"/>
      <c r="I198"/>
      <c r="J198"/>
      <c r="K198"/>
    </row>
    <row r="199" spans="1:11" x14ac:dyDescent="0.25">
      <c r="A199"/>
      <c r="B199"/>
      <c r="C199"/>
      <c r="D199"/>
      <c r="E199"/>
      <c r="F199"/>
      <c r="G199"/>
      <c r="H199"/>
      <c r="I199"/>
      <c r="J199"/>
      <c r="K199"/>
    </row>
    <row r="200" spans="1:11" x14ac:dyDescent="0.25">
      <c r="A200"/>
      <c r="B200"/>
      <c r="C200"/>
      <c r="D200"/>
      <c r="E200"/>
      <c r="F200"/>
      <c r="G200"/>
      <c r="H200"/>
      <c r="I200"/>
      <c r="J200"/>
      <c r="K200"/>
    </row>
    <row r="201" spans="1:11" x14ac:dyDescent="0.25">
      <c r="A201"/>
      <c r="B201"/>
      <c r="C201"/>
      <c r="D201"/>
      <c r="E201"/>
      <c r="F201"/>
      <c r="G201"/>
      <c r="H201"/>
      <c r="I201"/>
      <c r="J201"/>
      <c r="K201"/>
    </row>
    <row r="202" spans="1:11" x14ac:dyDescent="0.25">
      <c r="A202"/>
      <c r="B202"/>
      <c r="C202"/>
      <c r="D202"/>
      <c r="E202"/>
      <c r="F202"/>
      <c r="G202"/>
      <c r="H202"/>
      <c r="I202"/>
      <c r="J202"/>
      <c r="K202"/>
    </row>
    <row r="203" spans="1:11" x14ac:dyDescent="0.25">
      <c r="A203"/>
      <c r="B203"/>
      <c r="C203"/>
      <c r="D203"/>
      <c r="E203"/>
      <c r="F203"/>
      <c r="G203"/>
      <c r="H203"/>
      <c r="I203"/>
      <c r="J203"/>
      <c r="K203"/>
    </row>
    <row r="204" spans="1:11" x14ac:dyDescent="0.25">
      <c r="A204"/>
      <c r="B204"/>
      <c r="C204"/>
      <c r="D204"/>
      <c r="E204"/>
      <c r="F204"/>
      <c r="G204"/>
      <c r="H204"/>
      <c r="I204"/>
      <c r="J204"/>
      <c r="K204"/>
    </row>
    <row r="205" spans="1:11" x14ac:dyDescent="0.25">
      <c r="A205"/>
      <c r="B205"/>
      <c r="C205"/>
      <c r="D205"/>
      <c r="E205"/>
      <c r="F205"/>
      <c r="G205"/>
      <c r="H205"/>
      <c r="I205"/>
      <c r="J205"/>
      <c r="K205"/>
    </row>
    <row r="206" spans="1:11" x14ac:dyDescent="0.25">
      <c r="A206"/>
      <c r="B206"/>
      <c r="C206"/>
      <c r="D206"/>
      <c r="E206"/>
      <c r="F206"/>
      <c r="G206"/>
      <c r="H206"/>
      <c r="I206"/>
      <c r="J206"/>
      <c r="K206"/>
    </row>
    <row r="207" spans="1:11" x14ac:dyDescent="0.25">
      <c r="A207"/>
      <c r="B207"/>
      <c r="C207"/>
      <c r="D207"/>
      <c r="E207"/>
      <c r="F207"/>
      <c r="G207"/>
      <c r="H207"/>
      <c r="I207"/>
      <c r="J207"/>
      <c r="K207"/>
    </row>
    <row r="208" spans="1:11" x14ac:dyDescent="0.25">
      <c r="A208"/>
      <c r="B208"/>
      <c r="C208"/>
      <c r="D208"/>
      <c r="E208"/>
      <c r="F208"/>
      <c r="G208"/>
      <c r="H208"/>
      <c r="I208"/>
      <c r="J208"/>
      <c r="K208"/>
    </row>
    <row r="209" spans="1:11" x14ac:dyDescent="0.25">
      <c r="A209"/>
      <c r="B209"/>
      <c r="C209"/>
      <c r="D209"/>
      <c r="E209"/>
      <c r="F209"/>
      <c r="G209"/>
      <c r="H209"/>
      <c r="I209"/>
      <c r="J209"/>
      <c r="K209"/>
    </row>
    <row r="210" spans="1:11" x14ac:dyDescent="0.25">
      <c r="A210"/>
      <c r="B210"/>
      <c r="C210"/>
      <c r="D210"/>
      <c r="E210"/>
      <c r="F210"/>
      <c r="G210"/>
      <c r="H210"/>
      <c r="I210"/>
      <c r="J210"/>
      <c r="K210"/>
    </row>
    <row r="211" spans="1:11" x14ac:dyDescent="0.25">
      <c r="A211"/>
      <c r="B211"/>
      <c r="C211"/>
      <c r="D211"/>
      <c r="E211"/>
      <c r="F211"/>
      <c r="G211"/>
      <c r="H211"/>
      <c r="I211"/>
      <c r="J211"/>
      <c r="K211"/>
    </row>
    <row r="212" spans="1:11" x14ac:dyDescent="0.25">
      <c r="A212"/>
      <c r="B212"/>
      <c r="C212"/>
      <c r="D212"/>
      <c r="E212"/>
      <c r="F212"/>
      <c r="G212"/>
      <c r="H212"/>
      <c r="I212"/>
      <c r="J212"/>
      <c r="K212"/>
    </row>
    <row r="213" spans="1:11" x14ac:dyDescent="0.25">
      <c r="A213"/>
      <c r="B213"/>
      <c r="C213"/>
      <c r="D213"/>
      <c r="E213"/>
      <c r="F213"/>
      <c r="G213"/>
      <c r="H213"/>
      <c r="I213"/>
      <c r="J213"/>
      <c r="K213"/>
    </row>
    <row r="214" spans="1:11" x14ac:dyDescent="0.25">
      <c r="A214"/>
      <c r="B214"/>
      <c r="C214"/>
      <c r="D214"/>
      <c r="E214"/>
      <c r="F214"/>
      <c r="G214"/>
      <c r="H214"/>
      <c r="I214"/>
      <c r="J214"/>
      <c r="K214"/>
    </row>
    <row r="215" spans="1:11" x14ac:dyDescent="0.25">
      <c r="A215"/>
      <c r="B215"/>
      <c r="C215"/>
      <c r="D215"/>
      <c r="E215"/>
      <c r="F215"/>
      <c r="G215"/>
      <c r="H215"/>
      <c r="I215"/>
      <c r="J215"/>
      <c r="K215"/>
    </row>
    <row r="216" spans="1:11" x14ac:dyDescent="0.25">
      <c r="A216"/>
      <c r="B216"/>
      <c r="C216"/>
      <c r="D216"/>
      <c r="E216"/>
      <c r="F216"/>
      <c r="G216"/>
      <c r="H216"/>
      <c r="I216"/>
      <c r="J216"/>
      <c r="K216"/>
    </row>
    <row r="217" spans="1:11" x14ac:dyDescent="0.25">
      <c r="A217"/>
      <c r="B217"/>
      <c r="C217"/>
      <c r="D217"/>
      <c r="E217"/>
      <c r="F217"/>
      <c r="G217"/>
      <c r="H217"/>
      <c r="I217"/>
      <c r="J217"/>
      <c r="K217"/>
    </row>
    <row r="218" spans="1:11" x14ac:dyDescent="0.25">
      <c r="A218"/>
      <c r="B218"/>
      <c r="C218"/>
      <c r="D218"/>
      <c r="E218"/>
      <c r="F218"/>
      <c r="G218"/>
      <c r="H218"/>
      <c r="I218"/>
      <c r="J218"/>
      <c r="K218"/>
    </row>
    <row r="219" spans="1:11" x14ac:dyDescent="0.25">
      <c r="A219"/>
      <c r="B219"/>
      <c r="C219"/>
      <c r="D219"/>
      <c r="E219"/>
      <c r="F219"/>
      <c r="G219"/>
      <c r="H219"/>
      <c r="I219"/>
      <c r="J219"/>
      <c r="K219"/>
    </row>
    <row r="220" spans="1:11" x14ac:dyDescent="0.25">
      <c r="A220"/>
      <c r="B220"/>
      <c r="C220"/>
      <c r="D220"/>
      <c r="E220"/>
      <c r="F220"/>
      <c r="G220"/>
      <c r="H220"/>
      <c r="I220"/>
      <c r="J220"/>
      <c r="K220"/>
    </row>
    <row r="221" spans="1:11" x14ac:dyDescent="0.25">
      <c r="A221"/>
      <c r="B221"/>
      <c r="C221"/>
      <c r="D221"/>
      <c r="E221"/>
      <c r="F221"/>
      <c r="G221"/>
      <c r="H221"/>
      <c r="I221"/>
      <c r="J221"/>
      <c r="K221"/>
    </row>
    <row r="222" spans="1:11" x14ac:dyDescent="0.25">
      <c r="A222"/>
      <c r="B222"/>
      <c r="C222"/>
      <c r="D222"/>
      <c r="E222"/>
      <c r="F222"/>
      <c r="G222"/>
      <c r="H222"/>
      <c r="I222"/>
      <c r="J222"/>
      <c r="K222"/>
    </row>
    <row r="223" spans="1:11" x14ac:dyDescent="0.25">
      <c r="A223"/>
      <c r="B223"/>
      <c r="C223"/>
      <c r="D223"/>
      <c r="E223"/>
      <c r="F223"/>
      <c r="G223"/>
      <c r="H223"/>
      <c r="I223"/>
      <c r="J223"/>
      <c r="K223"/>
    </row>
    <row r="224" spans="1:11" x14ac:dyDescent="0.25">
      <c r="A224"/>
      <c r="B224"/>
      <c r="C224"/>
      <c r="D224"/>
      <c r="E224"/>
      <c r="F224"/>
      <c r="G224"/>
      <c r="H224"/>
      <c r="I224"/>
      <c r="J224"/>
      <c r="K224"/>
    </row>
    <row r="225" spans="1:11" x14ac:dyDescent="0.25">
      <c r="A225"/>
      <c r="B225"/>
      <c r="C225"/>
      <c r="D225"/>
      <c r="E225"/>
      <c r="F225"/>
      <c r="G225"/>
      <c r="H225"/>
      <c r="I225"/>
      <c r="J225"/>
      <c r="K225"/>
    </row>
    <row r="226" spans="1:11" x14ac:dyDescent="0.25">
      <c r="A226"/>
      <c r="B226"/>
      <c r="C226"/>
      <c r="D226"/>
      <c r="E226"/>
      <c r="F226"/>
      <c r="G226"/>
      <c r="H226"/>
      <c r="I226"/>
      <c r="J226"/>
      <c r="K226"/>
    </row>
    <row r="227" spans="1:11" x14ac:dyDescent="0.25">
      <c r="A227"/>
      <c r="B227"/>
      <c r="C227"/>
      <c r="D227"/>
      <c r="E227"/>
      <c r="F227"/>
      <c r="G227"/>
      <c r="H227"/>
      <c r="I227"/>
      <c r="J227"/>
      <c r="K227"/>
    </row>
    <row r="228" spans="1:11" x14ac:dyDescent="0.25">
      <c r="A228"/>
      <c r="B228"/>
      <c r="C228"/>
      <c r="D228"/>
      <c r="E228"/>
      <c r="F228"/>
      <c r="G228"/>
      <c r="H228"/>
      <c r="I228"/>
      <c r="J228"/>
      <c r="K228"/>
    </row>
    <row r="229" spans="1:11" x14ac:dyDescent="0.25">
      <c r="A229"/>
      <c r="B229"/>
      <c r="C229"/>
      <c r="D229"/>
      <c r="E229"/>
      <c r="F229"/>
      <c r="G229"/>
      <c r="H229"/>
      <c r="I229"/>
      <c r="J229"/>
      <c r="K229"/>
    </row>
    <row r="230" spans="1:11" x14ac:dyDescent="0.25">
      <c r="A230"/>
      <c r="B230"/>
      <c r="C230"/>
      <c r="D230"/>
      <c r="E230"/>
      <c r="F230"/>
      <c r="G230"/>
      <c r="H230"/>
      <c r="I230"/>
      <c r="J230"/>
      <c r="K230"/>
    </row>
    <row r="231" spans="1:11" x14ac:dyDescent="0.25">
      <c r="A231"/>
      <c r="B231"/>
      <c r="C231"/>
      <c r="D231"/>
      <c r="E231"/>
      <c r="F231"/>
      <c r="G231"/>
      <c r="H231"/>
      <c r="I231"/>
      <c r="J231"/>
      <c r="K231"/>
    </row>
    <row r="232" spans="1:11" x14ac:dyDescent="0.25">
      <c r="A232"/>
      <c r="B232"/>
      <c r="C232"/>
      <c r="D232"/>
      <c r="E232"/>
      <c r="F232"/>
      <c r="G232"/>
      <c r="H232"/>
      <c r="I232"/>
      <c r="J232"/>
      <c r="K232"/>
    </row>
    <row r="233" spans="1:11" x14ac:dyDescent="0.25">
      <c r="A233"/>
      <c r="B233"/>
      <c r="C233"/>
      <c r="D233"/>
      <c r="E233"/>
      <c r="F233"/>
      <c r="G233"/>
      <c r="H233"/>
      <c r="I233"/>
      <c r="J233"/>
      <c r="K233"/>
    </row>
    <row r="234" spans="1:11" x14ac:dyDescent="0.25">
      <c r="A234"/>
      <c r="B234"/>
      <c r="C234"/>
      <c r="D234"/>
      <c r="E234"/>
      <c r="F234"/>
      <c r="G234"/>
      <c r="H234"/>
      <c r="I234"/>
      <c r="J234"/>
      <c r="K234"/>
    </row>
    <row r="235" spans="1:11" x14ac:dyDescent="0.25">
      <c r="A235"/>
      <c r="B235"/>
      <c r="C235"/>
      <c r="D235"/>
      <c r="E235"/>
      <c r="F235"/>
      <c r="G235"/>
      <c r="H235"/>
      <c r="I235"/>
      <c r="J235"/>
      <c r="K235"/>
    </row>
    <row r="236" spans="1:11" x14ac:dyDescent="0.25">
      <c r="A236"/>
      <c r="B236"/>
      <c r="C236"/>
      <c r="D236"/>
      <c r="E236"/>
      <c r="F236"/>
      <c r="G236"/>
      <c r="H236"/>
      <c r="I236"/>
      <c r="J236"/>
      <c r="K236"/>
    </row>
    <row r="237" spans="1:11" x14ac:dyDescent="0.25">
      <c r="A237"/>
      <c r="B237"/>
      <c r="C237"/>
      <c r="D237"/>
      <c r="E237"/>
      <c r="F237"/>
      <c r="G237"/>
      <c r="H237"/>
      <c r="I237"/>
      <c r="J237"/>
      <c r="K237"/>
    </row>
    <row r="238" spans="1:11" x14ac:dyDescent="0.25">
      <c r="A238"/>
      <c r="B238"/>
      <c r="C238"/>
      <c r="D238"/>
      <c r="E238"/>
      <c r="F238"/>
      <c r="G238"/>
      <c r="H238"/>
      <c r="I238"/>
      <c r="J238"/>
      <c r="K238"/>
    </row>
    <row r="239" spans="1:11" x14ac:dyDescent="0.25">
      <c r="A239"/>
      <c r="B239"/>
      <c r="C239"/>
      <c r="D239"/>
      <c r="E239"/>
      <c r="F239"/>
      <c r="G239"/>
      <c r="H239"/>
      <c r="I239"/>
      <c r="J239"/>
      <c r="K239"/>
    </row>
    <row r="240" spans="1:11" x14ac:dyDescent="0.25">
      <c r="A240"/>
      <c r="B240"/>
      <c r="C240"/>
      <c r="D240"/>
      <c r="E240"/>
      <c r="F240"/>
      <c r="G240"/>
      <c r="H240"/>
      <c r="I240"/>
      <c r="J240"/>
      <c r="K240"/>
    </row>
    <row r="241" spans="1:11" x14ac:dyDescent="0.25">
      <c r="A241"/>
      <c r="B241"/>
      <c r="C241"/>
      <c r="D241"/>
      <c r="E241"/>
      <c r="F241"/>
      <c r="G241"/>
      <c r="H241"/>
      <c r="I241"/>
      <c r="J241"/>
      <c r="K241"/>
    </row>
    <row r="242" spans="1:11" x14ac:dyDescent="0.25">
      <c r="A242"/>
      <c r="B242"/>
      <c r="C242"/>
      <c r="D242"/>
      <c r="E242"/>
      <c r="F242"/>
      <c r="G242"/>
      <c r="H242"/>
      <c r="I242"/>
      <c r="J242"/>
      <c r="K242"/>
    </row>
    <row r="243" spans="1:11" x14ac:dyDescent="0.25">
      <c r="A243"/>
      <c r="B243"/>
      <c r="C243"/>
      <c r="D243"/>
      <c r="E243"/>
      <c r="F243"/>
      <c r="G243"/>
      <c r="H243"/>
      <c r="I243"/>
      <c r="J243"/>
      <c r="K243"/>
    </row>
    <row r="244" spans="1:11" x14ac:dyDescent="0.25">
      <c r="A244"/>
      <c r="B244"/>
      <c r="C244"/>
      <c r="D244"/>
      <c r="E244"/>
      <c r="F244"/>
      <c r="G244"/>
      <c r="H244"/>
      <c r="I244"/>
      <c r="J244"/>
      <c r="K244"/>
    </row>
    <row r="245" spans="1:11" x14ac:dyDescent="0.25">
      <c r="A245"/>
      <c r="B245"/>
      <c r="C245"/>
      <c r="D245"/>
      <c r="E245"/>
      <c r="F245"/>
      <c r="G245"/>
      <c r="H245"/>
      <c r="I245"/>
      <c r="J245"/>
      <c r="K245"/>
    </row>
    <row r="246" spans="1:11" x14ac:dyDescent="0.25">
      <c r="A246"/>
      <c r="B246"/>
      <c r="C246"/>
      <c r="D246"/>
      <c r="E246"/>
      <c r="F246"/>
      <c r="G246"/>
      <c r="H246"/>
      <c r="I246"/>
      <c r="J246"/>
      <c r="K246"/>
    </row>
    <row r="247" spans="1:11" x14ac:dyDescent="0.25">
      <c r="A247"/>
      <c r="B247"/>
      <c r="C247"/>
      <c r="D247"/>
      <c r="E247"/>
      <c r="F247"/>
      <c r="G247"/>
      <c r="H247"/>
      <c r="I247"/>
      <c r="J247"/>
      <c r="K247"/>
    </row>
    <row r="248" spans="1:11" x14ac:dyDescent="0.25">
      <c r="A248"/>
      <c r="B248"/>
      <c r="C248"/>
      <c r="D248"/>
      <c r="E248"/>
      <c r="F248"/>
      <c r="G248"/>
      <c r="H248"/>
      <c r="I248"/>
      <c r="J248"/>
      <c r="K248"/>
    </row>
    <row r="249" spans="1:11" x14ac:dyDescent="0.25">
      <c r="A249"/>
      <c r="B249"/>
      <c r="C249"/>
      <c r="D249"/>
      <c r="E249"/>
      <c r="F249"/>
      <c r="G249"/>
      <c r="H249"/>
      <c r="I249"/>
      <c r="J249"/>
      <c r="K249"/>
    </row>
    <row r="250" spans="1:11" x14ac:dyDescent="0.25">
      <c r="A250"/>
      <c r="B250"/>
      <c r="C250"/>
      <c r="D250"/>
      <c r="E250"/>
      <c r="F250"/>
      <c r="G250"/>
      <c r="H250"/>
      <c r="I250"/>
      <c r="J250"/>
      <c r="K250"/>
    </row>
    <row r="251" spans="1:11" x14ac:dyDescent="0.25">
      <c r="A251"/>
      <c r="B251"/>
      <c r="C251"/>
      <c r="D251"/>
      <c r="E251"/>
      <c r="F251"/>
      <c r="G251"/>
      <c r="H251"/>
      <c r="I251"/>
      <c r="J251"/>
      <c r="K251"/>
    </row>
    <row r="252" spans="1:11" x14ac:dyDescent="0.25">
      <c r="A252"/>
      <c r="B252"/>
      <c r="C252"/>
      <c r="D252"/>
      <c r="E252"/>
      <c r="F252"/>
      <c r="G252"/>
      <c r="H252"/>
      <c r="I252"/>
      <c r="J252"/>
      <c r="K252"/>
    </row>
    <row r="253" spans="1:11" x14ac:dyDescent="0.25">
      <c r="A253"/>
      <c r="B253"/>
      <c r="C253"/>
      <c r="D253"/>
      <c r="E253"/>
      <c r="F253"/>
      <c r="G253"/>
      <c r="H253"/>
      <c r="I253"/>
      <c r="J253"/>
      <c r="K253"/>
    </row>
    <row r="254" spans="1:11" x14ac:dyDescent="0.25">
      <c r="A254"/>
      <c r="B254"/>
      <c r="C254"/>
      <c r="D254"/>
      <c r="E254"/>
      <c r="F254"/>
      <c r="G254"/>
      <c r="H254"/>
      <c r="I254"/>
      <c r="J254"/>
      <c r="K254"/>
    </row>
    <row r="255" spans="1:11" x14ac:dyDescent="0.25">
      <c r="A255"/>
      <c r="B255"/>
      <c r="C255"/>
      <c r="D255"/>
      <c r="E255"/>
      <c r="F255"/>
      <c r="G255"/>
      <c r="H255"/>
      <c r="I255"/>
      <c r="J255"/>
      <c r="K255"/>
    </row>
    <row r="256" spans="1:11" x14ac:dyDescent="0.25">
      <c r="A256"/>
      <c r="B256"/>
      <c r="C256"/>
      <c r="D256"/>
      <c r="E256"/>
      <c r="F256"/>
      <c r="G256"/>
      <c r="H256"/>
      <c r="I256"/>
      <c r="J256"/>
      <c r="K256"/>
    </row>
    <row r="257" spans="1:11" x14ac:dyDescent="0.25">
      <c r="A257"/>
      <c r="B257"/>
      <c r="C257"/>
      <c r="D257"/>
      <c r="E257"/>
      <c r="F257"/>
      <c r="G257"/>
      <c r="H257"/>
      <c r="I257"/>
      <c r="J257"/>
      <c r="K257"/>
    </row>
    <row r="258" spans="1:11" x14ac:dyDescent="0.25">
      <c r="A258"/>
      <c r="B258"/>
      <c r="C258"/>
      <c r="D258"/>
      <c r="E258"/>
      <c r="F258"/>
      <c r="G258"/>
      <c r="H258"/>
      <c r="I258"/>
      <c r="J258"/>
      <c r="K258"/>
    </row>
    <row r="259" spans="1:11" x14ac:dyDescent="0.25">
      <c r="A259"/>
      <c r="B259"/>
      <c r="C259"/>
      <c r="D259"/>
      <c r="E259"/>
      <c r="F259"/>
      <c r="G259"/>
      <c r="H259"/>
      <c r="I259"/>
      <c r="J259"/>
      <c r="K259"/>
    </row>
    <row r="260" spans="1:11" x14ac:dyDescent="0.25">
      <c r="A260"/>
      <c r="B260"/>
      <c r="C260"/>
      <c r="D260"/>
      <c r="E260"/>
      <c r="F260"/>
      <c r="G260"/>
      <c r="H260"/>
      <c r="I260"/>
      <c r="J260"/>
      <c r="K260"/>
    </row>
    <row r="261" spans="1:11" x14ac:dyDescent="0.25">
      <c r="A261"/>
      <c r="B261"/>
      <c r="C261"/>
      <c r="D261"/>
      <c r="E261"/>
      <c r="F261"/>
      <c r="G261"/>
      <c r="H261"/>
      <c r="I261"/>
      <c r="J261"/>
      <c r="K261"/>
    </row>
    <row r="262" spans="1:11" x14ac:dyDescent="0.25">
      <c r="A262"/>
      <c r="B262"/>
      <c r="C262"/>
      <c r="D262"/>
      <c r="E262"/>
      <c r="F262"/>
      <c r="G262"/>
      <c r="H262"/>
      <c r="I262"/>
      <c r="J262"/>
      <c r="K262"/>
    </row>
    <row r="263" spans="1:11" x14ac:dyDescent="0.25">
      <c r="A263"/>
      <c r="B263"/>
      <c r="C263"/>
      <c r="D263"/>
      <c r="E263"/>
      <c r="F263"/>
      <c r="G263"/>
      <c r="H263"/>
      <c r="I263"/>
      <c r="J263"/>
      <c r="K263"/>
    </row>
    <row r="264" spans="1:11" x14ac:dyDescent="0.25">
      <c r="A264"/>
      <c r="B264"/>
      <c r="C264"/>
      <c r="D264"/>
      <c r="E264"/>
      <c r="F264"/>
      <c r="G264"/>
      <c r="H264"/>
      <c r="I264"/>
      <c r="J264"/>
      <c r="K264"/>
    </row>
    <row r="265" spans="1:11" x14ac:dyDescent="0.25">
      <c r="A265"/>
      <c r="B265"/>
      <c r="C265"/>
      <c r="D265"/>
      <c r="E265"/>
      <c r="F265"/>
      <c r="G265"/>
      <c r="H265"/>
      <c r="I265"/>
      <c r="J265"/>
      <c r="K265"/>
    </row>
    <row r="266" spans="1:11" x14ac:dyDescent="0.25">
      <c r="A266"/>
      <c r="B266"/>
      <c r="C266"/>
      <c r="D266"/>
      <c r="E266"/>
      <c r="F266"/>
      <c r="G266"/>
      <c r="H266"/>
      <c r="I266"/>
      <c r="J266"/>
      <c r="K266"/>
    </row>
    <row r="267" spans="1:11" x14ac:dyDescent="0.25">
      <c r="A267"/>
      <c r="B267"/>
      <c r="C267"/>
      <c r="D267"/>
      <c r="E267"/>
      <c r="F267"/>
      <c r="G267"/>
      <c r="H267"/>
      <c r="I267"/>
      <c r="J267"/>
      <c r="K267"/>
    </row>
    <row r="268" spans="1:11" x14ac:dyDescent="0.25">
      <c r="A268"/>
      <c r="B268"/>
      <c r="C268"/>
      <c r="D268"/>
      <c r="E268"/>
      <c r="F268"/>
      <c r="G268"/>
      <c r="H268"/>
      <c r="I268"/>
      <c r="J268"/>
      <c r="K268"/>
    </row>
    <row r="269" spans="1:11" x14ac:dyDescent="0.25">
      <c r="A269"/>
      <c r="B269"/>
      <c r="C269"/>
      <c r="D269"/>
      <c r="E269"/>
      <c r="F269"/>
      <c r="G269"/>
      <c r="H269"/>
      <c r="I269"/>
      <c r="J269"/>
      <c r="K269"/>
    </row>
    <row r="270" spans="1:11" x14ac:dyDescent="0.25">
      <c r="A270"/>
      <c r="B270"/>
      <c r="C270"/>
      <c r="D270"/>
      <c r="E270"/>
      <c r="F270"/>
      <c r="G270"/>
      <c r="H270"/>
      <c r="I270"/>
      <c r="J270"/>
      <c r="K270"/>
    </row>
    <row r="271" spans="1:11" x14ac:dyDescent="0.25">
      <c r="A271"/>
      <c r="B271"/>
      <c r="C271"/>
      <c r="D271"/>
      <c r="E271"/>
      <c r="F271"/>
      <c r="G271"/>
      <c r="H271"/>
      <c r="I271"/>
      <c r="J271"/>
      <c r="K271"/>
    </row>
    <row r="272" spans="1:11" x14ac:dyDescent="0.25">
      <c r="A272"/>
      <c r="B272"/>
      <c r="C272"/>
      <c r="D272"/>
      <c r="E272"/>
      <c r="F272"/>
      <c r="G272"/>
      <c r="H272"/>
      <c r="I272"/>
      <c r="J272"/>
      <c r="K272"/>
    </row>
    <row r="273" spans="1:11" x14ac:dyDescent="0.25">
      <c r="A273"/>
      <c r="B273"/>
      <c r="C273"/>
      <c r="D273"/>
      <c r="E273"/>
      <c r="F273"/>
      <c r="G273"/>
      <c r="H273"/>
      <c r="I273"/>
      <c r="J273"/>
      <c r="K273"/>
    </row>
    <row r="274" spans="1:11" x14ac:dyDescent="0.25">
      <c r="A274"/>
      <c r="B274"/>
      <c r="C274"/>
      <c r="D274"/>
      <c r="E274"/>
      <c r="F274"/>
      <c r="G274"/>
      <c r="H274"/>
      <c r="I274"/>
      <c r="J274"/>
      <c r="K274"/>
    </row>
    <row r="275" spans="1:11" x14ac:dyDescent="0.25">
      <c r="A275"/>
      <c r="B275"/>
      <c r="C275"/>
      <c r="D275"/>
      <c r="E275"/>
      <c r="F275"/>
      <c r="G275"/>
      <c r="H275"/>
      <c r="I275"/>
      <c r="J275"/>
      <c r="K275"/>
    </row>
    <row r="276" spans="1:11" x14ac:dyDescent="0.25">
      <c r="A276"/>
      <c r="B276"/>
      <c r="C276"/>
      <c r="D276"/>
      <c r="E276"/>
      <c r="F276"/>
      <c r="G276"/>
      <c r="H276"/>
      <c r="I276"/>
      <c r="J276"/>
      <c r="K276"/>
    </row>
    <row r="277" spans="1:11" x14ac:dyDescent="0.25">
      <c r="A277"/>
      <c r="B277"/>
      <c r="C277"/>
      <c r="D277"/>
      <c r="E277"/>
      <c r="F277"/>
      <c r="G277"/>
      <c r="H277"/>
      <c r="I277"/>
      <c r="J277"/>
      <c r="K277"/>
    </row>
    <row r="278" spans="1:11" x14ac:dyDescent="0.25">
      <c r="A278"/>
      <c r="B278"/>
      <c r="C278"/>
      <c r="D278"/>
      <c r="E278"/>
      <c r="F278"/>
      <c r="G278"/>
      <c r="H278"/>
      <c r="I278"/>
      <c r="J278"/>
      <c r="K278"/>
    </row>
    <row r="279" spans="1:11" x14ac:dyDescent="0.25">
      <c r="A279"/>
      <c r="B279"/>
      <c r="C279"/>
      <c r="D279"/>
      <c r="E279"/>
      <c r="F279"/>
      <c r="G279"/>
      <c r="H279"/>
      <c r="I279"/>
      <c r="J279"/>
      <c r="K279"/>
    </row>
    <row r="280" spans="1:11" x14ac:dyDescent="0.25">
      <c r="A280"/>
      <c r="B280"/>
      <c r="C280"/>
      <c r="D280"/>
      <c r="E280"/>
      <c r="F280"/>
      <c r="G280"/>
      <c r="H280"/>
      <c r="I280"/>
      <c r="J280"/>
      <c r="K280"/>
    </row>
    <row r="281" spans="1:11" x14ac:dyDescent="0.25">
      <c r="A281"/>
      <c r="B281"/>
      <c r="C281"/>
      <c r="D281"/>
      <c r="E281"/>
      <c r="F281"/>
      <c r="G281"/>
      <c r="H281"/>
      <c r="I281"/>
      <c r="J281"/>
      <c r="K281"/>
    </row>
    <row r="282" spans="1:11" x14ac:dyDescent="0.25">
      <c r="A282"/>
      <c r="B282"/>
      <c r="C282"/>
      <c r="D282"/>
      <c r="E282"/>
      <c r="F282"/>
      <c r="G282"/>
      <c r="H282"/>
      <c r="I282"/>
      <c r="J282"/>
      <c r="K282"/>
    </row>
    <row r="283" spans="1:11" x14ac:dyDescent="0.25">
      <c r="A283"/>
      <c r="B283"/>
      <c r="C283"/>
      <c r="D283"/>
      <c r="E283"/>
      <c r="F283"/>
      <c r="G283"/>
      <c r="H283"/>
      <c r="I283"/>
      <c r="J283"/>
      <c r="K283"/>
    </row>
    <row r="284" spans="1:11" x14ac:dyDescent="0.25">
      <c r="A284"/>
      <c r="B284"/>
      <c r="C284"/>
      <c r="D284"/>
      <c r="E284"/>
      <c r="F284"/>
      <c r="G284"/>
      <c r="H284"/>
      <c r="I284"/>
      <c r="J284"/>
      <c r="K284"/>
    </row>
    <row r="285" spans="1:11" x14ac:dyDescent="0.25">
      <c r="A285"/>
      <c r="B285"/>
      <c r="C285"/>
      <c r="D285"/>
      <c r="E285"/>
      <c r="F285"/>
      <c r="G285"/>
      <c r="H285"/>
      <c r="I285"/>
      <c r="J285"/>
      <c r="K285"/>
    </row>
    <row r="286" spans="1:11" x14ac:dyDescent="0.25">
      <c r="A286"/>
      <c r="B286"/>
      <c r="C286"/>
      <c r="D286"/>
      <c r="E286"/>
      <c r="F286"/>
      <c r="G286"/>
      <c r="H286"/>
      <c r="I286"/>
      <c r="J286"/>
      <c r="K286"/>
    </row>
    <row r="287" spans="1:11" x14ac:dyDescent="0.25">
      <c r="A287"/>
      <c r="B287"/>
      <c r="C287"/>
      <c r="D287"/>
      <c r="E287"/>
      <c r="F287"/>
      <c r="G287"/>
      <c r="H287"/>
      <c r="I287"/>
      <c r="J287"/>
      <c r="K287"/>
    </row>
    <row r="288" spans="1:11" x14ac:dyDescent="0.25">
      <c r="A288"/>
      <c r="B288"/>
      <c r="C288"/>
      <c r="D288"/>
      <c r="E288"/>
      <c r="F288"/>
      <c r="G288"/>
      <c r="H288"/>
      <c r="I288"/>
      <c r="J288"/>
      <c r="K288"/>
    </row>
    <row r="289" spans="1:11" x14ac:dyDescent="0.25">
      <c r="A289"/>
      <c r="B289"/>
      <c r="C289"/>
      <c r="D289"/>
      <c r="E289"/>
      <c r="F289"/>
      <c r="G289"/>
      <c r="H289"/>
      <c r="I289"/>
      <c r="J289"/>
      <c r="K289"/>
    </row>
    <row r="290" spans="1:11" x14ac:dyDescent="0.25">
      <c r="A290"/>
      <c r="B290"/>
      <c r="C290"/>
      <c r="D290"/>
      <c r="E290"/>
      <c r="F290"/>
      <c r="G290"/>
      <c r="H290"/>
      <c r="I290"/>
      <c r="J290"/>
      <c r="K290"/>
    </row>
    <row r="291" spans="1:11" x14ac:dyDescent="0.25">
      <c r="A291"/>
      <c r="B291"/>
      <c r="C291"/>
      <c r="D291"/>
      <c r="E291"/>
      <c r="F291"/>
      <c r="G291"/>
      <c r="H291"/>
      <c r="I291"/>
      <c r="J291"/>
      <c r="K291"/>
    </row>
    <row r="292" spans="1:11" x14ac:dyDescent="0.25">
      <c r="A292"/>
      <c r="B292"/>
      <c r="C292"/>
      <c r="D292"/>
      <c r="E292"/>
      <c r="F292"/>
      <c r="G292"/>
      <c r="H292"/>
      <c r="I292"/>
      <c r="J292"/>
      <c r="K292"/>
    </row>
    <row r="293" spans="1:11" x14ac:dyDescent="0.25">
      <c r="A293"/>
      <c r="B293"/>
      <c r="C293"/>
      <c r="D293"/>
      <c r="E293"/>
      <c r="F293"/>
      <c r="G293"/>
      <c r="H293"/>
      <c r="I293"/>
      <c r="J293"/>
      <c r="K293"/>
    </row>
    <row r="294" spans="1:11" x14ac:dyDescent="0.25">
      <c r="A294"/>
      <c r="B294"/>
      <c r="C294"/>
      <c r="D294"/>
      <c r="E294"/>
      <c r="F294"/>
      <c r="G294"/>
      <c r="H294"/>
      <c r="I294"/>
      <c r="J294"/>
      <c r="K294"/>
    </row>
    <row r="295" spans="1:11" x14ac:dyDescent="0.25">
      <c r="A295"/>
      <c r="B295"/>
      <c r="C295"/>
      <c r="D295"/>
      <c r="E295"/>
      <c r="F295"/>
      <c r="G295"/>
      <c r="H295"/>
      <c r="I295"/>
      <c r="J295"/>
      <c r="K295"/>
    </row>
    <row r="296" spans="1:11" x14ac:dyDescent="0.25">
      <c r="A296"/>
      <c r="B296"/>
      <c r="C296"/>
      <c r="D296"/>
      <c r="E296"/>
      <c r="F296"/>
      <c r="G296"/>
      <c r="H296"/>
      <c r="I296"/>
      <c r="J296"/>
      <c r="K296"/>
    </row>
    <row r="297" spans="1:11" x14ac:dyDescent="0.25">
      <c r="A297"/>
      <c r="B297"/>
      <c r="C297"/>
      <c r="D297"/>
      <c r="E297"/>
      <c r="F297"/>
      <c r="G297"/>
      <c r="H297"/>
      <c r="I297"/>
      <c r="J297"/>
      <c r="K297"/>
    </row>
    <row r="298" spans="1:11" x14ac:dyDescent="0.25">
      <c r="A298"/>
      <c r="B298"/>
      <c r="C298"/>
      <c r="D298"/>
      <c r="E298"/>
      <c r="F298"/>
      <c r="G298"/>
      <c r="H298"/>
      <c r="I298"/>
      <c r="J298"/>
      <c r="K298"/>
    </row>
    <row r="299" spans="1:11" x14ac:dyDescent="0.25">
      <c r="A299"/>
      <c r="B299"/>
      <c r="C299"/>
      <c r="D299"/>
      <c r="E299"/>
      <c r="F299"/>
      <c r="G299"/>
      <c r="H299"/>
      <c r="I299"/>
      <c r="J299"/>
      <c r="K299"/>
    </row>
    <row r="300" spans="1:11" x14ac:dyDescent="0.25">
      <c r="A300"/>
      <c r="B300"/>
      <c r="C300"/>
      <c r="D300"/>
      <c r="E300"/>
      <c r="F300"/>
      <c r="G300"/>
      <c r="H300"/>
      <c r="I300"/>
      <c r="J300"/>
      <c r="K300"/>
    </row>
    <row r="301" spans="1:11" x14ac:dyDescent="0.25">
      <c r="A301"/>
      <c r="B301"/>
      <c r="C301"/>
      <c r="D301"/>
      <c r="E301"/>
      <c r="F301"/>
      <c r="G301"/>
      <c r="H301"/>
      <c r="I301"/>
      <c r="J301"/>
      <c r="K301"/>
    </row>
    <row r="302" spans="1:11" x14ac:dyDescent="0.25">
      <c r="A302"/>
      <c r="B302"/>
      <c r="C302"/>
      <c r="D302"/>
      <c r="E302"/>
      <c r="F302"/>
      <c r="G302"/>
      <c r="H302"/>
      <c r="I302"/>
      <c r="J302"/>
      <c r="K302"/>
    </row>
    <row r="303" spans="1:11" x14ac:dyDescent="0.25">
      <c r="A303"/>
      <c r="B303"/>
      <c r="C303"/>
      <c r="D303"/>
      <c r="E303"/>
      <c r="F303"/>
      <c r="G303"/>
      <c r="H303"/>
      <c r="I303"/>
      <c r="J303"/>
      <c r="K303"/>
    </row>
    <row r="304" spans="1:11" x14ac:dyDescent="0.25">
      <c r="A304"/>
      <c r="B304"/>
      <c r="C304"/>
      <c r="D304"/>
      <c r="E304"/>
      <c r="F304"/>
      <c r="G304"/>
      <c r="H304"/>
      <c r="I304"/>
      <c r="J304"/>
      <c r="K304"/>
    </row>
    <row r="305" spans="1:11" x14ac:dyDescent="0.25">
      <c r="A305"/>
      <c r="B305"/>
      <c r="C305"/>
      <c r="D305"/>
      <c r="E305"/>
      <c r="F305"/>
      <c r="G305"/>
      <c r="H305"/>
      <c r="I305"/>
      <c r="J305"/>
      <c r="K305"/>
    </row>
    <row r="306" spans="1:11" x14ac:dyDescent="0.25">
      <c r="A306"/>
      <c r="B306"/>
      <c r="C306"/>
      <c r="D306"/>
      <c r="E306"/>
      <c r="F306"/>
      <c r="G306"/>
      <c r="H306"/>
      <c r="I306"/>
      <c r="J306"/>
      <c r="K306"/>
    </row>
    <row r="307" spans="1:11" x14ac:dyDescent="0.25">
      <c r="A307"/>
      <c r="B307"/>
      <c r="C307"/>
      <c r="D307"/>
      <c r="E307"/>
      <c r="F307"/>
      <c r="G307"/>
      <c r="H307"/>
      <c r="I307"/>
      <c r="J307"/>
      <c r="K307"/>
    </row>
    <row r="308" spans="1:11" x14ac:dyDescent="0.25">
      <c r="A308"/>
      <c r="B308"/>
      <c r="C308"/>
      <c r="D308"/>
      <c r="E308"/>
      <c r="F308"/>
      <c r="G308"/>
      <c r="H308"/>
      <c r="I308"/>
      <c r="J308"/>
      <c r="K308"/>
    </row>
    <row r="309" spans="1:11" x14ac:dyDescent="0.25">
      <c r="A309"/>
      <c r="B309"/>
      <c r="C309"/>
      <c r="D309"/>
      <c r="E309"/>
      <c r="F309"/>
      <c r="G309"/>
      <c r="H309"/>
      <c r="I309"/>
      <c r="J309"/>
      <c r="K309"/>
    </row>
    <row r="310" spans="1:11" x14ac:dyDescent="0.25">
      <c r="A310"/>
      <c r="B310"/>
      <c r="C310"/>
      <c r="D310"/>
      <c r="E310"/>
      <c r="F310"/>
      <c r="G310"/>
      <c r="H310"/>
      <c r="I310"/>
      <c r="J310"/>
      <c r="K310"/>
    </row>
    <row r="311" spans="1:11" x14ac:dyDescent="0.25">
      <c r="A311"/>
      <c r="B311"/>
      <c r="C311"/>
      <c r="D311"/>
      <c r="E311"/>
      <c r="F311"/>
      <c r="G311"/>
      <c r="H311"/>
      <c r="I311"/>
      <c r="J311"/>
      <c r="K311"/>
    </row>
    <row r="312" spans="1:11" x14ac:dyDescent="0.25">
      <c r="A312"/>
      <c r="B312"/>
      <c r="C312"/>
      <c r="D312"/>
      <c r="E312"/>
      <c r="F312"/>
      <c r="G312"/>
      <c r="H312"/>
      <c r="I312"/>
      <c r="J312"/>
      <c r="K312"/>
    </row>
    <row r="313" spans="1:11" x14ac:dyDescent="0.25">
      <c r="A313"/>
      <c r="B313"/>
      <c r="C313"/>
      <c r="D313"/>
      <c r="E313"/>
      <c r="F313"/>
      <c r="G313"/>
      <c r="H313"/>
      <c r="I313"/>
      <c r="J313"/>
      <c r="K313"/>
    </row>
    <row r="314" spans="1:11" x14ac:dyDescent="0.25">
      <c r="A314"/>
      <c r="B314"/>
      <c r="C314"/>
      <c r="D314"/>
      <c r="E314"/>
      <c r="F314"/>
      <c r="G314"/>
      <c r="H314"/>
      <c r="I314"/>
      <c r="J314"/>
      <c r="K314"/>
    </row>
    <row r="315" spans="1:11" x14ac:dyDescent="0.25">
      <c r="A315"/>
      <c r="B315"/>
      <c r="C315"/>
      <c r="D315"/>
      <c r="E315"/>
      <c r="F315"/>
      <c r="G315"/>
      <c r="H315"/>
      <c r="I315"/>
      <c r="J315"/>
      <c r="K315"/>
    </row>
    <row r="316" spans="1:11" x14ac:dyDescent="0.25">
      <c r="A316"/>
      <c r="B316"/>
      <c r="C316"/>
      <c r="D316"/>
      <c r="E316"/>
      <c r="F316"/>
      <c r="G316"/>
      <c r="H316"/>
      <c r="I316"/>
      <c r="J316"/>
      <c r="K316"/>
    </row>
    <row r="317" spans="1:11" x14ac:dyDescent="0.25">
      <c r="A317"/>
      <c r="B317"/>
      <c r="C317"/>
      <c r="D317"/>
      <c r="E317"/>
      <c r="F317"/>
      <c r="G317"/>
      <c r="H317"/>
      <c r="I317"/>
      <c r="J317"/>
      <c r="K317"/>
    </row>
    <row r="318" spans="1:11" x14ac:dyDescent="0.25">
      <c r="A318"/>
      <c r="B318"/>
      <c r="C318"/>
      <c r="D318"/>
      <c r="E318"/>
      <c r="F318"/>
      <c r="G318"/>
      <c r="H318"/>
      <c r="I318"/>
      <c r="J318"/>
      <c r="K318"/>
    </row>
    <row r="319" spans="1:11" x14ac:dyDescent="0.25">
      <c r="A319"/>
      <c r="B319"/>
      <c r="C319"/>
      <c r="D319"/>
      <c r="E319"/>
      <c r="F319"/>
      <c r="G319"/>
      <c r="H319"/>
      <c r="I319"/>
      <c r="J319"/>
      <c r="K319"/>
    </row>
    <row r="320" spans="1:11" x14ac:dyDescent="0.25">
      <c r="A320"/>
      <c r="B320"/>
      <c r="C320"/>
      <c r="D320"/>
      <c r="E320"/>
      <c r="F320"/>
      <c r="G320"/>
      <c r="H320"/>
      <c r="I320"/>
      <c r="J320"/>
      <c r="K320"/>
    </row>
    <row r="321" spans="1:11" x14ac:dyDescent="0.25">
      <c r="A321"/>
      <c r="B321"/>
      <c r="C321"/>
      <c r="D321"/>
      <c r="E321"/>
      <c r="F321"/>
      <c r="G321"/>
      <c r="H321"/>
      <c r="I321"/>
      <c r="J321"/>
      <c r="K321"/>
    </row>
    <row r="322" spans="1:11" x14ac:dyDescent="0.25">
      <c r="A322"/>
      <c r="B322"/>
      <c r="C322"/>
      <c r="D322"/>
      <c r="E322"/>
      <c r="F322"/>
      <c r="G322"/>
      <c r="H322"/>
      <c r="I322"/>
      <c r="J322"/>
      <c r="K322"/>
    </row>
    <row r="323" spans="1:11" x14ac:dyDescent="0.25">
      <c r="A323"/>
      <c r="B323"/>
      <c r="C323"/>
      <c r="D323"/>
      <c r="E323"/>
      <c r="F323"/>
      <c r="G323"/>
      <c r="H323"/>
      <c r="I323"/>
      <c r="J323"/>
      <c r="K323"/>
    </row>
    <row r="324" spans="1:11" x14ac:dyDescent="0.25">
      <c r="A324"/>
      <c r="B324"/>
      <c r="C324"/>
      <c r="D324"/>
      <c r="E324"/>
      <c r="F324"/>
      <c r="G324"/>
      <c r="H324"/>
      <c r="I324"/>
      <c r="J324"/>
      <c r="K324"/>
    </row>
    <row r="325" spans="1:11" x14ac:dyDescent="0.25">
      <c r="A325"/>
      <c r="B325"/>
      <c r="C325"/>
      <c r="D325"/>
      <c r="E325"/>
      <c r="F325"/>
      <c r="G325"/>
      <c r="H325"/>
      <c r="I325"/>
      <c r="J325"/>
      <c r="K325"/>
    </row>
    <row r="326" spans="1:11" x14ac:dyDescent="0.25">
      <c r="A326"/>
      <c r="B326"/>
      <c r="C326"/>
      <c r="D326"/>
      <c r="E326"/>
      <c r="F326"/>
      <c r="G326"/>
      <c r="H326"/>
      <c r="I326"/>
      <c r="J326"/>
      <c r="K326"/>
    </row>
    <row r="327" spans="1:11" x14ac:dyDescent="0.25">
      <c r="A327"/>
      <c r="B327"/>
      <c r="C327"/>
      <c r="D327"/>
      <c r="E327"/>
      <c r="F327"/>
      <c r="G327"/>
      <c r="H327"/>
      <c r="I327"/>
      <c r="J327"/>
      <c r="K327"/>
    </row>
    <row r="328" spans="1:11" x14ac:dyDescent="0.25">
      <c r="A328"/>
      <c r="B328"/>
      <c r="C328"/>
      <c r="D328"/>
      <c r="E328"/>
      <c r="F328"/>
      <c r="G328"/>
      <c r="H328"/>
      <c r="I328"/>
      <c r="J328"/>
      <c r="K328"/>
    </row>
    <row r="329" spans="1:11" x14ac:dyDescent="0.25">
      <c r="A329"/>
      <c r="B329"/>
      <c r="C329"/>
      <c r="D329"/>
      <c r="E329"/>
      <c r="F329"/>
      <c r="G329"/>
      <c r="H329"/>
      <c r="I329"/>
      <c r="J329"/>
      <c r="K329"/>
    </row>
    <row r="330" spans="1:11" x14ac:dyDescent="0.25">
      <c r="A330"/>
      <c r="B330"/>
      <c r="C330"/>
      <c r="D330"/>
      <c r="E330"/>
      <c r="F330"/>
      <c r="G330"/>
      <c r="H330"/>
      <c r="I330"/>
      <c r="J330"/>
      <c r="K330"/>
    </row>
    <row r="331" spans="1:11" x14ac:dyDescent="0.25">
      <c r="A331"/>
      <c r="B331"/>
      <c r="C331"/>
      <c r="D331"/>
      <c r="E331"/>
      <c r="F331"/>
      <c r="G331"/>
      <c r="H331"/>
      <c r="I331"/>
      <c r="J331"/>
      <c r="K331"/>
    </row>
    <row r="332" spans="1:11" x14ac:dyDescent="0.25">
      <c r="A332"/>
      <c r="B332"/>
      <c r="C332"/>
      <c r="D332"/>
      <c r="E332"/>
      <c r="F332"/>
      <c r="G332"/>
      <c r="H332"/>
      <c r="I332"/>
      <c r="J332"/>
      <c r="K332"/>
    </row>
    <row r="333" spans="1:11" x14ac:dyDescent="0.25">
      <c r="A333"/>
      <c r="B333"/>
      <c r="C333"/>
      <c r="D333"/>
      <c r="E333"/>
      <c r="F333"/>
      <c r="G333"/>
      <c r="H333"/>
      <c r="I333"/>
      <c r="J333"/>
      <c r="K333"/>
    </row>
    <row r="334" spans="1:11" x14ac:dyDescent="0.25">
      <c r="A334"/>
      <c r="B334"/>
      <c r="C334"/>
      <c r="D334"/>
      <c r="E334"/>
      <c r="F334"/>
      <c r="G334"/>
      <c r="H334"/>
      <c r="I334"/>
      <c r="J334"/>
      <c r="K334"/>
    </row>
    <row r="335" spans="1:11" x14ac:dyDescent="0.25">
      <c r="A335"/>
      <c r="B335"/>
      <c r="C335"/>
      <c r="D335"/>
      <c r="E335"/>
      <c r="F335"/>
      <c r="G335"/>
      <c r="H335"/>
      <c r="I335"/>
      <c r="J335"/>
      <c r="K335"/>
    </row>
    <row r="336" spans="1:11" x14ac:dyDescent="0.25">
      <c r="A336"/>
      <c r="B336"/>
      <c r="C336"/>
      <c r="D336"/>
      <c r="E336"/>
      <c r="F336"/>
      <c r="G336"/>
      <c r="H336"/>
      <c r="I336"/>
      <c r="J336"/>
      <c r="K336"/>
    </row>
    <row r="337" spans="1:11" x14ac:dyDescent="0.25">
      <c r="A337"/>
      <c r="B337"/>
      <c r="C337"/>
      <c r="D337"/>
      <c r="E337"/>
      <c r="F337"/>
      <c r="G337"/>
      <c r="H337"/>
      <c r="I337"/>
      <c r="J337"/>
      <c r="K337"/>
    </row>
    <row r="338" spans="1:11" x14ac:dyDescent="0.25">
      <c r="A338"/>
      <c r="B338"/>
      <c r="C338"/>
      <c r="D338"/>
      <c r="E338"/>
      <c r="F338"/>
      <c r="G338"/>
      <c r="H338"/>
      <c r="I338"/>
      <c r="J338"/>
      <c r="K338"/>
    </row>
    <row r="339" spans="1:11" x14ac:dyDescent="0.25">
      <c r="A339"/>
      <c r="B339"/>
      <c r="C339"/>
      <c r="D339"/>
      <c r="E339"/>
      <c r="F339"/>
      <c r="G339"/>
      <c r="H339"/>
      <c r="I339"/>
      <c r="J339"/>
      <c r="K339"/>
    </row>
    <row r="340" spans="1:11" x14ac:dyDescent="0.25">
      <c r="A340"/>
      <c r="B340"/>
      <c r="C340"/>
      <c r="D340"/>
      <c r="E340"/>
      <c r="F340"/>
      <c r="G340"/>
      <c r="H340"/>
      <c r="I340"/>
      <c r="J340"/>
      <c r="K340"/>
    </row>
    <row r="341" spans="1:11" x14ac:dyDescent="0.25">
      <c r="A341"/>
      <c r="B341"/>
      <c r="C341"/>
      <c r="D341"/>
      <c r="E341"/>
      <c r="F341"/>
      <c r="G341"/>
      <c r="H341"/>
      <c r="I341"/>
      <c r="J341"/>
      <c r="K341"/>
    </row>
    <row r="342" spans="1:11" x14ac:dyDescent="0.25">
      <c r="A342"/>
      <c r="B342"/>
      <c r="C342"/>
      <c r="D342"/>
      <c r="E342"/>
      <c r="F342"/>
      <c r="G342"/>
      <c r="H342"/>
      <c r="I342"/>
      <c r="J342"/>
      <c r="K342"/>
    </row>
    <row r="343" spans="1:11" x14ac:dyDescent="0.25">
      <c r="A343"/>
      <c r="B343"/>
      <c r="C343"/>
      <c r="D343"/>
      <c r="E343"/>
      <c r="F343"/>
      <c r="G343"/>
      <c r="H343"/>
      <c r="I343"/>
      <c r="J343"/>
      <c r="K343"/>
    </row>
    <row r="344" spans="1:11" x14ac:dyDescent="0.25">
      <c r="A344"/>
      <c r="B344"/>
      <c r="C344"/>
      <c r="D344"/>
      <c r="E344"/>
      <c r="F344"/>
      <c r="G344"/>
      <c r="H344"/>
      <c r="I344"/>
      <c r="J344"/>
      <c r="K344"/>
    </row>
    <row r="345" spans="1:11" x14ac:dyDescent="0.25">
      <c r="A345"/>
      <c r="B345"/>
      <c r="C345"/>
      <c r="D345"/>
      <c r="E345"/>
      <c r="F345"/>
      <c r="G345"/>
      <c r="H345"/>
      <c r="I345"/>
      <c r="J345"/>
      <c r="K345"/>
    </row>
    <row r="346" spans="1:11" x14ac:dyDescent="0.25">
      <c r="A346"/>
      <c r="B346"/>
      <c r="C346"/>
      <c r="D346"/>
      <c r="E346"/>
      <c r="F346"/>
      <c r="G346"/>
      <c r="H346"/>
      <c r="I346"/>
      <c r="J346"/>
      <c r="K346"/>
    </row>
    <row r="347" spans="1:11" x14ac:dyDescent="0.25">
      <c r="A347"/>
      <c r="B347"/>
      <c r="C347"/>
      <c r="D347"/>
      <c r="E347"/>
      <c r="F347"/>
      <c r="G347"/>
      <c r="H347"/>
      <c r="I347"/>
      <c r="J347"/>
      <c r="K347"/>
    </row>
    <row r="348" spans="1:11" x14ac:dyDescent="0.25">
      <c r="A348"/>
      <c r="B348"/>
      <c r="C348"/>
      <c r="D348"/>
      <c r="E348"/>
      <c r="F348"/>
      <c r="G348"/>
      <c r="H348"/>
      <c r="I348"/>
      <c r="J348"/>
      <c r="K348"/>
    </row>
    <row r="349" spans="1:11" x14ac:dyDescent="0.25">
      <c r="A349"/>
      <c r="B349"/>
      <c r="C349"/>
      <c r="D349"/>
      <c r="E349"/>
      <c r="F349"/>
      <c r="G349"/>
      <c r="H349"/>
      <c r="I349"/>
      <c r="J349"/>
      <c r="K349"/>
    </row>
    <row r="350" spans="1:11" x14ac:dyDescent="0.25">
      <c r="A350"/>
      <c r="B350"/>
      <c r="C350"/>
      <c r="D350"/>
      <c r="E350"/>
      <c r="F350"/>
      <c r="G350"/>
      <c r="H350"/>
      <c r="I350"/>
      <c r="J350"/>
      <c r="K350"/>
    </row>
    <row r="351" spans="1:11" x14ac:dyDescent="0.25">
      <c r="A351"/>
      <c r="B351"/>
      <c r="C351"/>
      <c r="D351"/>
      <c r="E351"/>
      <c r="F351"/>
      <c r="G351"/>
      <c r="H351"/>
      <c r="I351"/>
      <c r="J351"/>
      <c r="K351"/>
    </row>
    <row r="352" spans="1:11" x14ac:dyDescent="0.25">
      <c r="A352"/>
      <c r="B352"/>
      <c r="C352"/>
      <c r="D352"/>
      <c r="E352"/>
      <c r="F352"/>
      <c r="G352"/>
      <c r="H352"/>
      <c r="I352"/>
      <c r="J352"/>
      <c r="K352"/>
    </row>
    <row r="353" spans="1:11" x14ac:dyDescent="0.25">
      <c r="A353"/>
      <c r="B353"/>
      <c r="C353"/>
      <c r="D353"/>
      <c r="E353"/>
      <c r="F353"/>
      <c r="G353"/>
      <c r="H353"/>
      <c r="I353"/>
      <c r="J353"/>
      <c r="K353"/>
    </row>
    <row r="354" spans="1:11" x14ac:dyDescent="0.25">
      <c r="A354"/>
      <c r="B354"/>
      <c r="C354"/>
      <c r="D354"/>
      <c r="E354"/>
      <c r="F354"/>
      <c r="G354"/>
      <c r="H354"/>
      <c r="I354"/>
      <c r="J354"/>
      <c r="K354"/>
    </row>
    <row r="355" spans="1:11" x14ac:dyDescent="0.25">
      <c r="A355"/>
      <c r="B355"/>
      <c r="C355"/>
      <c r="D355"/>
      <c r="E355"/>
      <c r="F355"/>
      <c r="G355"/>
      <c r="H355"/>
      <c r="I355"/>
      <c r="J355"/>
      <c r="K355"/>
    </row>
    <row r="356" spans="1:11" x14ac:dyDescent="0.25">
      <c r="A356"/>
      <c r="B356"/>
      <c r="C356"/>
      <c r="D356"/>
      <c r="E356"/>
      <c r="F356"/>
      <c r="G356"/>
      <c r="H356"/>
      <c r="I356"/>
      <c r="J356"/>
      <c r="K356"/>
    </row>
    <row r="357" spans="1:11" x14ac:dyDescent="0.25">
      <c r="A357"/>
      <c r="B357"/>
      <c r="C357"/>
      <c r="D357"/>
      <c r="E357"/>
      <c r="F357"/>
      <c r="G357"/>
      <c r="H357"/>
      <c r="I357"/>
      <c r="J357"/>
      <c r="K357"/>
    </row>
    <row r="358" spans="1:11" x14ac:dyDescent="0.25">
      <c r="A358"/>
      <c r="B358"/>
      <c r="C358"/>
      <c r="D358"/>
      <c r="E358"/>
      <c r="F358"/>
      <c r="G358"/>
      <c r="H358"/>
      <c r="I358"/>
      <c r="J358"/>
      <c r="K358"/>
    </row>
    <row r="359" spans="1:11" x14ac:dyDescent="0.25">
      <c r="A359"/>
      <c r="B359"/>
      <c r="C359"/>
      <c r="D359"/>
      <c r="E359"/>
      <c r="F359"/>
      <c r="G359"/>
      <c r="H359"/>
      <c r="I359"/>
      <c r="J359"/>
      <c r="K359"/>
    </row>
    <row r="360" spans="1:11" x14ac:dyDescent="0.25">
      <c r="A360"/>
      <c r="B360"/>
      <c r="C360"/>
      <c r="D360"/>
      <c r="E360"/>
      <c r="F360"/>
      <c r="G360"/>
      <c r="H360"/>
      <c r="I360"/>
      <c r="J360"/>
      <c r="K360"/>
    </row>
    <row r="361" spans="1:11" x14ac:dyDescent="0.25">
      <c r="A361"/>
      <c r="B361"/>
      <c r="C361"/>
      <c r="D361"/>
      <c r="E361"/>
      <c r="F361"/>
      <c r="G361"/>
      <c r="H361"/>
      <c r="I361"/>
      <c r="J361"/>
      <c r="K361"/>
    </row>
    <row r="362" spans="1:11" x14ac:dyDescent="0.25">
      <c r="A362"/>
      <c r="B362"/>
      <c r="C362"/>
      <c r="D362"/>
      <c r="E362"/>
      <c r="F362"/>
      <c r="G362"/>
      <c r="H362"/>
      <c r="I362"/>
      <c r="J362"/>
      <c r="K362"/>
    </row>
  </sheetData>
  <dataConsolidate/>
  <dataValidations count="14">
    <dataValidation allowBlank="1" errorTitle="Invalid Edge Visibility" error="The optional edge visibility must be Yes, Y, True, T, Always, 1, or empty to make the edge visible; or No, N, False, F, Never, or 0 to hide the edge.  Try selecting from the drop-down list instead." sqref="K3:K178" xr:uid="{E7701D5E-A412-4B3E-9B30-B4E6123EDBF2}"/>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78" xr:uid="{E76F3911-E764-44D1-8E11-E7F43298EDCA}">
      <formula1>ValidEdgeStyles</formula1>
    </dataValidation>
    <dataValidation allowBlank="1" showInputMessage="1" showErrorMessage="1" errorTitle="Invalid Edge Visibility" error="You have entered an unrecognized edge visibility.  Try selecting from the drop-down list instead." promptTitle="Edge Label" prompt="Enter an optional edge label." sqref="H3:H178" xr:uid="{32E616ED-955E-4432-9D94-2A6E8081745C}"/>
    <dataValidation allowBlank="1" showInputMessage="1" showErrorMessage="1" promptTitle="Vertex 2 Name" prompt="Enter the name of the edge's second vertex." sqref="B3:B178" xr:uid="{B378487E-3971-441E-B37B-5B30BB58C60B}"/>
    <dataValidation allowBlank="1" showInputMessage="1" showErrorMessage="1" promptTitle="Vertex 1 Name" prompt="Enter the name of the edge's first vertex." sqref="A3:A178" xr:uid="{2760BFDD-0230-464C-A19D-A3E2F8EFA01A}"/>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78" xr:uid="{421A1095-8122-41F4-ACFF-2444E4ECC157}">
      <formula1>ValidEdgeVisibilities</formula1>
    </dataValidation>
    <dataValidation allowBlank="1" showInputMessage="1" errorTitle="Invalid Edge Opacity" error="The optional edge opacity must be a whole number between 0 and 10." promptTitle="Edge Opacity" prompt="Enter an optional edge opacity between 0 (transparent) and 100 (opaque)." sqref="F3:F178" xr:uid="{8C2A3EBE-3D97-4F04-92A4-99D7D2C2DD70}"/>
    <dataValidation allowBlank="1" showInputMessage="1" errorTitle="Invalid Edge Width" error="The optional edge width must be a whole number between 1 and 10." promptTitle="Edge Width" prompt="Enter an optional edge width between 1 and 10." sqref="D3:D178" xr:uid="{25619081-1A28-4CB2-8BA1-425A248F57E7}"/>
    <dataValidation allowBlank="1" showInputMessage="1" promptTitle="Edge Color" prompt="To select an optional edge color, right-click and select Select Color on the right-click menu." sqref="C3:C178" xr:uid="{593DD2BB-2F0C-48F9-8A7C-987C53821EB6}"/>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78" xr:uid="{BF9FC57C-CDC1-49CA-A195-875E245459CD}"/>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78" xr:uid="{58605444-7A28-4826-9860-7006D14B190C}"/>
    <dataValidation allowBlank="1" showErrorMessage="1" sqref="N2:N178" xr:uid="{D10F813A-6D5F-48E0-BA7C-BC041AA82CB9}"/>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78" xr:uid="{04936085-7190-4241-9EA6-ADC40B891216}"/>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78" xr:uid="{796E1402-E090-4757-9CCA-8FE9231590A8}"/>
  </dataValidations>
  <pageMargins left="0.7" right="0.7" top="0.75" bottom="0.75" header="0.3" footer="0.3"/>
  <pageSetup orientation="portrait" verticalDpi="0"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19503B27-3954-47A4-9397-6A1A406C926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14</vt:i4>
      </vt:variant>
    </vt:vector>
  </HeadingPairs>
  <TitlesOfParts>
    <vt:vector size="26" baseType="lpstr">
      <vt:lpstr>Edges</vt:lpstr>
      <vt:lpstr>Vertices</vt:lpstr>
      <vt:lpstr>Do Not Delete</vt:lpstr>
      <vt:lpstr>Groups</vt:lpstr>
      <vt:lpstr>Group Vertices</vt:lpstr>
      <vt:lpstr>Overall Metrics</vt:lpstr>
      <vt:lpstr>Misc</vt:lpstr>
      <vt:lpstr>Group Edges</vt:lpstr>
      <vt:lpstr>Time Series Edges</vt:lpstr>
      <vt:lpstr>Export Options</vt:lpstr>
      <vt:lpstr>Time Series</vt:lpstr>
      <vt:lpstr>Twitter Search Ntwrk Top Items</vt:lpstr>
      <vt:lpstr>BinDivisor</vt:lpstr>
      <vt:lpstr>'Time Series Edges'!DynamicFilterForceCalculationRange</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DefaultProfileUser</dc:creator>
  <cp:lastModifiedBy>DefaultProfileUser</cp:lastModifiedBy>
  <dcterms:created xsi:type="dcterms:W3CDTF">2008-01-30T00:41:58Z</dcterms:created>
  <dcterms:modified xsi:type="dcterms:W3CDTF">2021-08-10T20:49:20Z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