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7965" tabRatio="770" activeTab="8"/>
  </bookViews>
  <sheets>
    <sheet name="OP_CODES" sheetId="1" r:id="rId1"/>
    <sheet name="Validating JMP" sheetId="3" r:id="rId2"/>
    <sheet name="Validating JSR,RTS" sheetId="4" r:id="rId3"/>
    <sheet name="Validating BEQ" sheetId="5" r:id="rId4"/>
    <sheet name="Register File Table" sheetId="6" r:id="rId5"/>
    <sheet name="MEMORY Table" sheetId="7" r:id="rId6"/>
    <sheet name="Copyable Test Set Format" sheetId="8" r:id="rId7"/>
    <sheet name="Whole Processor Validation Key" sheetId="2" r:id="rId8"/>
    <sheet name="Phase3 Debugging Test Scripts" sheetId="9" r:id="rId9"/>
    <sheet name="Pseudocode Test Script Phase#2" sheetId="10" r:id="rId10"/>
  </sheets>
  <calcPr calcId="145621" iterateDelta="1E-4"/>
</workbook>
</file>

<file path=xl/calcChain.xml><?xml version="1.0" encoding="utf-8"?>
<calcChain xmlns="http://schemas.openxmlformats.org/spreadsheetml/2006/main">
  <c r="M68" i="2" l="1"/>
  <c r="M69" i="2" s="1"/>
  <c r="M70" i="2" s="1"/>
  <c r="M67" i="2"/>
  <c r="B68" i="2"/>
  <c r="B67" i="2"/>
  <c r="B71" i="9"/>
  <c r="B69" i="9"/>
  <c r="B91" i="9"/>
  <c r="B89" i="9"/>
  <c r="B66" i="10"/>
  <c r="A64" i="10"/>
  <c r="B62" i="10"/>
  <c r="B60" i="10"/>
  <c r="A58" i="10"/>
  <c r="B56" i="10"/>
  <c r="A54" i="10"/>
  <c r="B52" i="10"/>
  <c r="B48" i="10"/>
  <c r="AA36" i="10"/>
  <c r="N36" i="10"/>
  <c r="Z35" i="10"/>
  <c r="Z36" i="10" s="1"/>
  <c r="N35" i="10"/>
  <c r="N34" i="10"/>
  <c r="N33" i="10"/>
  <c r="N32" i="10"/>
  <c r="V31" i="10"/>
  <c r="V32" i="10" s="1"/>
  <c r="V33" i="10" s="1"/>
  <c r="V34" i="10" s="1"/>
  <c r="V35" i="10" s="1"/>
  <c r="V36" i="10" s="1"/>
  <c r="N31" i="10"/>
  <c r="U30" i="10"/>
  <c r="N30" i="10"/>
  <c r="T29" i="10"/>
  <c r="N29" i="10"/>
  <c r="S28" i="10"/>
  <c r="N28" i="10"/>
  <c r="N27" i="10"/>
  <c r="N26" i="10"/>
  <c r="N25" i="10"/>
  <c r="N24" i="10"/>
  <c r="D24" i="10"/>
  <c r="N23" i="10"/>
  <c r="N22" i="10"/>
  <c r="N21" i="10"/>
  <c r="AA18" i="10"/>
  <c r="J18" i="10"/>
  <c r="H18" i="10"/>
  <c r="E36" i="10" s="1"/>
  <c r="F18" i="10"/>
  <c r="D36" i="10" s="1"/>
  <c r="D18" i="10"/>
  <c r="C36" i="10" s="1"/>
  <c r="Z17" i="10"/>
  <c r="Z18" i="10" s="1"/>
  <c r="J17" i="10"/>
  <c r="H17" i="10"/>
  <c r="E35" i="10" s="1"/>
  <c r="F17" i="10"/>
  <c r="D35" i="10" s="1"/>
  <c r="D17" i="10"/>
  <c r="C35" i="10" s="1"/>
  <c r="Y16" i="10"/>
  <c r="Y17" i="10" s="1"/>
  <c r="X16" i="10"/>
  <c r="X17" i="10" s="1"/>
  <c r="X18" i="10" s="1"/>
  <c r="J16" i="10"/>
  <c r="H16" i="10"/>
  <c r="E34" i="10" s="1"/>
  <c r="F16" i="10"/>
  <c r="D34" i="10" s="1"/>
  <c r="D16" i="10"/>
  <c r="C34" i="10" s="1"/>
  <c r="X15" i="10"/>
  <c r="X33" i="10" s="1"/>
  <c r="X34" i="10" s="1"/>
  <c r="X35" i="10" s="1"/>
  <c r="X36" i="10" s="1"/>
  <c r="V15" i="10"/>
  <c r="V16" i="10" s="1"/>
  <c r="V17" i="10" s="1"/>
  <c r="V18" i="10" s="1"/>
  <c r="J15" i="10"/>
  <c r="H15" i="10"/>
  <c r="E33" i="10" s="1"/>
  <c r="F15" i="10"/>
  <c r="D33" i="10" s="1"/>
  <c r="D15" i="10"/>
  <c r="M15" i="10" s="1"/>
  <c r="W14" i="10"/>
  <c r="W32" i="10" s="1"/>
  <c r="W33" i="10" s="1"/>
  <c r="W34" i="10" s="1"/>
  <c r="W35" i="10" s="1"/>
  <c r="W36" i="10" s="1"/>
  <c r="V14" i="10"/>
  <c r="J14" i="10"/>
  <c r="H14" i="10"/>
  <c r="E32" i="10" s="1"/>
  <c r="F14" i="10"/>
  <c r="D32" i="10" s="1"/>
  <c r="D14" i="10"/>
  <c r="C32" i="10" s="1"/>
  <c r="U13" i="10"/>
  <c r="U14" i="10" s="1"/>
  <c r="J13" i="10"/>
  <c r="H13" i="10"/>
  <c r="E31" i="10" s="1"/>
  <c r="F13" i="10"/>
  <c r="D31" i="10" s="1"/>
  <c r="D13" i="10"/>
  <c r="C31" i="10" s="1"/>
  <c r="T12" i="10"/>
  <c r="T30" i="10" s="1"/>
  <c r="S12" i="10"/>
  <c r="S30" i="10" s="1"/>
  <c r="J12" i="10"/>
  <c r="H12" i="10"/>
  <c r="E30" i="10" s="1"/>
  <c r="F12" i="10"/>
  <c r="D30" i="10" s="1"/>
  <c r="D12" i="10"/>
  <c r="C30" i="10" s="1"/>
  <c r="S11" i="10"/>
  <c r="S29" i="10" s="1"/>
  <c r="J11" i="10"/>
  <c r="H11" i="10"/>
  <c r="E29" i="10" s="1"/>
  <c r="F11" i="10"/>
  <c r="D29" i="10" s="1"/>
  <c r="D11" i="10"/>
  <c r="C29" i="10" s="1"/>
  <c r="J10" i="10"/>
  <c r="H10" i="10"/>
  <c r="E28" i="10" s="1"/>
  <c r="F10" i="10"/>
  <c r="D28" i="10" s="1"/>
  <c r="D10" i="10"/>
  <c r="C28" i="10" s="1"/>
  <c r="J9" i="10"/>
  <c r="H9" i="10"/>
  <c r="E27" i="10" s="1"/>
  <c r="F9" i="10"/>
  <c r="D27" i="10" s="1"/>
  <c r="D9" i="10"/>
  <c r="C27" i="10" s="1"/>
  <c r="P8" i="10"/>
  <c r="P26" i="10" s="1"/>
  <c r="J8" i="10"/>
  <c r="H8" i="10"/>
  <c r="E26" i="10" s="1"/>
  <c r="F8" i="10"/>
  <c r="D26" i="10" s="1"/>
  <c r="D8" i="10"/>
  <c r="C26" i="10" s="1"/>
  <c r="P7" i="10"/>
  <c r="P25" i="10" s="1"/>
  <c r="J7" i="10"/>
  <c r="H7" i="10"/>
  <c r="E25" i="10" s="1"/>
  <c r="F7" i="10"/>
  <c r="D25" i="10" s="1"/>
  <c r="D7" i="10"/>
  <c r="M7" i="10" s="1"/>
  <c r="P6" i="10"/>
  <c r="L6" i="10"/>
  <c r="K6" i="10"/>
  <c r="J6" i="10"/>
  <c r="F24" i="10" s="1"/>
  <c r="H6" i="10"/>
  <c r="E24" i="10" s="1"/>
  <c r="D6" i="10"/>
  <c r="C24" i="10" s="1"/>
  <c r="O5" i="10"/>
  <c r="O6" i="10" s="1"/>
  <c r="L5" i="10"/>
  <c r="K5" i="10"/>
  <c r="G23" i="10" s="1"/>
  <c r="J5" i="10"/>
  <c r="F23" i="10" s="1"/>
  <c r="H5" i="10"/>
  <c r="E23" i="10" s="1"/>
  <c r="D5" i="10"/>
  <c r="M5" i="10" s="1"/>
  <c r="L4" i="10"/>
  <c r="K4" i="10"/>
  <c r="G22" i="10" s="1"/>
  <c r="J4" i="10"/>
  <c r="F22" i="10" s="1"/>
  <c r="H4" i="10"/>
  <c r="E22" i="10" s="1"/>
  <c r="D4" i="10"/>
  <c r="C22" i="10" s="1"/>
  <c r="J3" i="10"/>
  <c r="H3" i="10"/>
  <c r="E21" i="10" s="1"/>
  <c r="F3" i="10"/>
  <c r="D21" i="10" s="1"/>
  <c r="D3" i="10"/>
  <c r="C21" i="10" s="1"/>
  <c r="D7" i="8"/>
  <c r="A7" i="8"/>
  <c r="L5" i="8"/>
  <c r="K5" i="8"/>
  <c r="D7" i="5"/>
  <c r="A7" i="5"/>
  <c r="L5" i="5"/>
  <c r="K5" i="5"/>
  <c r="D7" i="4"/>
  <c r="A7" i="4"/>
  <c r="L5" i="4"/>
  <c r="K5" i="4"/>
  <c r="D7" i="3"/>
  <c r="A7" i="3"/>
  <c r="L5" i="3"/>
  <c r="K5" i="3"/>
  <c r="P78" i="2"/>
  <c r="M78" i="2"/>
  <c r="M79" i="2" s="1"/>
  <c r="M80" i="2" s="1"/>
  <c r="L78" i="2"/>
  <c r="D78" i="2"/>
  <c r="B78" i="2"/>
  <c r="A78" i="2"/>
  <c r="R77" i="2"/>
  <c r="R78" i="2" s="1"/>
  <c r="Q77" i="2"/>
  <c r="Q78" i="2" s="1"/>
  <c r="P77" i="2"/>
  <c r="M77" i="2"/>
  <c r="L77" i="2"/>
  <c r="D77" i="2"/>
  <c r="B77" i="2"/>
  <c r="A77" i="2"/>
  <c r="M74" i="2"/>
  <c r="M75" i="2" s="1"/>
  <c r="M76" i="2" s="1"/>
  <c r="M73" i="2"/>
  <c r="L73" i="2"/>
  <c r="D73" i="2"/>
  <c r="B73" i="2"/>
  <c r="A73" i="2"/>
  <c r="P72" i="2"/>
  <c r="M72" i="2"/>
  <c r="L72" i="2"/>
  <c r="D72" i="2"/>
  <c r="B72" i="2"/>
  <c r="A72" i="2"/>
  <c r="R71" i="2"/>
  <c r="R72" i="2" s="1"/>
  <c r="R73" i="2" s="1"/>
  <c r="Q71" i="2"/>
  <c r="Q72" i="2" s="1"/>
  <c r="Q73" i="2" s="1"/>
  <c r="P71" i="2"/>
  <c r="M71" i="2"/>
  <c r="L71" i="2"/>
  <c r="D71" i="2"/>
  <c r="B71" i="2"/>
  <c r="A71" i="2"/>
  <c r="D68" i="2"/>
  <c r="A68" i="2"/>
  <c r="R67" i="2"/>
  <c r="R68" i="2" s="1"/>
  <c r="Q67" i="2"/>
  <c r="Q68" i="2" s="1"/>
  <c r="P67" i="2"/>
  <c r="P68" i="2" s="1"/>
  <c r="D67" i="2"/>
  <c r="A67" i="2"/>
  <c r="M64" i="2"/>
  <c r="M65" i="2" s="1"/>
  <c r="M66" i="2" s="1"/>
  <c r="D64" i="2"/>
  <c r="B64" i="2"/>
  <c r="A64" i="2"/>
  <c r="R63" i="2"/>
  <c r="R64" i="2" s="1"/>
  <c r="P63" i="2"/>
  <c r="P64" i="2" s="1"/>
  <c r="L63" i="2"/>
  <c r="Q63" i="2" s="1"/>
  <c r="Q64" i="2" s="1"/>
  <c r="G63" i="2"/>
  <c r="A63" i="2" s="1"/>
  <c r="D63" i="2"/>
  <c r="B63" i="2"/>
  <c r="M61" i="2"/>
  <c r="M62" i="2" s="1"/>
  <c r="M63" i="2" s="1"/>
  <c r="D60" i="2"/>
  <c r="B60" i="2"/>
  <c r="A60" i="2"/>
  <c r="L59" i="2"/>
  <c r="Q59" i="2" s="1"/>
  <c r="Q60" i="2" s="1"/>
  <c r="G59" i="2"/>
  <c r="A59" i="2" s="1"/>
  <c r="D59" i="2"/>
  <c r="B59" i="2"/>
  <c r="D58" i="2"/>
  <c r="A58" i="2"/>
  <c r="L57" i="2"/>
  <c r="P57" i="2" s="1"/>
  <c r="P58" i="2" s="1"/>
  <c r="P59" i="2" s="1"/>
  <c r="G57" i="2"/>
  <c r="D57" i="2" s="1"/>
  <c r="B57" i="2"/>
  <c r="D56" i="2"/>
  <c r="B56" i="2"/>
  <c r="A56" i="2"/>
  <c r="L55" i="2"/>
  <c r="P55" i="2" s="1"/>
  <c r="P56" i="2" s="1"/>
  <c r="R56" i="2" s="1"/>
  <c r="R57" i="2" s="1"/>
  <c r="G55" i="2"/>
  <c r="D55" i="2" s="1"/>
  <c r="B55" i="2"/>
  <c r="L54" i="2"/>
  <c r="D54" i="2"/>
  <c r="B54" i="2"/>
  <c r="A54" i="2"/>
  <c r="L53" i="2"/>
  <c r="P53" i="2" s="1"/>
  <c r="G53" i="2"/>
  <c r="D53" i="2" s="1"/>
  <c r="B53" i="2"/>
  <c r="A53" i="2"/>
  <c r="L52" i="2"/>
  <c r="D52" i="2"/>
  <c r="B52" i="2"/>
  <c r="A52" i="2"/>
  <c r="L51" i="2"/>
  <c r="D51" i="2"/>
  <c r="B51" i="2"/>
  <c r="A51" i="2"/>
  <c r="L50" i="2"/>
  <c r="D50" i="2"/>
  <c r="B50" i="2"/>
  <c r="A50" i="2"/>
  <c r="L49" i="2"/>
  <c r="D49" i="2"/>
  <c r="B49" i="2"/>
  <c r="A49" i="2"/>
  <c r="P48" i="2"/>
  <c r="P49" i="2" s="1"/>
  <c r="P50" i="2" s="1"/>
  <c r="P51" i="2" s="1"/>
  <c r="P52" i="2" s="1"/>
  <c r="L48" i="2"/>
  <c r="G48" i="2"/>
  <c r="A48" i="2" s="1"/>
  <c r="B48" i="2"/>
  <c r="L47" i="2"/>
  <c r="D47" i="2"/>
  <c r="B47" i="2"/>
  <c r="A47" i="2"/>
  <c r="L46" i="2"/>
  <c r="P46" i="2" s="1"/>
  <c r="P47" i="2" s="1"/>
  <c r="G46" i="2"/>
  <c r="D46" i="2"/>
  <c r="B46" i="2"/>
  <c r="A46" i="2"/>
  <c r="L45" i="2"/>
  <c r="D45" i="2"/>
  <c r="B45" i="2"/>
  <c r="A45" i="2"/>
  <c r="L44" i="2"/>
  <c r="P44" i="2" s="1"/>
  <c r="P45" i="2" s="1"/>
  <c r="G44" i="2"/>
  <c r="A44" i="2" s="1"/>
  <c r="B44" i="2"/>
  <c r="R43" i="2"/>
  <c r="L43" i="2"/>
  <c r="D43" i="2"/>
  <c r="B43" i="2"/>
  <c r="A43" i="2"/>
  <c r="L42" i="2"/>
  <c r="P42" i="2" s="1"/>
  <c r="P43" i="2" s="1"/>
  <c r="G42" i="2"/>
  <c r="D42" i="2"/>
  <c r="B42" i="2"/>
  <c r="A42" i="2"/>
  <c r="R41" i="2"/>
  <c r="D41" i="2"/>
  <c r="B41" i="2"/>
  <c r="A41" i="2"/>
  <c r="L40" i="2"/>
  <c r="P40" i="2" s="1"/>
  <c r="P41" i="2" s="1"/>
  <c r="G40" i="2"/>
  <c r="D40" i="2" s="1"/>
  <c r="B40" i="2"/>
  <c r="D39" i="2"/>
  <c r="B39" i="2"/>
  <c r="A39" i="2"/>
  <c r="L38" i="2"/>
  <c r="P38" i="2" s="1"/>
  <c r="P39" i="2" s="1"/>
  <c r="G38" i="2"/>
  <c r="A38" i="2" s="1"/>
  <c r="B38" i="2"/>
  <c r="D37" i="2"/>
  <c r="B37" i="2"/>
  <c r="A37" i="2"/>
  <c r="L36" i="2"/>
  <c r="P36" i="2" s="1"/>
  <c r="P37" i="2" s="1"/>
  <c r="G36" i="2"/>
  <c r="D36" i="2" s="1"/>
  <c r="B36" i="2"/>
  <c r="D35" i="2"/>
  <c r="B35" i="2"/>
  <c r="A35" i="2"/>
  <c r="L34" i="2"/>
  <c r="P34" i="2" s="1"/>
  <c r="P35" i="2" s="1"/>
  <c r="G34" i="2"/>
  <c r="D34" i="2" s="1"/>
  <c r="B34" i="2"/>
  <c r="A34" i="2"/>
  <c r="D33" i="2"/>
  <c r="B33" i="2"/>
  <c r="A33" i="2"/>
  <c r="L32" i="2"/>
  <c r="P32" i="2" s="1"/>
  <c r="P33" i="2" s="1"/>
  <c r="G32" i="2"/>
  <c r="D32" i="2"/>
  <c r="B32" i="2"/>
  <c r="A32" i="2"/>
  <c r="D31" i="2"/>
  <c r="B31" i="2"/>
  <c r="A31" i="2"/>
  <c r="P30" i="2"/>
  <c r="P31" i="2" s="1"/>
  <c r="L30" i="2"/>
  <c r="G30" i="2"/>
  <c r="A30" i="2" s="1"/>
  <c r="B30" i="2"/>
  <c r="D29" i="2"/>
  <c r="B29" i="2"/>
  <c r="A29" i="2"/>
  <c r="L28" i="2"/>
  <c r="P28" i="2" s="1"/>
  <c r="P29" i="2" s="1"/>
  <c r="G28" i="2"/>
  <c r="D28" i="2" s="1"/>
  <c r="B28" i="2"/>
  <c r="D27" i="2"/>
  <c r="B27" i="2"/>
  <c r="A27" i="2"/>
  <c r="L26" i="2"/>
  <c r="Q26" i="2" s="1"/>
  <c r="Q27" i="2" s="1"/>
  <c r="Q28" i="2" s="1"/>
  <c r="Q29" i="2" s="1"/>
  <c r="Q30" i="2" s="1"/>
  <c r="Q31" i="2" s="1"/>
  <c r="Q32" i="2" s="1"/>
  <c r="Q33" i="2" s="1"/>
  <c r="Q34" i="2" s="1"/>
  <c r="Q35" i="2" s="1"/>
  <c r="Q36" i="2" s="1"/>
  <c r="Q37" i="2" s="1"/>
  <c r="Q38" i="2" s="1"/>
  <c r="Q39" i="2" s="1"/>
  <c r="Q40" i="2" s="1"/>
  <c r="Q41" i="2" s="1"/>
  <c r="Q42" i="2" s="1"/>
  <c r="Q43" i="2" s="1"/>
  <c r="Q44" i="2" s="1"/>
  <c r="Q45" i="2" s="1"/>
  <c r="Q46" i="2" s="1"/>
  <c r="Q47" i="2" s="1"/>
  <c r="Q48" i="2" s="1"/>
  <c r="Q49" i="2" s="1"/>
  <c r="Q50" i="2" s="1"/>
  <c r="G26" i="2"/>
  <c r="D26" i="2" s="1"/>
  <c r="B26" i="2"/>
  <c r="L25" i="2"/>
  <c r="P25" i="2" s="1"/>
  <c r="P26" i="2" s="1"/>
  <c r="P27" i="2" s="1"/>
  <c r="R27" i="2" s="1"/>
  <c r="G25" i="2"/>
  <c r="D25" i="2" s="1"/>
  <c r="B25" i="2"/>
  <c r="D24" i="2"/>
  <c r="B24" i="2"/>
  <c r="A24" i="2"/>
  <c r="L23" i="2"/>
  <c r="Q23" i="2" s="1"/>
  <c r="Q24" i="2" s="1"/>
  <c r="G23" i="2"/>
  <c r="A23" i="2" s="1"/>
  <c r="B23" i="2"/>
  <c r="L22" i="2"/>
  <c r="P22" i="2" s="1"/>
  <c r="P23" i="2" s="1"/>
  <c r="P24" i="2" s="1"/>
  <c r="G22" i="2"/>
  <c r="D22" i="2"/>
  <c r="B22" i="2"/>
  <c r="A22" i="2"/>
  <c r="D21" i="2"/>
  <c r="B21" i="2"/>
  <c r="A21" i="2"/>
  <c r="L20" i="2"/>
  <c r="Q20" i="2" s="1"/>
  <c r="Q21" i="2" s="1"/>
  <c r="G20" i="2"/>
  <c r="A20" i="2" s="1"/>
  <c r="B20" i="2"/>
  <c r="L19" i="2"/>
  <c r="P19" i="2" s="1"/>
  <c r="P20" i="2" s="1"/>
  <c r="P21" i="2" s="1"/>
  <c r="G19" i="2"/>
  <c r="A19" i="2" s="1"/>
  <c r="B19" i="2"/>
  <c r="D18" i="2"/>
  <c r="B18" i="2"/>
  <c r="A18" i="2"/>
  <c r="L17" i="2"/>
  <c r="Q17" i="2" s="1"/>
  <c r="Q18" i="2" s="1"/>
  <c r="G17" i="2"/>
  <c r="D17" i="2" s="1"/>
  <c r="B17" i="2"/>
  <c r="A17" i="2"/>
  <c r="L16" i="2"/>
  <c r="P16" i="2" s="1"/>
  <c r="P17" i="2" s="1"/>
  <c r="P18" i="2" s="1"/>
  <c r="G16" i="2"/>
  <c r="D16" i="2" s="1"/>
  <c r="B16" i="2"/>
  <c r="A16" i="2"/>
  <c r="R15" i="2"/>
  <c r="Q15" i="2"/>
  <c r="D15" i="2"/>
  <c r="B15" i="2"/>
  <c r="A15" i="2"/>
  <c r="L14" i="2"/>
  <c r="P14" i="2" s="1"/>
  <c r="P15" i="2" s="1"/>
  <c r="G14" i="2"/>
  <c r="D14" i="2" s="1"/>
  <c r="B14" i="2"/>
  <c r="R13" i="2"/>
  <c r="D13" i="2"/>
  <c r="B13" i="2"/>
  <c r="A13" i="2"/>
  <c r="L12" i="2"/>
  <c r="Q12" i="2" s="1"/>
  <c r="Q13" i="2" s="1"/>
  <c r="G12" i="2"/>
  <c r="D12" i="2" s="1"/>
  <c r="B12" i="2"/>
  <c r="L11" i="2"/>
  <c r="P11" i="2" s="1"/>
  <c r="P12" i="2" s="1"/>
  <c r="P13" i="2" s="1"/>
  <c r="D11" i="2"/>
  <c r="B11" i="2"/>
  <c r="A11" i="2"/>
  <c r="D10" i="2"/>
  <c r="B10" i="2"/>
  <c r="A10" i="2"/>
  <c r="L9" i="2"/>
  <c r="Q9" i="2" s="1"/>
  <c r="Q10" i="2" s="1"/>
  <c r="G9" i="2"/>
  <c r="D9" i="2" s="1"/>
  <c r="B9" i="2"/>
  <c r="A9" i="2"/>
  <c r="M8" i="2"/>
  <c r="M9" i="2" s="1"/>
  <c r="M10" i="2" s="1"/>
  <c r="M11" i="2" s="1"/>
  <c r="M12" i="2" s="1"/>
  <c r="M13" i="2" s="1"/>
  <c r="M14" i="2" s="1"/>
  <c r="M15" i="2" s="1"/>
  <c r="M16" i="2" s="1"/>
  <c r="M17" i="2" s="1"/>
  <c r="M18" i="2" s="1"/>
  <c r="M19" i="2" s="1"/>
  <c r="M20" i="2" s="1"/>
  <c r="M21" i="2" s="1"/>
  <c r="M22" i="2" s="1"/>
  <c r="M23" i="2" s="1"/>
  <c r="M24" i="2" s="1"/>
  <c r="M25" i="2" s="1"/>
  <c r="M26" i="2" s="1"/>
  <c r="M27" i="2" s="1"/>
  <c r="M28" i="2" s="1"/>
  <c r="M29" i="2" s="1"/>
  <c r="M30" i="2" s="1"/>
  <c r="M31" i="2" s="1"/>
  <c r="M32" i="2" s="1"/>
  <c r="M33" i="2" s="1"/>
  <c r="M34" i="2" s="1"/>
  <c r="M35" i="2" s="1"/>
  <c r="M36" i="2" s="1"/>
  <c r="M37" i="2" s="1"/>
  <c r="M38" i="2" s="1"/>
  <c r="M39" i="2" s="1"/>
  <c r="M40" i="2" s="1"/>
  <c r="M41" i="2" s="1"/>
  <c r="M42" i="2" s="1"/>
  <c r="M43" i="2" s="1"/>
  <c r="M44" i="2" s="1"/>
  <c r="M45" i="2" s="1"/>
  <c r="M46" i="2" s="1"/>
  <c r="M47" i="2" s="1"/>
  <c r="M48" i="2" s="1"/>
  <c r="M49" i="2" s="1"/>
  <c r="M50" i="2" s="1"/>
  <c r="M51" i="2" s="1"/>
  <c r="M52" i="2" s="1"/>
  <c r="M53" i="2" s="1"/>
  <c r="M54" i="2" s="1"/>
  <c r="M55" i="2" s="1"/>
  <c r="M56" i="2" s="1"/>
  <c r="M57" i="2" s="1"/>
  <c r="M58" i="2" s="1"/>
  <c r="M59" i="2" s="1"/>
  <c r="M60" i="2" s="1"/>
  <c r="L8" i="2"/>
  <c r="P8" i="2" s="1"/>
  <c r="P9" i="2" s="1"/>
  <c r="P10" i="2" s="1"/>
  <c r="D8" i="2"/>
  <c r="B8" i="2"/>
  <c r="A8" i="2"/>
  <c r="O7" i="2"/>
  <c r="O8" i="2" s="1"/>
  <c r="O9" i="2" s="1"/>
  <c r="O10" i="2" s="1"/>
  <c r="O11" i="2" s="1"/>
  <c r="O12" i="2" s="1"/>
  <c r="O13" i="2" s="1"/>
  <c r="O14" i="2" s="1"/>
  <c r="O15" i="2" s="1"/>
  <c r="O16" i="2" s="1"/>
  <c r="O17" i="2" s="1"/>
  <c r="O18" i="2" s="1"/>
  <c r="O19" i="2" s="1"/>
  <c r="O20" i="2" s="1"/>
  <c r="O21" i="2" s="1"/>
  <c r="O22" i="2" s="1"/>
  <c r="O23" i="2" s="1"/>
  <c r="O24" i="2" s="1"/>
  <c r="O25" i="2" s="1"/>
  <c r="O26" i="2" s="1"/>
  <c r="O27" i="2" s="1"/>
  <c r="O28" i="2" s="1"/>
  <c r="O29" i="2" s="1"/>
  <c r="O30" i="2" s="1"/>
  <c r="O31" i="2" s="1"/>
  <c r="O32" i="2" s="1"/>
  <c r="O33" i="2" s="1"/>
  <c r="O34" i="2" s="1"/>
  <c r="O35" i="2" s="1"/>
  <c r="O36" i="2" s="1"/>
  <c r="O37" i="2" s="1"/>
  <c r="O38" i="2" s="1"/>
  <c r="O39" i="2" s="1"/>
  <c r="O40" i="2" s="1"/>
  <c r="O41" i="2" s="1"/>
  <c r="O42" i="2" s="1"/>
  <c r="O43" i="2" s="1"/>
  <c r="O44" i="2" s="1"/>
  <c r="O45" i="2" s="1"/>
  <c r="O46" i="2" s="1"/>
  <c r="O47" i="2" s="1"/>
  <c r="O48" i="2" s="1"/>
  <c r="O49" i="2" s="1"/>
  <c r="O50" i="2" s="1"/>
  <c r="O51" i="2" s="1"/>
  <c r="O52" i="2" s="1"/>
  <c r="O53" i="2" s="1"/>
  <c r="O54" i="2" s="1"/>
  <c r="O55" i="2" s="1"/>
  <c r="O56" i="2" s="1"/>
  <c r="O57" i="2" s="1"/>
  <c r="O58" i="2" s="1"/>
  <c r="O59" i="2" s="1"/>
  <c r="O60" i="2" s="1"/>
  <c r="O61" i="2" s="1"/>
  <c r="O62" i="2" s="1"/>
  <c r="O63" i="2" s="1"/>
  <c r="O64" i="2" s="1"/>
  <c r="O65" i="2" s="1"/>
  <c r="O66" i="2" s="1"/>
  <c r="O67" i="2" s="1"/>
  <c r="O68" i="2" s="1"/>
  <c r="O69" i="2" s="1"/>
  <c r="O70" i="2" s="1"/>
  <c r="O71" i="2" s="1"/>
  <c r="O72" i="2" s="1"/>
  <c r="O73" i="2" s="1"/>
  <c r="O74" i="2" s="1"/>
  <c r="O75" i="2" s="1"/>
  <c r="O76" i="2" s="1"/>
  <c r="O77" i="2" s="1"/>
  <c r="O78" i="2" s="1"/>
  <c r="O79" i="2" s="1"/>
  <c r="O80" i="2" s="1"/>
  <c r="D7" i="2"/>
  <c r="A7" i="2"/>
  <c r="L4" i="2"/>
  <c r="L3" i="2"/>
  <c r="D56" i="1"/>
  <c r="D55" i="1"/>
  <c r="D53" i="1"/>
  <c r="D52" i="1"/>
  <c r="D51" i="1"/>
  <c r="D50" i="1"/>
  <c r="D48" i="1"/>
  <c r="D47" i="1"/>
  <c r="D46" i="1"/>
  <c r="D44" i="1"/>
  <c r="D43" i="1"/>
  <c r="D42" i="1"/>
  <c r="D41" i="1"/>
  <c r="D40" i="1"/>
  <c r="D38" i="1"/>
  <c r="D37" i="1"/>
  <c r="D36" i="1"/>
  <c r="D29" i="1"/>
  <c r="D28" i="1"/>
  <c r="D25" i="1"/>
  <c r="D23" i="1"/>
  <c r="D22" i="1"/>
  <c r="D21" i="1"/>
  <c r="D19" i="1"/>
  <c r="D18" i="1"/>
  <c r="D17" i="1"/>
  <c r="D16" i="1"/>
  <c r="D15" i="1"/>
  <c r="D14" i="1"/>
  <c r="D13" i="1"/>
  <c r="D12" i="1"/>
  <c r="D11" i="1"/>
  <c r="D10" i="1"/>
  <c r="D9" i="1"/>
  <c r="D8" i="1"/>
  <c r="D7" i="1"/>
  <c r="D6" i="1"/>
  <c r="R39" i="2"/>
  <c r="R31" i="2"/>
  <c r="R47" i="2"/>
  <c r="R37" i="2"/>
  <c r="R35" i="2"/>
  <c r="R49" i="2"/>
  <c r="R45" i="2"/>
  <c r="R33" i="2"/>
  <c r="R24" i="2"/>
  <c r="R29" i="2"/>
  <c r="R18" i="2"/>
  <c r="D23" i="2" l="1"/>
  <c r="A40" i="2"/>
  <c r="A55" i="2"/>
  <c r="A28" i="2"/>
  <c r="A57" i="2"/>
  <c r="R10" i="2"/>
  <c r="A25" i="2"/>
  <c r="A26" i="2"/>
  <c r="A36" i="2"/>
  <c r="A12" i="2"/>
  <c r="A14" i="2"/>
  <c r="R50" i="2"/>
  <c r="R51" i="2" s="1"/>
  <c r="D19" i="2"/>
  <c r="D20" i="2"/>
  <c r="D30" i="2"/>
  <c r="D38" i="2"/>
  <c r="D44" i="2"/>
  <c r="D48" i="2"/>
  <c r="Y35" i="10"/>
  <c r="Y18" i="10"/>
  <c r="Y36" i="10" s="1"/>
  <c r="O24" i="10"/>
  <c r="O7" i="10"/>
  <c r="U32" i="10"/>
  <c r="U15" i="10"/>
  <c r="M8" i="10"/>
  <c r="M9" i="10"/>
  <c r="M12" i="10"/>
  <c r="S13" i="10"/>
  <c r="M16" i="10"/>
  <c r="M17" i="10"/>
  <c r="C23" i="10"/>
  <c r="C25" i="10"/>
  <c r="C33" i="10"/>
  <c r="Y34" i="10"/>
  <c r="P73" i="2"/>
  <c r="M4" i="10"/>
  <c r="M10" i="10"/>
  <c r="T13" i="10"/>
  <c r="M18" i="10"/>
  <c r="O23" i="10"/>
  <c r="U31" i="10"/>
  <c r="M6" i="10"/>
  <c r="P9" i="10"/>
  <c r="M11" i="10"/>
  <c r="W15" i="10"/>
  <c r="W16" i="10" s="1"/>
  <c r="W17" i="10" s="1"/>
  <c r="W18" i="10" s="1"/>
  <c r="M3" i="10"/>
  <c r="M13" i="10"/>
  <c r="M14" i="10"/>
  <c r="R21" i="2"/>
  <c r="S31" i="10" l="1"/>
  <c r="S14" i="10"/>
  <c r="U16" i="10"/>
  <c r="U33" i="10"/>
  <c r="P10" i="10"/>
  <c r="P27" i="10"/>
  <c r="T14" i="10"/>
  <c r="T31" i="10"/>
  <c r="O8" i="10"/>
  <c r="O25" i="10"/>
  <c r="R52" i="2"/>
  <c r="Q51" i="2"/>
  <c r="Q52" i="2" s="1"/>
  <c r="Q53" i="2" s="1"/>
  <c r="Q54" i="2" s="1"/>
  <c r="Q55" i="2" s="1"/>
  <c r="Q56" i="2" s="1"/>
  <c r="Q57" i="2" s="1"/>
  <c r="Q58" i="2" s="1"/>
  <c r="B58" i="2" s="1"/>
  <c r="P54" i="2" l="1"/>
  <c r="R58" i="2" s="1"/>
  <c r="R53" i="2"/>
  <c r="R54" i="2" s="1"/>
  <c r="R55" i="2" s="1"/>
  <c r="T15" i="10"/>
  <c r="T32" i="10"/>
  <c r="U17" i="10"/>
  <c r="U34" i="10"/>
  <c r="S32" i="10"/>
  <c r="S15" i="10"/>
  <c r="Q8" i="10"/>
  <c r="O26" i="10"/>
  <c r="O9" i="10"/>
  <c r="P28" i="10"/>
  <c r="P11" i="10"/>
  <c r="S16" i="10" l="1"/>
  <c r="S33" i="10"/>
  <c r="Q9" i="10"/>
  <c r="O10" i="10"/>
  <c r="O27" i="10"/>
  <c r="T16" i="10"/>
  <c r="T33" i="10"/>
  <c r="P29" i="10"/>
  <c r="P12" i="10"/>
  <c r="A50" i="10"/>
  <c r="Q26" i="10"/>
  <c r="U35" i="10"/>
  <c r="U18" i="10"/>
  <c r="U36" i="10" s="1"/>
  <c r="P60" i="2"/>
  <c r="R59" i="2"/>
  <c r="R60" i="2" s="1"/>
  <c r="O11" i="10" l="1"/>
  <c r="O28" i="10"/>
  <c r="Q10" i="10"/>
  <c r="Q27" i="10"/>
  <c r="R9" i="10"/>
  <c r="R27" i="10" s="1"/>
  <c r="T34" i="10"/>
  <c r="T17" i="10"/>
  <c r="P30" i="10"/>
  <c r="P13" i="10"/>
  <c r="S34" i="10"/>
  <c r="S17" i="10"/>
  <c r="S18" i="10" l="1"/>
  <c r="S36" i="10" s="1"/>
  <c r="S35" i="10"/>
  <c r="T18" i="10"/>
  <c r="T36" i="10" s="1"/>
  <c r="T35" i="10"/>
  <c r="Q28" i="10"/>
  <c r="R10" i="10"/>
  <c r="R28" i="10" s="1"/>
  <c r="P14" i="10"/>
  <c r="P31" i="10"/>
  <c r="O29" i="10"/>
  <c r="O12" i="10"/>
  <c r="Q11" i="10"/>
  <c r="Q12" i="10" l="1"/>
  <c r="O30" i="10"/>
  <c r="O13" i="10"/>
  <c r="R11" i="10"/>
  <c r="R29" i="10" s="1"/>
  <c r="Q29" i="10"/>
  <c r="P15" i="10"/>
  <c r="P32" i="10"/>
  <c r="P16" i="10" l="1"/>
  <c r="P33" i="10"/>
  <c r="O31" i="10"/>
  <c r="Q13" i="10"/>
  <c r="O14" i="10"/>
  <c r="Q30" i="10"/>
  <c r="R12" i="10"/>
  <c r="R30" i="10" s="1"/>
  <c r="R13" i="10" l="1"/>
  <c r="R31" i="10" s="1"/>
  <c r="Q31" i="10"/>
  <c r="O32" i="10"/>
  <c r="O15" i="10"/>
  <c r="Q14" i="10"/>
  <c r="P34" i="10"/>
  <c r="P17" i="10"/>
  <c r="R14" i="10" l="1"/>
  <c r="R32" i="10" s="1"/>
  <c r="Q32" i="10"/>
  <c r="O16" i="10"/>
  <c r="O33" i="10"/>
  <c r="Q15" i="10"/>
  <c r="P18" i="10"/>
  <c r="P36" i="10" s="1"/>
  <c r="P35" i="10"/>
  <c r="Q16" i="10" l="1"/>
  <c r="O34" i="10"/>
  <c r="O17" i="10"/>
  <c r="Q33" i="10"/>
  <c r="R15" i="10"/>
  <c r="R33" i="10" s="1"/>
  <c r="Q17" i="10" l="1"/>
  <c r="O18" i="10"/>
  <c r="O35" i="10"/>
  <c r="Q34" i="10"/>
  <c r="R16" i="10"/>
  <c r="R34" i="10" s="1"/>
  <c r="O36" i="10" l="1"/>
  <c r="Q18" i="10"/>
  <c r="Q35" i="10"/>
  <c r="R17" i="10"/>
  <c r="R35" i="10" s="1"/>
  <c r="Q36" i="10" l="1"/>
  <c r="R18" i="10"/>
  <c r="R36" i="10" s="1"/>
</calcChain>
</file>

<file path=xl/sharedStrings.xml><?xml version="1.0" encoding="utf-8"?>
<sst xmlns="http://schemas.openxmlformats.org/spreadsheetml/2006/main" count="2269" uniqueCount="615">
  <si>
    <t>Phase 2</t>
  </si>
  <si>
    <t>IR</t>
  </si>
  <si>
    <t>Format</t>
  </si>
  <si>
    <t>OP Code</t>
  </si>
  <si>
    <t>ALU_Op [DEC]</t>
  </si>
  <si>
    <t>ALU_Op [HEX]</t>
  </si>
  <si>
    <t>Mnemonic</t>
  </si>
  <si>
    <t>Arithmetic</t>
  </si>
  <si>
    <t>a</t>
  </si>
  <si>
    <t>0000_0000001_000000</t>
  </si>
  <si>
    <t>1</t>
  </si>
  <si>
    <t>ADD</t>
  </si>
  <si>
    <t>0000_0000100_000000</t>
  </si>
  <si>
    <t>2</t>
  </si>
  <si>
    <t>SUB</t>
  </si>
  <si>
    <t>0000_0001000_000000</t>
  </si>
  <si>
    <t>3</t>
  </si>
  <si>
    <t>AND</t>
  </si>
  <si>
    <t>0000_0001001_000000</t>
  </si>
  <si>
    <t>4</t>
  </si>
  <si>
    <t>OR</t>
  </si>
  <si>
    <t>0000_0001010_000000</t>
  </si>
  <si>
    <t>5</t>
  </si>
  <si>
    <t>NEG</t>
  </si>
  <si>
    <t>0000_0001011_000000</t>
  </si>
  <si>
    <t>6</t>
  </si>
  <si>
    <t>XOR</t>
  </si>
  <si>
    <t>0000_0001100_000000</t>
  </si>
  <si>
    <t>7</t>
  </si>
  <si>
    <t>COMP</t>
  </si>
  <si>
    <t>IF(OR(F12="LD",F12="LDU",F12="ADD",F12="SUB",F12="AND",F12="OR",F12="XOR"),1,0)</t>
  </si>
  <si>
    <t>Shift/Rotate</t>
  </si>
  <si>
    <t>0000_0010000_000000</t>
  </si>
  <si>
    <t>8</t>
  </si>
  <si>
    <t>LSR</t>
  </si>
  <si>
    <t>Logical Shift Right (shift one bit position only)</t>
  </si>
  <si>
    <t>0000_0010001_000000</t>
  </si>
  <si>
    <t>9</t>
  </si>
  <si>
    <t>ASR</t>
  </si>
  <si>
    <t>Arithmetic Shift Right (shift one bit position only)</t>
  </si>
  <si>
    <t>0000_0010011_000000</t>
  </si>
  <si>
    <t>10</t>
  </si>
  <si>
    <t>LSL</t>
  </si>
  <si>
    <t>Logical Shift Left (shift one bit position only)</t>
  </si>
  <si>
    <t>ASL</t>
  </si>
  <si>
    <t>Arithmetic Shift Left (shift one bit position only)</t>
  </si>
  <si>
    <t>0000_0011001_000000</t>
  </si>
  <si>
    <t>11</t>
  </si>
  <si>
    <t>ROR</t>
  </si>
  <si>
    <t>Rotate Right (by one bit position)</t>
  </si>
  <si>
    <t>0000_0011010_000000</t>
  </si>
  <si>
    <t>12</t>
  </si>
  <si>
    <t>ROL</t>
  </si>
  <si>
    <t>Rotate Left (by one bit position)</t>
  </si>
  <si>
    <t>Load/copy</t>
  </si>
  <si>
    <t>0000_0100000_000000</t>
  </si>
  <si>
    <t>13</t>
  </si>
  <si>
    <t>MOVE</t>
  </si>
  <si>
    <t>(Copy)</t>
  </si>
  <si>
    <t>0000_0100001_000000</t>
  </si>
  <si>
    <t>14</t>
  </si>
  <si>
    <t>LBI</t>
  </si>
  <si>
    <t>Load Base with Index</t>
  </si>
  <si>
    <t>0000_0100010_000000</t>
  </si>
  <si>
    <t>15</t>
  </si>
  <si>
    <t>LDRi</t>
  </si>
  <si>
    <t>Load Register Indirect</t>
  </si>
  <si>
    <t>Rsrc2 contains a pointer to the value to be copied into Rdst</t>
  </si>
  <si>
    <t>NOP</t>
  </si>
  <si>
    <t>XXXX_XXXXXXX_111111</t>
  </si>
  <si>
    <t>0</t>
  </si>
  <si>
    <t>No OPeration</t>
  </si>
  <si>
    <t>Format B Loads</t>
  </si>
  <si>
    <t>b</t>
  </si>
  <si>
    <t>32</t>
  </si>
  <si>
    <t>LD #</t>
  </si>
  <si>
    <t>Load immediate</t>
  </si>
  <si>
    <t>The value in the immediate field is sign extended and placed in the Rdst</t>
  </si>
  <si>
    <t>33</t>
  </si>
  <si>
    <t>LDU #</t>
  </si>
  <si>
    <t>Load unsigned immediate</t>
  </si>
  <si>
    <t>The value in the immediate field is padded with zeros to the left and placed in Rdst</t>
  </si>
  <si>
    <t>Phase 3</t>
  </si>
  <si>
    <t>Jumps</t>
  </si>
  <si>
    <t>0000_1000000_000000</t>
  </si>
  <si>
    <t>16</t>
  </si>
  <si>
    <t>JMP</t>
  </si>
  <si>
    <t>Jump</t>
  </si>
  <si>
    <t>Place the contents of Rsrc1 into the PC</t>
  </si>
  <si>
    <t>0000_1000001_000000</t>
  </si>
  <si>
    <t>17</t>
  </si>
  <si>
    <t>JSR</t>
  </si>
  <si>
    <t>Jump to Subroutine</t>
  </si>
  <si>
    <t>Address of subroutine in Register Rsrc1, store return address in LINK register, which is always R30.</t>
  </si>
  <si>
    <t>0000_1000011_000000</t>
  </si>
  <si>
    <t>18</t>
  </si>
  <si>
    <t>RTS</t>
  </si>
  <si>
    <t>Return from Subroutine</t>
  </si>
  <si>
    <t>Rsrc1 contains the register number for the link register (R30).</t>
  </si>
  <si>
    <t>000001</t>
  </si>
  <si>
    <t>34</t>
  </si>
  <si>
    <t>ADD #</t>
  </si>
  <si>
    <t>Add immediate</t>
  </si>
  <si>
    <t>The immediate value is sign extended and added to the contents of Rsrc.  The result is stored in Rdst</t>
  </si>
  <si>
    <t>000100</t>
  </si>
  <si>
    <t>35</t>
  </si>
  <si>
    <t>SUB #</t>
  </si>
  <si>
    <t>Subtract immediate</t>
  </si>
  <si>
    <t>The immediate value is sign extended and subtracted from the contents of Rsrc.  The result is stored in Rdst</t>
  </si>
  <si>
    <t>001000</t>
  </si>
  <si>
    <t>36</t>
  </si>
  <si>
    <t>AND #</t>
  </si>
  <si>
    <t>The immediate value is padded with zeros on the left and ANDed with the contents of Rsrc.  The result is place in Rdst</t>
  </si>
  <si>
    <t>001001</t>
  </si>
  <si>
    <t>37</t>
  </si>
  <si>
    <t>OR #</t>
  </si>
  <si>
    <t>001011</t>
  </si>
  <si>
    <t>38</t>
  </si>
  <si>
    <t>XOR #</t>
  </si>
  <si>
    <t>Conditional Branches</t>
  </si>
  <si>
    <t>001100</t>
  </si>
  <si>
    <t>39</t>
  </si>
  <si>
    <t>BEQ</t>
  </si>
  <si>
    <t>Branch if EQual</t>
  </si>
  <si>
    <t>If the contents of the two registers are equal, add the 2's complement immediate value to the PC</t>
  </si>
  <si>
    <t>001010</t>
  </si>
  <si>
    <t>40</t>
  </si>
  <si>
    <t>BNE</t>
  </si>
  <si>
    <t>Branch if Not Equal</t>
  </si>
  <si>
    <t>001111</t>
  </si>
  <si>
    <t>41</t>
  </si>
  <si>
    <t>BLT</t>
  </si>
  <si>
    <t>Branch if Less Than</t>
  </si>
  <si>
    <t>If the unsigned contents of Rsrc are less than the contents of Rdst, add the 2's complement immediate value to the PC</t>
  </si>
  <si>
    <t>Load/Stores</t>
  </si>
  <si>
    <t>100000</t>
  </si>
  <si>
    <t>42</t>
  </si>
  <si>
    <t>LDA</t>
  </si>
  <si>
    <t>Load Absolute</t>
  </si>
  <si>
    <t>The immediate value is zero-filled to the left and used as an address. Rdst is then loaded from this address. This requires the adder in Figure 5.10 to be able to just pass the immediate value through (without adding to the PC), which requires an additional control line that is not implied by Figure 5.10</t>
  </si>
  <si>
    <t>010000</t>
  </si>
  <si>
    <t>43</t>
  </si>
  <si>
    <t>STA</t>
  </si>
  <si>
    <t>STore Absolute</t>
  </si>
  <si>
    <t>The immediate value is zero-filled to the left and used as an address. Rdst (yes, Rdst!) is then stored to this address. Requires modifications similar to the LDA instruction</t>
  </si>
  <si>
    <t>100001</t>
  </si>
  <si>
    <t>44</t>
  </si>
  <si>
    <t>LDIX</t>
  </si>
  <si>
    <t>LoaD IndeXed</t>
  </si>
  <si>
    <t>The unsigned immediate value is added to the contents of Rsrc to obtain the EA. Rdst is then loaded from the memory location EA</t>
  </si>
  <si>
    <t>010001</t>
  </si>
  <si>
    <t>45</t>
  </si>
  <si>
    <t>STIX</t>
  </si>
  <si>
    <t>STore IndeXed</t>
  </si>
  <si>
    <t>The unsigned immediate value is added to the contents of Rsrc to obtain the EA. Rdst is then stored to the memory location EA</t>
  </si>
  <si>
    <t>Unconditional Branches</t>
  </si>
  <si>
    <t>c</t>
  </si>
  <si>
    <t>110000</t>
  </si>
  <si>
    <t>64</t>
  </si>
  <si>
    <t>BRA</t>
  </si>
  <si>
    <t>Branch</t>
  </si>
  <si>
    <t>Add the 2's complement immediate value to the PC.  (wider address range than Bxx, probably more than we'll actually be able to test)</t>
  </si>
  <si>
    <t>110001</t>
  </si>
  <si>
    <t>65</t>
  </si>
  <si>
    <t>BSR</t>
  </si>
  <si>
    <t>Branch to SubRoutine</t>
  </si>
  <si>
    <t>Add the 2's complement immediate value to the PC and store return address in the LINK register, which is always R30.</t>
  </si>
  <si>
    <t>KEY, Edit Minamally</t>
  </si>
  <si>
    <t>Jordan D. Ulmer &amp;&amp; Patrick J. Schroeder</t>
  </si>
  <si>
    <t>Processor Validation Spreadsheet</t>
  </si>
  <si>
    <t>Kyle's Compiler Key</t>
  </si>
  <si>
    <t>Max IMMEDIATE</t>
  </si>
  <si>
    <t>FA2014 (11/23/2014)</t>
  </si>
  <si>
    <t>Format A ===</t>
  </si>
  <si>
    <t>OPName</t>
  </si>
  <si>
    <t>Rdestination</t>
  </si>
  <si>
    <t>Rsource1</t>
  </si>
  <si>
    <t>Rsource2</t>
  </si>
  <si>
    <t>Format B ===</t>
  </si>
  <si>
    <t>ImmediateValue</t>
  </si>
  <si>
    <t>Format C ===</t>
  </si>
  <si>
    <t>HEX Contents Of The Register File</t>
  </si>
  <si>
    <t>Conventionally RSRC1</t>
  </si>
  <si>
    <t>Conventionally RSRC2</t>
  </si>
  <si>
    <t>Conventionally RDST</t>
  </si>
  <si>
    <t>OP</t>
  </si>
  <si>
    <t>RTL Instruction</t>
  </si>
  <si>
    <t>Comments</t>
  </si>
  <si>
    <t>Compiler  Format</t>
  </si>
  <si>
    <t>MIF Instruction</t>
  </si>
  <si>
    <t>Instruction Format</t>
  </si>
  <si>
    <t>DEC Rdst</t>
  </si>
  <si>
    <t>DEC Src1</t>
  </si>
  <si>
    <t>DEC Src2</t>
  </si>
  <si>
    <t>DEC Immediate</t>
  </si>
  <si>
    <t>HEX Immediate</t>
  </si>
  <si>
    <t>PC</t>
  </si>
  <si>
    <t>Flags</t>
  </si>
  <si>
    <t>R[0]</t>
  </si>
  <si>
    <t>R[1]</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</si>
  <si>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</si>
  <si>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</si>
  <si>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</si>
  <si>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</si>
  <si>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</si>
  <si>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</si>
  <si>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</si>
  <si>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</si>
  <si>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</si>
  <si>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</si>
  <si>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</si>
  <si>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</si>
  <si>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</si>
  <si>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</si>
  <si>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</si>
  <si>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</si>
  <si>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</si>
  <si>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</si>
  <si>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</si>
  <si>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</si>
  <si>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</si>
  <si>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</si>
  <si>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</si>
  <si>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</si>
  <si>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</si>
  <si>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</si>
  <si>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</si>
  <si>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</si>
  <si>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</si>
  <si>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</si>
  <si>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</si>
  <si>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t>
  </si>
  <si>
    <t>Validate No Operation</t>
  </si>
  <si>
    <t>B</t>
  </si>
  <si>
    <t>Validate LDU#</t>
  </si>
  <si>
    <t>LDU</t>
  </si>
  <si>
    <t>Validate ADD Without An Overflow -- 16 Bit Immdiate Values Will Not Produce Overflow</t>
  </si>
  <si>
    <t>A</t>
  </si>
  <si>
    <t>Validate LD#</t>
  </si>
  <si>
    <t>LD</t>
  </si>
  <si>
    <t>Validate SUB  (Zero Flag)</t>
  </si>
  <si>
    <t>ZERO_FLAG</t>
  </si>
  <si>
    <t>Validate Twos Complement Negation (Negative Flag)</t>
  </si>
  <si>
    <t>NEGATIVE_FLAG</t>
  </si>
  <si>
    <t>Validate Bitwise AnD</t>
  </si>
  <si>
    <t>Validate Bitwise OR</t>
  </si>
  <si>
    <t>Validate Bitwise XOR</t>
  </si>
  <si>
    <t>Validate Bitwise One's Complement -- Twos Comp Minus One</t>
  </si>
  <si>
    <t>Validate Logical Shift Left One Bit</t>
  </si>
  <si>
    <t>Validate Logical Shift Right One Bit</t>
  </si>
  <si>
    <t>Validate Arithmetical Shift Left One Bit</t>
  </si>
  <si>
    <t>Validate Arithmetical Shift Right One Bit</t>
  </si>
  <si>
    <t>Validate Rotate With Carry Left One Bit</t>
  </si>
  <si>
    <t>Validate Rotate With Carry Right One Bit</t>
  </si>
  <si>
    <t>CARRY_FLAG</t>
  </si>
  <si>
    <t>Validate ADD Immediate Without An Overflow -- 16 Bit Immdiate Values Will Not Produce Overflow</t>
  </si>
  <si>
    <t>Validate Store Absolute</t>
  </si>
  <si>
    <t>Validate Load Absolute</t>
  </si>
  <si>
    <t>Validate Store Indexed</t>
  </si>
  <si>
    <t>Validate Load Indexed</t>
  </si>
  <si>
    <t>Validate Move/Copy</t>
  </si>
  <si>
    <t>Validate Load Base With Index</t>
  </si>
  <si>
    <t>Validate Load Register Indirect</t>
  </si>
  <si>
    <t>Validate Jump PC to RSRC1</t>
  </si>
  <si>
    <t>Validate Jump PC to Subroutine</t>
  </si>
  <si>
    <t>Validate Return From Subroutine</t>
  </si>
  <si>
    <t>Validate Branch if Equal To</t>
  </si>
  <si>
    <t>Validate Branch if NOT Equal To</t>
  </si>
  <si>
    <t>Validate Branch if Less Than</t>
  </si>
  <si>
    <t>C</t>
  </si>
  <si>
    <t>JSR, RTS</t>
  </si>
  <si>
    <t>BEQ/BLT/BNE</t>
  </si>
  <si>
    <t>Will Be Very Similar, But Need To Be In 3 Separate Sheets</t>
  </si>
  <si>
    <t>REGISTER FILE</t>
  </si>
  <si>
    <t>REGISTER FILE (0-&gt;31)</t>
  </si>
  <si>
    <t>MIF</t>
  </si>
  <si>
    <t>MEMORY</t>
  </si>
  <si>
    <t>ROM(0-&gt;63)</t>
  </si>
  <si>
    <t>RAM(64-&gt;127)</t>
  </si>
  <si>
    <t>MEM_ERROR(EA&gt;127)</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</si>
  <si>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</si>
  <si>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</si>
  <si>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</si>
  <si>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</si>
  <si>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</si>
  <si>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</si>
  <si>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</si>
  <si>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</si>
  <si>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</si>
  <si>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</si>
  <si>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</si>
  <si>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</si>
  <si>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</si>
  <si>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</si>
  <si>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</si>
  <si>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</si>
  <si>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</si>
  <si>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</si>
  <si>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</si>
  <si>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</si>
  <si>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</si>
  <si>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</si>
  <si>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</si>
  <si>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</si>
  <si>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</si>
  <si>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</si>
  <si>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</si>
  <si>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</si>
  <si>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</si>
  <si>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</si>
  <si>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</si>
  <si>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</si>
  <si>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</si>
  <si>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</si>
  <si>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</si>
  <si>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</si>
  <si>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</si>
  <si>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</si>
  <si>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</si>
  <si>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</si>
  <si>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</si>
  <si>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</si>
  <si>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</si>
  <si>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</si>
  <si>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</si>
  <si>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</si>
  <si>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</si>
  <si>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</si>
  <si>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</si>
  <si>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</si>
  <si>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</si>
  <si>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</si>
  <si>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</si>
  <si>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</si>
  <si>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</si>
  <si>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</si>
  <si>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</si>
  <si>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</si>
  <si>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</si>
  <si>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</si>
  <si>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</si>
  <si>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</si>
  <si>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</si>
  <si>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</si>
  <si>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</si>
  <si>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</si>
  <si>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</si>
  <si>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</si>
  <si>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R[101]</t>
  </si>
  <si>
    <t>R[102]</t>
  </si>
  <si>
    <t>R[103]</t>
  </si>
  <si>
    <t>R[104]</t>
  </si>
  <si>
    <t>R[105]</t>
  </si>
  <si>
    <t>R[106]</t>
  </si>
  <si>
    <t>R[107]</t>
  </si>
  <si>
    <t>R[108]</t>
  </si>
  <si>
    <t>R[109]</t>
  </si>
  <si>
    <t>R[110]</t>
  </si>
  <si>
    <t>R[111]</t>
  </si>
  <si>
    <t>R[112]</t>
  </si>
  <si>
    <t>R[113]</t>
  </si>
  <si>
    <t>R[114]</t>
  </si>
  <si>
    <t>R[115]</t>
  </si>
  <si>
    <t>R[116]</t>
  </si>
  <si>
    <t>R[117]</t>
  </si>
  <si>
    <t>R[118]</t>
  </si>
  <si>
    <t>R[119]</t>
  </si>
  <si>
    <t>R[120]</t>
  </si>
  <si>
    <t>R[121]</t>
  </si>
  <si>
    <t>R[122]</t>
  </si>
  <si>
    <t>R[123]</t>
  </si>
  <si>
    <t>R[124]</t>
  </si>
  <si>
    <t>R[125]</t>
  </si>
  <si>
    <t>R[126]</t>
  </si>
  <si>
    <t>R[127]</t>
  </si>
  <si>
    <t>Test Set Format</t>
  </si>
  <si>
    <t>ImmediateLogic.mif</t>
  </si>
  <si>
    <t>Instruction</t>
  </si>
  <si>
    <t>MEM_Data_Out [11]</t>
  </si>
  <si>
    <t>IR_Out [2]</t>
  </si>
  <si>
    <t>Immediate_Out [18]</t>
  </si>
  <si>
    <t>RA_Out [5]</t>
  </si>
  <si>
    <t>RB_Out [6]</t>
  </si>
  <si>
    <t>RZ_Out [7]</t>
  </si>
  <si>
    <t>RY_Out [9]</t>
  </si>
  <si>
    <t>CCF (N,Z,V,C) [3]</t>
  </si>
  <si>
    <t>RTL</t>
  </si>
  <si>
    <t>Hex Value</t>
  </si>
  <si>
    <t>Expected Value</t>
  </si>
  <si>
    <t>Stage</t>
  </si>
  <si>
    <t>HEX Value</t>
  </si>
  <si>
    <t>B LDU R1,R0,1</t>
  </si>
  <si>
    <t>R[1] &lt;= 1</t>
  </si>
  <si>
    <t>00400063</t>
  </si>
  <si>
    <t>00 40 0063</t>
  </si>
  <si>
    <t>00 00 0001</t>
  </si>
  <si>
    <t>00 00 0000</t>
  </si>
  <si>
    <t>B ADD R3,R1,4</t>
  </si>
  <si>
    <t>R[3] &lt;= R[1] + 4</t>
  </si>
  <si>
    <t>08C00101</t>
  </si>
  <si>
    <t>08 C0 0101</t>
  </si>
  <si>
    <t>00 00 0004</t>
  </si>
  <si>
    <t>00 00 0005</t>
  </si>
  <si>
    <t>B LD R1,R0,-3</t>
  </si>
  <si>
    <t>R[1] &lt;= -3</t>
  </si>
  <si>
    <t>007FFF62</t>
  </si>
  <si>
    <t>00 7F FF62</t>
  </si>
  <si>
    <t>FF FF FFFd</t>
  </si>
  <si>
    <t>-3</t>
  </si>
  <si>
    <t>B SUB R3,R1,-3</t>
  </si>
  <si>
    <t>R[3] &lt;= R[1] - (-3)</t>
  </si>
  <si>
    <t>08FFFF44</t>
  </si>
  <si>
    <t>08 FF FF44</t>
  </si>
  <si>
    <t>B LDU R1,R0,15</t>
  </si>
  <si>
    <t>R[1] &lt;= 15</t>
  </si>
  <si>
    <t>004003E3</t>
  </si>
  <si>
    <t>00 40 03E3</t>
  </si>
  <si>
    <t>00 00 000F</t>
  </si>
  <si>
    <t>B AND R3,R1,45</t>
  </si>
  <si>
    <t>R[3] &lt;= R[1] &amp; 45</t>
  </si>
  <si>
    <t>08C00B48</t>
  </si>
  <si>
    <t>08 C0 0648</t>
  </si>
  <si>
    <t>00 00 002d</t>
  </si>
  <si>
    <t>d</t>
  </si>
  <si>
    <t>00 1111 &amp; 10 1101 = 11 1100</t>
  </si>
  <si>
    <t>B LDU R1,R0,9</t>
  </si>
  <si>
    <t>R[1] &lt;= 9</t>
  </si>
  <si>
    <t>00400263</t>
  </si>
  <si>
    <t>00 40 0263</t>
  </si>
  <si>
    <t>00 00 0009</t>
  </si>
  <si>
    <t>B OR R3,R1,3</t>
  </si>
  <si>
    <t>R[3] &lt;= R[1] | 3</t>
  </si>
  <si>
    <t>08C000C9</t>
  </si>
  <si>
    <t>08 C0 00C9</t>
  </si>
  <si>
    <t>00 00 0003</t>
  </si>
  <si>
    <t>00 00 000C</t>
  </si>
  <si>
    <t>00 1001 | 00 0011 = 00 1100</t>
  </si>
  <si>
    <t>B LDU R1,R0,2</t>
  </si>
  <si>
    <t>R[1] &lt;= 2</t>
  </si>
  <si>
    <t>004000A3</t>
  </si>
  <si>
    <t>00 40 00A3</t>
  </si>
  <si>
    <t>00 00 0002</t>
  </si>
  <si>
    <t>B XOR R3,R1,12</t>
  </si>
  <si>
    <t>R[3] &lt;= XOR(R[1],12)</t>
  </si>
  <si>
    <t>08C0030B</t>
  </si>
  <si>
    <t>08 C0 030b</t>
  </si>
  <si>
    <t>00 00 000E</t>
  </si>
  <si>
    <t>E</t>
  </si>
  <si>
    <t>FF F5 FFFF</t>
  </si>
  <si>
    <t>dF 61 bFCF</t>
  </si>
  <si>
    <t>R[3] &lt;= R[1] - -3</t>
  </si>
  <si>
    <t>dd 25 9FCF</t>
  </si>
  <si>
    <t>Dd 61 9FCF</t>
  </si>
  <si>
    <t>Dd 21 9FCF</t>
  </si>
  <si>
    <t>Dd 61 dFCF</t>
  </si>
  <si>
    <t>DF 61 9FCF</t>
  </si>
  <si>
    <t>Validate Kyle's Compiler</t>
  </si>
  <si>
    <t>Rsrc1</t>
  </si>
  <si>
    <t>Rdst</t>
  </si>
  <si>
    <t>Immediate</t>
  </si>
  <si>
    <t>00000_00001_0000000000001001_100011</t>
  </si>
  <si>
    <t>00001_00011_0000000000101101_001000</t>
  </si>
  <si>
    <t>Compiler</t>
  </si>
  <si>
    <t>B LDU R1,R0,25</t>
  </si>
  <si>
    <t>R[1] &lt;= 25</t>
  </si>
  <si>
    <t>00400663</t>
  </si>
  <si>
    <t>00 00 0020</t>
  </si>
  <si>
    <t>A JMP R1,R1,R0</t>
  </si>
  <si>
    <t>PC &lt;= R[1]</t>
  </si>
  <si>
    <t>08021000</t>
  </si>
  <si>
    <t>A JSR R30,R1,R0</t>
  </si>
  <si>
    <t>083C1040</t>
  </si>
  <si>
    <t>B ADD R3,R1,1</t>
  </si>
  <si>
    <t>R[3] &lt;= R[1] + 1</t>
  </si>
  <si>
    <t>08C00041</t>
  </si>
  <si>
    <t>A RTS R1,R30,R0</t>
  </si>
  <si>
    <t>F00210C0</t>
  </si>
  <si>
    <t>Phase2.mif</t>
  </si>
  <si>
    <t>BIN Src1</t>
  </si>
  <si>
    <t>BIN Src2</t>
  </si>
  <si>
    <t>BIN Rdst</t>
  </si>
  <si>
    <t>Fourney BIN OP Code</t>
  </si>
  <si>
    <t>BIN OP Code</t>
  </si>
  <si>
    <t>BIN Immediate</t>
  </si>
  <si>
    <t>BIN Instruction</t>
  </si>
  <si>
    <t>RY &lt;= 0</t>
  </si>
  <si>
    <t>0000_0000000_111111</t>
  </si>
  <si>
    <t>LD#</t>
  </si>
  <si>
    <t>R[0] &lt;= 0</t>
  </si>
  <si>
    <t>ROM_Out</t>
  </si>
  <si>
    <t>IR_Out</t>
  </si>
  <si>
    <t>Immediate_Out</t>
  </si>
  <si>
    <t>RA</t>
  </si>
  <si>
    <t>Expected RA_Out</t>
  </si>
  <si>
    <t>RB</t>
  </si>
  <si>
    <t>Expected RB_Out</t>
  </si>
  <si>
    <t>RZ_Out</t>
  </si>
  <si>
    <t>Expected RZ_Out</t>
  </si>
  <si>
    <t>RY_Out</t>
  </si>
  <si>
    <t>Expected RY_Out</t>
  </si>
  <si>
    <t>LDU#</t>
  </si>
  <si>
    <t>R[1] &lt;= 32768</t>
  </si>
  <si>
    <t>HEX Instruction</t>
  </si>
  <si>
    <t>BIN Instructions</t>
  </si>
  <si>
    <t>R[2] &lt;= -256</t>
  </si>
  <si>
    <t>0000003F</t>
  </si>
  <si>
    <t>0000 0000 0000 0000 0000 0000 0011 1111</t>
  </si>
  <si>
    <t>R[2] &lt;=  - R[2]</t>
  </si>
  <si>
    <t>0000 0000 0000 0000 0000 0000 0010 0010</t>
  </si>
  <si>
    <t>R[3] &lt;= R[1] + R[2]</t>
  </si>
  <si>
    <t>0000 0000 0110 0000 0000 0000 0010 0011</t>
  </si>
  <si>
    <t>00 00 8000</t>
  </si>
  <si>
    <t>R[4] &lt;= R[3] - R[2]</t>
  </si>
  <si>
    <t>00BFC022</t>
  </si>
  <si>
    <t>0000 0000 1011 1111 1100 0000 0010 0010</t>
  </si>
  <si>
    <t>FF FF FF00</t>
  </si>
  <si>
    <t>R[5] &lt;= R[1] &amp; R[2]</t>
  </si>
  <si>
    <t>0001 0000 0000 0100 0000 0010 1000 0000</t>
  </si>
  <si>
    <t>00 00 100A</t>
  </si>
  <si>
    <t>R[6] &lt;= R[1] | R[2]</t>
  </si>
  <si>
    <t>0000 1000 1000 0110 0000 0000 0100 0000</t>
  </si>
  <si>
    <t>00 00 1801</t>
  </si>
  <si>
    <t>00 00 0100</t>
  </si>
  <si>
    <t>R[7] &lt;= R[1] ^ R[2]</t>
  </si>
  <si>
    <t>0001 1000 1000 1000 0000 0001 0000 0000</t>
  </si>
  <si>
    <t>00 00 2004</t>
  </si>
  <si>
    <t>00 00 7F00</t>
  </si>
  <si>
    <t>00 00 8100</t>
  </si>
  <si>
    <t>R[8] &lt;= ~R[2]</t>
  </si>
  <si>
    <t>088A0200</t>
  </si>
  <si>
    <t>0000 1000 1000 1010 0000 0010 0000 0000</t>
  </si>
  <si>
    <t>00 00 2808</t>
  </si>
  <si>
    <t>R[9] &lt;= R[2] &gt;&gt; 1 ; CARRY_FLAG &lt;= R[2]{0}</t>
  </si>
  <si>
    <t>088C0240</t>
  </si>
  <si>
    <t>0000 1000 1000 1100 0000 0010 0100 0000</t>
  </si>
  <si>
    <t>00 00 3009</t>
  </si>
  <si>
    <t>R[10] &lt;= R[3] &gt;&gt;&gt; 1</t>
  </si>
  <si>
    <t>088E02C0</t>
  </si>
  <si>
    <t>0000 1000 1000 1110 0000 0010 1100 0000</t>
  </si>
  <si>
    <t>00 00 3806</t>
  </si>
  <si>
    <t>LSL_ASL</t>
  </si>
  <si>
    <t>R[11] &lt;= R[4] &lt;&lt; 1 ; CARRY_FLAG &lt;= R[4]{31}</t>
  </si>
  <si>
    <t>0001 0000 0001 0000 0000 0011 0000 0000</t>
  </si>
  <si>
    <t>00 00 400C</t>
  </si>
  <si>
    <t>FF FF 7F00</t>
  </si>
  <si>
    <t>R[12] &lt;= {CARRY_FLAG,R[5]{31:1}} ; CARRY_FLAG &lt;= R[5]{0}</t>
  </si>
  <si>
    <t>0001 0000 0001 0010 0000 0100 0000 0000</t>
  </si>
  <si>
    <t>00 00 4810</t>
  </si>
  <si>
    <t>00 00 00FF</t>
  </si>
  <si>
    <t>FF FF FFFF</t>
  </si>
  <si>
    <t>R[13] &lt;= {R[6]{31:1},CARRY_FLAG} ; CARRY_FLAG &lt;= R[6]{31}</t>
  </si>
  <si>
    <t>0001 1000 0001 0100 0000 0100 0100 0000</t>
  </si>
  <si>
    <t>D</t>
  </si>
  <si>
    <t>00 00 5011</t>
  </si>
  <si>
    <t>7F FF FF80</t>
  </si>
  <si>
    <t>00 00 0080</t>
  </si>
  <si>
    <t>201604C0</t>
  </si>
  <si>
    <t>0010 0000 0001 0110 0000 0100 1100 0000</t>
  </si>
  <si>
    <t>00 00 5813</t>
  </si>
  <si>
    <t>00 00 4080</t>
  </si>
  <si>
    <t>HEX Src1</t>
  </si>
  <si>
    <t>HEX Src2</t>
  </si>
  <si>
    <t>HEX Rdst</t>
  </si>
  <si>
    <t>HEX OP Code</t>
  </si>
  <si>
    <t>0010 1000 0001 1000 0000 0110 0100 0000</t>
  </si>
  <si>
    <t>F</t>
  </si>
  <si>
    <t>00 00 6019</t>
  </si>
  <si>
    <t>00 01 0000</t>
  </si>
  <si>
    <t>3F</t>
  </si>
  <si>
    <t>301A0680</t>
  </si>
  <si>
    <t>0011 0000 0001 1010 0000 0110 1000 0000</t>
  </si>
  <si>
    <t>00 00 681A</t>
  </si>
  <si>
    <t>00 01 0200</t>
  </si>
  <si>
    <t>FF00</t>
  </si>
  <si>
    <t>2C0</t>
  </si>
  <si>
    <t>4C0</t>
  </si>
  <si>
    <t>0000_0000_0000_0000</t>
  </si>
  <si>
    <t>1000_0000_0000_0000</t>
  </si>
  <si>
    <t>1111_1111_0000_0000</t>
  </si>
  <si>
    <t>0000_0001_0000_0000</t>
  </si>
  <si>
    <t>0000_0000_0000_0000_0000_0001_0000_0000</t>
  </si>
  <si>
    <t>0000_0000_0000_0000_0000_0000_1000_0000</t>
  </si>
  <si>
    <t>0000_0000_0000_0000_1000_0001_0000_0000</t>
  </si>
  <si>
    <t>0000_0000_0000_0000_0100_0000_1000_0000</t>
  </si>
  <si>
    <t>0000_0000_0000_0000_1000_0000_0000_0000</t>
  </si>
  <si>
    <t>0000_0000_0000_0001_0000_0000_0000_0000</t>
  </si>
  <si>
    <t>ROLwC=0</t>
  </si>
  <si>
    <t>0000_0000_0000_0001_0000_0010_0000_0000</t>
  </si>
  <si>
    <t>ROLwC=1</t>
  </si>
  <si>
    <t>0000_0000_0000_0001_0000_0010_0000_0001</t>
  </si>
  <si>
    <t>0000_0000_0000_0000_000_0000_0000_0000</t>
  </si>
  <si>
    <t>RORwC=1</t>
  </si>
  <si>
    <t>1000_0000_0000_0000_000_0000_0000_0000</t>
  </si>
  <si>
    <t>B ADD R3,R3,1</t>
  </si>
  <si>
    <t>R[3] &lt;= R[3] + 1</t>
  </si>
  <si>
    <t>18C00041</t>
  </si>
  <si>
    <t>R[2] &lt;= R[2] + 1</t>
  </si>
  <si>
    <t>B ADD R2,R2,1</t>
  </si>
  <si>
    <t>10800041</t>
  </si>
  <si>
    <t>Jumping.mif</t>
  </si>
  <si>
    <t>```</t>
  </si>
  <si>
    <t>B LDU R1,R0,32</t>
  </si>
  <si>
    <t>R[1] &lt;= 32</t>
  </si>
  <si>
    <t>00400823</t>
  </si>
  <si>
    <t>00 40 0823</t>
  </si>
  <si>
    <t>20</t>
  </si>
  <si>
    <t>08 02 1000</t>
  </si>
  <si>
    <t>00 00 0840</t>
  </si>
  <si>
    <t>08 3C 1040</t>
  </si>
  <si>
    <t>FF FF F041</t>
  </si>
  <si>
    <t>08 C0 0041</t>
  </si>
  <si>
    <t>JumpToSubroutine.mif</t>
  </si>
  <si>
    <t>Subroutines.mif</t>
  </si>
  <si>
    <t>MemoryOps.mif</t>
  </si>
  <si>
    <t>B ADD R1,R3,4</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</si>
</sst>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0000000000000000000000000000"/>
    <numFmt numFmtId="165" formatCode="00000000"/>
    <numFmt numFmtId="166" formatCode="00000"/>
    <numFmt numFmtId="167" formatCode="0000000000000000"/>
    <numFmt numFmtId="168" formatCode="000000"/>
    <numFmt numFmtId="169" formatCode="0.00E+000"/>
  </numFmts>
  <fonts count="10">
    <font>
      <sz val="12"/>
      <color rgb="FF000000"/>
      <name val="Calibri"/>
      <family val="2"/>
      <charset val="1"/>
    </font>
    <font>
      <sz val="12"/>
      <name val="Calibri"/>
      <family val="2"/>
      <charset val="1"/>
    </font>
    <font>
      <sz val="12"/>
      <name val="CMTT12"/>
      <charset val="1"/>
    </font>
    <font>
      <b/>
      <sz val="14"/>
      <name val="Calibri"/>
      <family val="2"/>
      <charset val="1"/>
    </font>
    <font>
      <b/>
      <sz val="12"/>
      <name val="Calibri"/>
      <family val="2"/>
      <charset val="1"/>
    </font>
    <font>
      <b/>
      <sz val="12"/>
      <color rgb="FF000000"/>
      <name val="Calibri"/>
      <family val="2"/>
      <charset val="1"/>
    </font>
    <font>
      <sz val="12"/>
      <color rgb="FF222222"/>
      <name val="Calibri"/>
      <family val="2"/>
      <charset val="1"/>
    </font>
    <font>
      <b/>
      <sz val="14"/>
      <color rgb="FF000000"/>
      <name val="Calibri"/>
      <family val="2"/>
      <charset val="1"/>
    </font>
    <font>
      <sz val="12"/>
      <color rgb="FF000000"/>
      <name val="Calibri"/>
      <family val="2"/>
    </font>
    <font>
      <b/>
      <sz val="12"/>
      <color rgb="FF222222"/>
      <name val="Calibri"/>
      <family val="2"/>
      <charset val="1"/>
    </font>
  </fonts>
  <fills count="15">
    <fill>
      <patternFill patternType="none"/>
    </fill>
    <fill>
      <patternFill patternType="gray125"/>
    </fill>
    <fill>
      <patternFill patternType="solid">
        <fgColor rgb="FFC4BD97"/>
        <bgColor rgb="FF95B3D7"/>
      </patternFill>
    </fill>
    <fill>
      <patternFill patternType="solid">
        <fgColor rgb="FFFFFF00"/>
        <bgColor rgb="FFFFFF00"/>
      </patternFill>
    </fill>
    <fill>
      <patternFill patternType="solid">
        <fgColor rgb="FFCFE7F5"/>
        <bgColor rgb="FFC6D9F1"/>
      </patternFill>
    </fill>
    <fill>
      <patternFill patternType="solid">
        <fgColor rgb="FFFFC000"/>
        <bgColor rgb="FFFF9900"/>
      </patternFill>
    </fill>
    <fill>
      <patternFill patternType="solid">
        <fgColor rgb="FFC6D9F1"/>
        <bgColor rgb="FFCFE7F5"/>
      </patternFill>
    </fill>
    <fill>
      <patternFill patternType="solid">
        <fgColor rgb="FF95B3D7"/>
        <bgColor rgb="FF729FCF"/>
      </patternFill>
    </fill>
    <fill>
      <patternFill patternType="solid">
        <fgColor rgb="FFFF0000"/>
        <bgColor rgb="FFDC2300"/>
      </patternFill>
    </fill>
    <fill>
      <patternFill patternType="solid">
        <fgColor rgb="FF558ED5"/>
        <bgColor rgb="FF729FCF"/>
      </patternFill>
    </fill>
    <fill>
      <patternFill patternType="solid">
        <fgColor rgb="FF729FCF"/>
        <bgColor rgb="FF558ED5"/>
      </patternFill>
    </fill>
    <fill>
      <patternFill patternType="solid">
        <fgColor rgb="FF33CC66"/>
        <bgColor rgb="FF339966"/>
      </patternFill>
    </fill>
    <fill>
      <patternFill patternType="solid">
        <fgColor rgb="FF00AE00"/>
        <bgColor rgb="FF339966"/>
      </patternFill>
    </fill>
    <fill>
      <patternFill patternType="solid">
        <fgColor rgb="FFDC2300"/>
        <bgColor rgb="FFFF3333"/>
      </patternFill>
    </fill>
    <fill>
      <patternFill patternType="solid">
        <fgColor rgb="FFFFFF00"/>
        <bgColor indexed="64"/>
      </patternFill>
    </fill>
  </fills>
  <borders count="17">
    <border>
      <left/>
      <right/>
      <top/>
      <bottom/>
      <diagonal/>
    </border>
    <border>
      <left style="thick">
        <color auto="1"/>
      </left>
      <right style="thick">
        <color auto="1"/>
      </right>
      <top style="thick">
        <color auto="1"/>
      </top>
      <bottom/>
      <diagonal/>
    </border>
    <border>
      <left style="thick">
        <color auto="1"/>
      </left>
      <right style="thick">
        <color auto="1"/>
      </right>
      <top style="thick">
        <color auto="1"/>
      </top>
      <bottom style="thick">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right/>
      <top style="thick">
        <color auto="1"/>
      </top>
      <bottom/>
      <diagonal/>
    </border>
    <border>
      <left/>
      <right style="thick">
        <color auto="1"/>
      </right>
      <top/>
      <bottom/>
      <diagonal/>
    </border>
    <border>
      <left style="thick">
        <color auto="1"/>
      </left>
      <right style="thick">
        <color auto="1"/>
      </right>
      <top/>
      <bottom style="thick">
        <color auto="1"/>
      </bottom>
      <diagonal/>
    </border>
    <border>
      <left style="thick">
        <color auto="1"/>
      </left>
      <right/>
      <top/>
      <bottom style="thick">
        <color auto="1"/>
      </bottom>
      <diagonal/>
    </border>
    <border>
      <left/>
      <right/>
      <top/>
      <bottom style="thick">
        <color auto="1"/>
      </bottom>
      <diagonal/>
    </border>
    <border>
      <left/>
      <right/>
      <top style="thick">
        <color auto="1"/>
      </top>
      <bottom style="thick">
        <color auto="1"/>
      </bottom>
      <diagonal/>
    </border>
    <border>
      <left/>
      <right style="thick">
        <color auto="1"/>
      </right>
      <top/>
      <bottom style="thick">
        <color auto="1"/>
      </bottom>
      <diagonal/>
    </border>
    <border>
      <left style="thick">
        <color auto="1"/>
      </left>
      <right/>
      <top/>
      <bottom/>
      <diagonal/>
    </border>
    <border>
      <left style="thick">
        <color auto="1"/>
      </left>
      <right style="thick">
        <color auto="1"/>
      </right>
      <top/>
      <bottom/>
      <diagonal/>
    </border>
    <border>
      <left style="hair">
        <color auto="1"/>
      </left>
      <right style="hair">
        <color auto="1"/>
      </right>
      <top style="hair">
        <color auto="1"/>
      </top>
      <bottom style="hair">
        <color auto="1"/>
      </bottom>
      <diagonal/>
    </border>
  </borders>
  <cellStyleXfs count="1">
    <xf numFmtId="0" fontId="0" fillId="0" borderId="0"/>
  </cellStyleXfs>
  <cellXfs count="181">
    <xf numFmtId="0" fontId="0" fillId="0" borderId="0" xfId="0"/>
    <xf numFmtId="0" fontId="1" fillId="0" borderId="16" xfId="0" applyFont="1" applyBorder="1" applyAlignment="1">
      <alignment horizontal="center" vertical="center"/>
    </xf>
    <xf numFmtId="0" fontId="1" fillId="10" borderId="16" xfId="0" applyFont="1" applyFill="1" applyBorder="1" applyAlignment="1">
      <alignment horizontal="center" vertical="center"/>
    </xf>
    <xf numFmtId="0" fontId="1" fillId="0" borderId="16" xfId="0" applyFont="1" applyBorder="1" applyAlignment="1">
      <alignment horizontal="center"/>
    </xf>
    <xf numFmtId="0" fontId="0" fillId="0" borderId="2" xfId="0" applyFont="1" applyBorder="1" applyAlignment="1">
      <alignment horizontal="center"/>
    </xf>
    <xf numFmtId="49" fontId="0" fillId="0" borderId="2" xfId="0" applyNumberFormat="1" applyFont="1" applyBorder="1" applyAlignment="1">
      <alignment horizontal="center"/>
    </xf>
    <xf numFmtId="49" fontId="7" fillId="0" borderId="2" xfId="0" applyNumberFormat="1" applyFont="1" applyBorder="1" applyAlignment="1">
      <alignment horizontal="center"/>
    </xf>
    <xf numFmtId="49" fontId="7" fillId="10" borderId="2" xfId="0" applyNumberFormat="1" applyFont="1" applyFill="1" applyBorder="1" applyAlignment="1">
      <alignment horizontal="center"/>
    </xf>
    <xf numFmtId="49" fontId="3" fillId="0" borderId="2" xfId="0" applyNumberFormat="1" applyFont="1" applyBorder="1" applyAlignment="1">
      <alignment horizontal="center"/>
    </xf>
    <xf numFmtId="0" fontId="1" fillId="0" borderId="0" xfId="0" applyFont="1"/>
    <xf numFmtId="49" fontId="2" fillId="0" borderId="0" xfId="0" applyNumberFormat="1" applyFont="1"/>
    <xf numFmtId="0" fontId="2" fillId="0" borderId="0" xfId="0" applyFont="1"/>
    <xf numFmtId="49" fontId="3" fillId="0" borderId="0" xfId="0" applyNumberFormat="1" applyFont="1" applyAlignment="1">
      <alignment horizontal="center"/>
    </xf>
    <xf numFmtId="0" fontId="1" fillId="0" borderId="0" xfId="0" applyFont="1" applyAlignment="1">
      <alignment horizontal="center"/>
    </xf>
    <xf numFmtId="49" fontId="1" fillId="0" borderId="0" xfId="0" applyNumberFormat="1" applyFont="1" applyAlignment="1">
      <alignment horizontal="center" vertical="center"/>
    </xf>
    <xf numFmtId="0" fontId="1" fillId="0" borderId="0" xfId="0" applyFont="1" applyAlignment="1">
      <alignment horizontal="center" vertical="center"/>
    </xf>
    <xf numFmtId="2" fontId="1" fillId="0" borderId="0" xfId="0" applyNumberFormat="1" applyFont="1" applyAlignment="1">
      <alignment horizontal="center" vertical="center"/>
    </xf>
    <xf numFmtId="49" fontId="4" fillId="0" borderId="0" xfId="0" applyNumberFormat="1" applyFont="1" applyAlignment="1">
      <alignment horizontal="center" vertical="center"/>
    </xf>
    <xf numFmtId="2" fontId="4" fillId="0" borderId="0" xfId="0" applyNumberFormat="1" applyFont="1" applyAlignment="1">
      <alignment horizontal="center" vertical="center"/>
    </xf>
    <xf numFmtId="0" fontId="1" fillId="0" borderId="0" xfId="0" applyFont="1" applyAlignment="1">
      <alignment vertical="center"/>
    </xf>
    <xf numFmtId="49" fontId="1" fillId="0" borderId="0" xfId="0" applyNumberFormat="1" applyFont="1" applyAlignment="1">
      <alignment vertical="center"/>
    </xf>
    <xf numFmtId="2" fontId="1" fillId="0" borderId="0" xfId="0" applyNumberFormat="1" applyFont="1" applyAlignment="1">
      <alignment vertical="center"/>
    </xf>
    <xf numFmtId="49" fontId="4" fillId="0" borderId="0" xfId="0" applyNumberFormat="1" applyFont="1" applyAlignment="1">
      <alignment horizontal="center"/>
    </xf>
    <xf numFmtId="49" fontId="1" fillId="0" borderId="0" xfId="0" applyNumberFormat="1" applyFont="1"/>
    <xf numFmtId="0" fontId="0" fillId="0" borderId="0" xfId="0" applyFont="1" applyAlignment="1">
      <alignment horizontal="center" vertical="center" wrapText="1"/>
    </xf>
    <xf numFmtId="1" fontId="0" fillId="0" borderId="0" xfId="0" applyNumberFormat="1" applyFont="1" applyAlignment="1">
      <alignment horizontal="center" vertical="center" wrapText="1"/>
    </xf>
    <xf numFmtId="164" fontId="0" fillId="0" borderId="0" xfId="0" applyNumberFormat="1" applyFont="1" applyAlignment="1">
      <alignment horizontal="center" vertical="center" wrapText="1"/>
    </xf>
    <xf numFmtId="0" fontId="0" fillId="0" borderId="0" xfId="0" applyFont="1" applyAlignment="1">
      <alignment horizontal="center" vertical="center"/>
    </xf>
    <xf numFmtId="0" fontId="0" fillId="0" borderId="0" xfId="0" applyAlignment="1">
      <alignment wrapText="1"/>
    </xf>
    <xf numFmtId="0" fontId="0" fillId="2"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1" xfId="0" applyFont="1" applyBorder="1" applyAlignment="1">
      <alignment horizontal="center" vertical="center" wrapText="1"/>
    </xf>
    <xf numFmtId="0" fontId="0" fillId="0" borderId="4" xfId="0" applyFont="1" applyBorder="1" applyAlignment="1">
      <alignment horizontal="center" vertical="center" wrapText="1"/>
    </xf>
    <xf numFmtId="0" fontId="0" fillId="0" borderId="0" xfId="0" applyFont="1" applyBorder="1" applyAlignment="1">
      <alignment horizontal="center" vertical="center" wrapText="1"/>
    </xf>
    <xf numFmtId="49" fontId="0" fillId="0" borderId="2" xfId="0" applyNumberFormat="1" applyFont="1" applyBorder="1" applyAlignment="1">
      <alignment horizontal="center" vertical="center" wrapText="1"/>
    </xf>
    <xf numFmtId="0" fontId="0" fillId="3" borderId="2" xfId="0" applyFont="1" applyFill="1" applyBorder="1" applyAlignment="1">
      <alignment horizontal="center" vertical="center" wrapText="1"/>
    </xf>
    <xf numFmtId="1" fontId="0" fillId="0" borderId="2" xfId="0" applyNumberFormat="1" applyFont="1" applyBorder="1" applyAlignment="1">
      <alignment horizontal="center" vertical="center" wrapText="1"/>
    </xf>
    <xf numFmtId="1" fontId="1" fillId="0" borderId="2" xfId="0" applyNumberFormat="1" applyFont="1" applyBorder="1" applyAlignment="1">
      <alignment horizontal="center" vertical="center" wrapText="1"/>
    </xf>
    <xf numFmtId="0" fontId="0" fillId="0" borderId="5" xfId="0" applyFont="1" applyBorder="1" applyAlignment="1">
      <alignment horizontal="center" vertical="center" wrapText="1"/>
    </xf>
    <xf numFmtId="0" fontId="0" fillId="0" borderId="6" xfId="0" applyFont="1" applyBorder="1" applyAlignment="1">
      <alignment horizontal="center" vertical="center" wrapText="1"/>
    </xf>
    <xf numFmtId="0" fontId="0" fillId="0" borderId="7" xfId="0" applyFont="1" applyBorder="1" applyAlignment="1">
      <alignment horizontal="center" vertical="center" wrapText="1"/>
    </xf>
    <xf numFmtId="0" fontId="0" fillId="0" borderId="8" xfId="0" applyFont="1" applyBorder="1" applyAlignment="1">
      <alignment horizontal="center" vertical="center" wrapText="1"/>
    </xf>
    <xf numFmtId="49" fontId="0" fillId="0" borderId="9" xfId="0" applyNumberFormat="1" applyFont="1" applyBorder="1" applyAlignment="1">
      <alignment horizontal="center" vertical="center" wrapText="1"/>
    </xf>
    <xf numFmtId="0" fontId="0" fillId="5" borderId="9" xfId="0" applyFont="1" applyFill="1" applyBorder="1" applyAlignment="1">
      <alignment horizontal="center" vertical="center" wrapText="1"/>
    </xf>
    <xf numFmtId="0" fontId="0" fillId="3" borderId="9" xfId="0" applyFont="1" applyFill="1" applyBorder="1" applyAlignment="1">
      <alignment horizontal="center" vertical="center" wrapText="1"/>
    </xf>
    <xf numFmtId="1" fontId="0" fillId="0" borderId="9" xfId="0" applyNumberFormat="1" applyFont="1" applyBorder="1" applyAlignment="1">
      <alignment horizontal="center" vertical="center" wrapText="1"/>
    </xf>
    <xf numFmtId="1" fontId="1" fillId="0" borderId="9" xfId="0" applyNumberFormat="1" applyFont="1" applyBorder="1" applyAlignment="1">
      <alignment horizontal="center" vertical="center" wrapText="1"/>
    </xf>
    <xf numFmtId="165" fontId="1" fillId="6" borderId="10" xfId="0" applyNumberFormat="1" applyFont="1" applyFill="1" applyBorder="1" applyAlignment="1">
      <alignment horizontal="center" vertical="center" wrapText="1"/>
    </xf>
    <xf numFmtId="0" fontId="0" fillId="0" borderId="9" xfId="0" applyFont="1" applyBorder="1" applyAlignment="1">
      <alignment horizontal="center" vertical="center" wrapText="1"/>
    </xf>
    <xf numFmtId="0" fontId="0" fillId="0" borderId="11" xfId="0" applyFont="1" applyBorder="1" applyAlignment="1">
      <alignment horizontal="center" vertical="center" wrapText="1"/>
    </xf>
    <xf numFmtId="1" fontId="0" fillId="6" borderId="6" xfId="0" applyNumberFormat="1" applyFont="1" applyFill="1" applyBorder="1" applyAlignment="1">
      <alignment horizontal="center" vertical="center" wrapText="1"/>
    </xf>
    <xf numFmtId="0" fontId="0" fillId="0" borderId="0" xfId="0" applyFont="1" applyBorder="1" applyAlignment="1">
      <alignment horizontal="center" vertical="center"/>
    </xf>
    <xf numFmtId="165" fontId="1" fillId="7" borderId="5" xfId="0" applyNumberFormat="1" applyFont="1" applyFill="1" applyBorder="1" applyAlignment="1">
      <alignment horizontal="center" vertical="center" wrapText="1"/>
    </xf>
    <xf numFmtId="0" fontId="0" fillId="0" borderId="12" xfId="0" applyFont="1" applyBorder="1" applyAlignment="1">
      <alignment horizontal="center" vertical="center" wrapText="1"/>
    </xf>
    <xf numFmtId="1" fontId="0" fillId="0" borderId="6" xfId="0" applyNumberFormat="1" applyFont="1" applyBorder="1" applyAlignment="1">
      <alignment horizontal="center" vertical="center" wrapText="1"/>
    </xf>
    <xf numFmtId="1" fontId="0" fillId="7" borderId="2" xfId="0" applyNumberFormat="1" applyFont="1" applyFill="1" applyBorder="1" applyAlignment="1">
      <alignment horizontal="center" vertical="center" wrapText="1"/>
    </xf>
    <xf numFmtId="1" fontId="0" fillId="0" borderId="5" xfId="0" applyNumberFormat="1" applyFont="1" applyBorder="1" applyAlignment="1">
      <alignment horizontal="center" vertical="center" wrapText="1"/>
    </xf>
    <xf numFmtId="1" fontId="0" fillId="3" borderId="2" xfId="0" applyNumberFormat="1" applyFont="1" applyFill="1" applyBorder="1" applyAlignment="1">
      <alignment horizontal="center" vertical="center" wrapText="1"/>
    </xf>
    <xf numFmtId="0" fontId="0" fillId="5" borderId="2" xfId="0" applyFont="1" applyFill="1" applyBorder="1" applyAlignment="1">
      <alignment horizontal="center" vertical="center" wrapText="1"/>
    </xf>
    <xf numFmtId="165" fontId="1" fillId="6" borderId="5" xfId="0" applyNumberFormat="1" applyFont="1" applyFill="1" applyBorder="1" applyAlignment="1">
      <alignment horizontal="center" vertical="center" wrapText="1"/>
    </xf>
    <xf numFmtId="1" fontId="0" fillId="3" borderId="6" xfId="0" applyNumberFormat="1" applyFont="1" applyFill="1" applyBorder="1" applyAlignment="1">
      <alignment horizontal="center" vertical="center" wrapText="1"/>
    </xf>
    <xf numFmtId="0" fontId="0" fillId="3" borderId="7" xfId="0" applyFont="1" applyFill="1" applyBorder="1" applyAlignment="1">
      <alignment horizontal="center" vertical="center" wrapText="1"/>
    </xf>
    <xf numFmtId="49" fontId="0" fillId="0" borderId="1" xfId="0" applyNumberFormat="1" applyFont="1" applyBorder="1" applyAlignment="1">
      <alignment horizontal="center" vertical="center" wrapText="1"/>
    </xf>
    <xf numFmtId="1" fontId="0" fillId="0" borderId="1" xfId="0" applyNumberFormat="1" applyFont="1" applyBorder="1" applyAlignment="1">
      <alignment horizontal="center" vertical="center" wrapText="1"/>
    </xf>
    <xf numFmtId="0" fontId="0" fillId="8" borderId="2" xfId="0" applyFont="1" applyFill="1" applyBorder="1" applyAlignment="1">
      <alignment horizontal="center" vertical="center" wrapText="1"/>
    </xf>
    <xf numFmtId="1" fontId="0" fillId="8" borderId="2" xfId="0" applyNumberFormat="1" applyFont="1" applyFill="1" applyBorder="1" applyAlignment="1">
      <alignment horizontal="center" vertical="center" wrapText="1"/>
    </xf>
    <xf numFmtId="0" fontId="0" fillId="3" borderId="12" xfId="0" applyFont="1" applyFill="1" applyBorder="1" applyAlignment="1">
      <alignment horizontal="center" vertical="center" wrapText="1"/>
    </xf>
    <xf numFmtId="0" fontId="0" fillId="0" borderId="13" xfId="0" applyFont="1" applyBorder="1" applyAlignment="1">
      <alignment horizontal="center" vertical="center" wrapText="1"/>
    </xf>
    <xf numFmtId="1" fontId="0" fillId="0" borderId="13" xfId="0" applyNumberFormat="1" applyFont="1" applyBorder="1" applyAlignment="1">
      <alignment horizontal="center" vertical="center" wrapText="1"/>
    </xf>
    <xf numFmtId="0" fontId="0" fillId="5" borderId="1" xfId="0" applyFont="1" applyFill="1" applyBorder="1" applyAlignment="1">
      <alignment horizontal="center" vertical="center" wrapText="1"/>
    </xf>
    <xf numFmtId="1" fontId="0" fillId="0" borderId="3" xfId="0" applyNumberFormat="1" applyFont="1" applyBorder="1" applyAlignment="1">
      <alignment horizontal="center" vertical="center" wrapText="1"/>
    </xf>
    <xf numFmtId="1" fontId="0" fillId="0" borderId="4" xfId="0" applyNumberFormat="1" applyFont="1" applyBorder="1" applyAlignment="1">
      <alignment horizontal="center" vertical="center" wrapText="1"/>
    </xf>
    <xf numFmtId="1" fontId="0" fillId="3" borderId="1" xfId="0" applyNumberFormat="1" applyFont="1" applyFill="1" applyBorder="1" applyAlignment="1">
      <alignment horizontal="center" vertical="center" wrapText="1"/>
    </xf>
    <xf numFmtId="1" fontId="1" fillId="0" borderId="1" xfId="0" applyNumberFormat="1" applyFont="1" applyBorder="1" applyAlignment="1">
      <alignment horizontal="center" vertical="center" wrapText="1"/>
    </xf>
    <xf numFmtId="165" fontId="1" fillId="6" borderId="1" xfId="0" applyNumberFormat="1" applyFont="1" applyFill="1" applyBorder="1" applyAlignment="1">
      <alignment horizontal="center" vertical="center" wrapText="1"/>
    </xf>
    <xf numFmtId="1" fontId="0" fillId="6" borderId="1" xfId="0" applyNumberFormat="1"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0" borderId="2" xfId="0" applyFont="1" applyBorder="1" applyAlignment="1">
      <alignment horizontal="center" vertical="center" wrapText="1"/>
    </xf>
    <xf numFmtId="0" fontId="5" fillId="0" borderId="5" xfId="0" applyFont="1" applyBorder="1" applyAlignment="1">
      <alignment horizontal="center" vertical="center" wrapText="1"/>
    </xf>
    <xf numFmtId="49" fontId="5" fillId="0" borderId="2" xfId="0" applyNumberFormat="1" applyFont="1" applyBorder="1" applyAlignment="1">
      <alignment horizontal="center" vertical="center" wrapText="1"/>
    </xf>
    <xf numFmtId="0" fontId="5" fillId="5" borderId="2" xfId="0" applyFont="1" applyFill="1" applyBorder="1" applyAlignment="1">
      <alignment horizontal="center" vertical="center" wrapText="1"/>
    </xf>
    <xf numFmtId="1" fontId="5" fillId="0" borderId="2" xfId="0" applyNumberFormat="1" applyFont="1" applyBorder="1" applyAlignment="1">
      <alignment horizontal="center" vertical="center" wrapText="1"/>
    </xf>
    <xf numFmtId="1" fontId="5" fillId="3" borderId="2" xfId="0" applyNumberFormat="1" applyFont="1" applyFill="1" applyBorder="1" applyAlignment="1">
      <alignment horizontal="center" vertical="center" wrapText="1"/>
    </xf>
    <xf numFmtId="165" fontId="1" fillId="6" borderId="2" xfId="0" applyNumberFormat="1" applyFont="1" applyFill="1" applyBorder="1" applyAlignment="1">
      <alignment horizontal="center" vertical="center" wrapText="1"/>
    </xf>
    <xf numFmtId="165" fontId="1" fillId="7" borderId="2" xfId="0" applyNumberFormat="1" applyFont="1" applyFill="1" applyBorder="1" applyAlignment="1">
      <alignment horizontal="center" vertical="center" wrapText="1"/>
    </xf>
    <xf numFmtId="1" fontId="0" fillId="6" borderId="2" xfId="0" applyNumberFormat="1" applyFont="1" applyFill="1" applyBorder="1" applyAlignment="1">
      <alignment horizontal="center" vertical="center" wrapText="1"/>
    </xf>
    <xf numFmtId="165" fontId="1" fillId="0" borderId="0" xfId="0" applyNumberFormat="1" applyFont="1" applyBorder="1" applyAlignment="1">
      <alignment horizontal="center" vertical="center" wrapText="1"/>
    </xf>
    <xf numFmtId="0" fontId="0" fillId="0" borderId="10" xfId="0" applyFont="1" applyBorder="1" applyAlignment="1">
      <alignment horizontal="center" vertical="center" wrapText="1"/>
    </xf>
    <xf numFmtId="165" fontId="1" fillId="0" borderId="2" xfId="0" applyNumberFormat="1" applyFont="1" applyBorder="1" applyAlignment="1">
      <alignment horizontal="center" vertical="center" wrapText="1"/>
    </xf>
    <xf numFmtId="1" fontId="0" fillId="0" borderId="0" xfId="0" applyNumberFormat="1" applyFont="1" applyBorder="1" applyAlignment="1">
      <alignment horizontal="center" vertical="center" wrapText="1"/>
    </xf>
    <xf numFmtId="0" fontId="0" fillId="0" borderId="14" xfId="0" applyFont="1" applyBorder="1" applyAlignment="1">
      <alignment horizontal="center" vertical="center" wrapText="1"/>
    </xf>
    <xf numFmtId="165" fontId="1" fillId="0" borderId="1" xfId="0" applyNumberFormat="1" applyFont="1" applyBorder="1" applyAlignment="1">
      <alignment horizontal="center" vertical="center" wrapText="1"/>
    </xf>
    <xf numFmtId="1" fontId="0" fillId="3" borderId="9" xfId="0" applyNumberFormat="1" applyFont="1" applyFill="1" applyBorder="1" applyAlignment="1">
      <alignment horizontal="center" vertical="center" wrapText="1"/>
    </xf>
    <xf numFmtId="0" fontId="6" fillId="0" borderId="2" xfId="0" applyFont="1" applyBorder="1" applyAlignment="1">
      <alignment horizontal="center" vertical="center" wrapText="1"/>
    </xf>
    <xf numFmtId="165" fontId="1" fillId="7" borderId="9" xfId="0" applyNumberFormat="1" applyFont="1" applyFill="1" applyBorder="1" applyAlignment="1">
      <alignment horizontal="center" vertical="center" wrapText="1"/>
    </xf>
    <xf numFmtId="0" fontId="0" fillId="0" borderId="15" xfId="0" applyFont="1" applyBorder="1" applyAlignment="1">
      <alignment horizontal="center" vertical="center" wrapText="1"/>
    </xf>
    <xf numFmtId="49" fontId="0" fillId="0" borderId="15" xfId="0" applyNumberFormat="1" applyFont="1" applyBorder="1" applyAlignment="1">
      <alignment horizontal="center" vertical="center" wrapText="1"/>
    </xf>
    <xf numFmtId="0" fontId="0" fillId="3" borderId="15" xfId="0" applyFont="1" applyFill="1" applyBorder="1" applyAlignment="1">
      <alignment horizontal="center" vertical="center" wrapText="1"/>
    </xf>
    <xf numFmtId="1" fontId="0" fillId="0" borderId="15" xfId="0" applyNumberFormat="1" applyFont="1" applyBorder="1" applyAlignment="1">
      <alignment horizontal="center" vertical="center" wrapText="1"/>
    </xf>
    <xf numFmtId="1" fontId="1" fillId="0" borderId="15" xfId="0" applyNumberFormat="1" applyFont="1" applyBorder="1" applyAlignment="1">
      <alignment horizontal="center" vertical="center" wrapText="1"/>
    </xf>
    <xf numFmtId="165" fontId="1" fillId="0" borderId="15" xfId="0" applyNumberFormat="1" applyFont="1" applyBorder="1" applyAlignment="1">
      <alignment horizontal="center" vertical="center" wrapText="1"/>
    </xf>
    <xf numFmtId="1" fontId="0" fillId="3" borderId="15" xfId="0" applyNumberFormat="1" applyFont="1" applyFill="1" applyBorder="1" applyAlignment="1">
      <alignment horizontal="center" vertical="center" wrapText="1"/>
    </xf>
    <xf numFmtId="165" fontId="1" fillId="6" borderId="9" xfId="0" applyNumberFormat="1" applyFont="1" applyFill="1" applyBorder="1" applyAlignment="1">
      <alignment horizontal="center" vertical="center" wrapText="1"/>
    </xf>
    <xf numFmtId="0" fontId="0" fillId="9" borderId="2" xfId="0" applyFont="1" applyFill="1" applyBorder="1" applyAlignment="1">
      <alignment horizontal="center" vertical="center" wrapText="1"/>
    </xf>
    <xf numFmtId="164" fontId="0" fillId="0" borderId="3" xfId="0" applyNumberFormat="1" applyFont="1" applyBorder="1" applyAlignment="1">
      <alignment horizontal="center" vertical="center" wrapText="1"/>
    </xf>
    <xf numFmtId="0" fontId="5" fillId="0" borderId="0" xfId="0" applyFont="1" applyAlignment="1">
      <alignment horizontal="center" vertical="center" wrapText="1"/>
    </xf>
    <xf numFmtId="164" fontId="0" fillId="0" borderId="1" xfId="0" applyNumberFormat="1" applyFont="1" applyBorder="1" applyAlignment="1">
      <alignment horizontal="center" vertical="center"/>
    </xf>
    <xf numFmtId="164" fontId="0" fillId="3" borderId="1" xfId="0" applyNumberFormat="1" applyFont="1" applyFill="1" applyBorder="1" applyAlignment="1">
      <alignment horizontal="center" vertical="center"/>
    </xf>
    <xf numFmtId="164" fontId="0" fillId="5" borderId="1" xfId="0" applyNumberFormat="1" applyFont="1" applyFill="1" applyBorder="1" applyAlignment="1">
      <alignment horizontal="center" vertical="center"/>
    </xf>
    <xf numFmtId="49" fontId="0" fillId="0" borderId="0" xfId="0" applyNumberFormat="1" applyBorder="1" applyAlignment="1">
      <alignment horizontal="center"/>
    </xf>
    <xf numFmtId="0" fontId="0" fillId="0" borderId="0" xfId="0" applyBorder="1" applyAlignment="1">
      <alignment horizontal="center"/>
    </xf>
    <xf numFmtId="49" fontId="0" fillId="0" borderId="0" xfId="0" applyNumberFormat="1" applyFont="1" applyBorder="1" applyAlignment="1">
      <alignment horizontal="center"/>
    </xf>
    <xf numFmtId="49" fontId="7" fillId="0" borderId="2" xfId="0" applyNumberFormat="1" applyFont="1" applyBorder="1" applyAlignment="1">
      <alignment horizontal="center"/>
    </xf>
    <xf numFmtId="49" fontId="7" fillId="0" borderId="0" xfId="0" applyNumberFormat="1" applyFont="1" applyBorder="1" applyAlignment="1">
      <alignment horizontal="center"/>
    </xf>
    <xf numFmtId="49" fontId="5" fillId="0" borderId="2" xfId="0" applyNumberFormat="1" applyFont="1" applyBorder="1" applyAlignment="1">
      <alignment horizontal="center"/>
    </xf>
    <xf numFmtId="49" fontId="4" fillId="0" borderId="2" xfId="0" applyNumberFormat="1" applyFont="1" applyBorder="1" applyAlignment="1">
      <alignment horizontal="center" vertical="center"/>
    </xf>
    <xf numFmtId="49" fontId="4" fillId="10" borderId="2" xfId="0" applyNumberFormat="1" applyFont="1" applyFill="1" applyBorder="1" applyAlignment="1">
      <alignment horizontal="center" vertical="center"/>
    </xf>
    <xf numFmtId="0" fontId="4" fillId="0" borderId="2" xfId="0" applyFont="1" applyBorder="1" applyAlignment="1">
      <alignment horizontal="center" vertical="center"/>
    </xf>
    <xf numFmtId="49" fontId="5" fillId="0" borderId="0" xfId="0" applyNumberFormat="1" applyFont="1" applyBorder="1" applyAlignment="1">
      <alignment horizontal="center"/>
    </xf>
    <xf numFmtId="49" fontId="0" fillId="0" borderId="2" xfId="0" applyNumberFormat="1" applyFont="1" applyBorder="1" applyAlignment="1">
      <alignment horizontal="center"/>
    </xf>
    <xf numFmtId="49" fontId="0" fillId="10" borderId="2" xfId="0" applyNumberFormat="1" applyFill="1" applyBorder="1" applyAlignment="1">
      <alignment horizontal="center"/>
    </xf>
    <xf numFmtId="49" fontId="0" fillId="11" borderId="2" xfId="0" applyNumberFormat="1" applyFont="1" applyFill="1" applyBorder="1" applyAlignment="1">
      <alignment horizontal="center"/>
    </xf>
    <xf numFmtId="49" fontId="0" fillId="12" borderId="2" xfId="0" applyNumberFormat="1" applyFont="1" applyFill="1" applyBorder="1" applyAlignment="1">
      <alignment horizontal="center"/>
    </xf>
    <xf numFmtId="0" fontId="0" fillId="11" borderId="2" xfId="0" applyFont="1" applyFill="1" applyBorder="1" applyAlignment="1">
      <alignment horizontal="center"/>
    </xf>
    <xf numFmtId="49" fontId="0" fillId="0" borderId="2" xfId="0" applyNumberFormat="1" applyBorder="1" applyAlignment="1">
      <alignment horizontal="center"/>
    </xf>
    <xf numFmtId="0" fontId="0" fillId="0" borderId="2" xfId="0" applyBorder="1" applyAlignment="1">
      <alignment horizontal="center"/>
    </xf>
    <xf numFmtId="0" fontId="0" fillId="0" borderId="2" xfId="0" applyFont="1" applyBorder="1" applyAlignment="1">
      <alignment horizontal="center"/>
    </xf>
    <xf numFmtId="0" fontId="0" fillId="0" borderId="0" xfId="0" applyAlignment="1">
      <alignment horizontal="center"/>
    </xf>
    <xf numFmtId="49" fontId="8" fillId="0" borderId="2" xfId="0" applyNumberFormat="1" applyFont="1" applyBorder="1" applyAlignment="1">
      <alignment horizontal="center"/>
    </xf>
    <xf numFmtId="49" fontId="0" fillId="10" borderId="2" xfId="0" applyNumberFormat="1" applyFont="1" applyFill="1" applyBorder="1" applyAlignment="1">
      <alignment horizontal="center"/>
    </xf>
    <xf numFmtId="0" fontId="0" fillId="0" borderId="2" xfId="0" applyFont="1" applyBorder="1" applyAlignment="1">
      <alignment horizontal="center" wrapText="1"/>
    </xf>
    <xf numFmtId="1" fontId="0" fillId="0" borderId="0" xfId="0" applyNumberFormat="1" applyFont="1" applyAlignment="1">
      <alignment horizontal="center" vertical="center"/>
    </xf>
    <xf numFmtId="166" fontId="0" fillId="0" borderId="0" xfId="0" applyNumberFormat="1" applyFont="1" applyAlignment="1">
      <alignment horizontal="center" vertical="center"/>
    </xf>
    <xf numFmtId="167" fontId="0" fillId="0" borderId="0" xfId="0" applyNumberFormat="1" applyFont="1" applyAlignment="1">
      <alignment horizontal="center" vertical="center"/>
    </xf>
    <xf numFmtId="164" fontId="0" fillId="0" borderId="0" xfId="0" applyNumberFormat="1" applyFont="1" applyAlignment="1">
      <alignment horizontal="center" vertical="center"/>
    </xf>
    <xf numFmtId="166" fontId="0" fillId="0" borderId="0" xfId="0" applyNumberFormat="1" applyFont="1" applyAlignment="1">
      <alignment horizontal="center" vertical="center" wrapText="1"/>
    </xf>
    <xf numFmtId="167" fontId="0" fillId="0" borderId="0" xfId="0" applyNumberFormat="1" applyFont="1" applyAlignment="1">
      <alignment horizontal="center" vertical="center" wrapText="1"/>
    </xf>
    <xf numFmtId="166" fontId="0" fillId="0" borderId="0" xfId="0" applyNumberFormat="1" applyFont="1" applyBorder="1" applyAlignment="1">
      <alignment horizontal="center" vertical="center" wrapText="1"/>
    </xf>
    <xf numFmtId="1" fontId="1" fillId="0" borderId="0" xfId="0" applyNumberFormat="1" applyFont="1" applyAlignment="1">
      <alignment horizontal="center" vertical="center"/>
    </xf>
    <xf numFmtId="167" fontId="1" fillId="0" borderId="0" xfId="0" applyNumberFormat="1" applyFont="1" applyAlignment="1">
      <alignment horizontal="center" vertical="center"/>
    </xf>
    <xf numFmtId="164" fontId="1" fillId="0" borderId="0" xfId="0" applyNumberFormat="1" applyFont="1" applyAlignment="1">
      <alignment horizontal="center" vertical="center"/>
    </xf>
    <xf numFmtId="0" fontId="5" fillId="0" borderId="0" xfId="0" applyFont="1" applyAlignment="1">
      <alignment horizontal="center" vertical="center"/>
    </xf>
    <xf numFmtId="0" fontId="1" fillId="0" borderId="16" xfId="0" applyFont="1" applyBorder="1" applyAlignment="1">
      <alignment horizontal="center"/>
    </xf>
    <xf numFmtId="0" fontId="1" fillId="10" borderId="16" xfId="0" applyFont="1" applyFill="1" applyBorder="1" applyAlignment="1">
      <alignment horizontal="center" vertical="center"/>
    </xf>
    <xf numFmtId="0" fontId="1" fillId="0" borderId="16" xfId="0" applyFont="1" applyBorder="1" applyAlignment="1">
      <alignment horizontal="center" vertical="center"/>
    </xf>
    <xf numFmtId="0" fontId="0" fillId="0" borderId="16" xfId="0" applyFont="1" applyBorder="1" applyAlignment="1">
      <alignment horizontal="center" vertical="center"/>
    </xf>
    <xf numFmtId="164" fontId="1" fillId="10" borderId="16" xfId="0" applyNumberFormat="1" applyFont="1" applyFill="1" applyBorder="1" applyAlignment="1">
      <alignment horizontal="center" vertical="center" wrapText="1"/>
    </xf>
    <xf numFmtId="167" fontId="1" fillId="10" borderId="16" xfId="0" applyNumberFormat="1" applyFont="1" applyFill="1" applyBorder="1" applyAlignment="1">
      <alignment horizontal="center" vertical="center"/>
    </xf>
    <xf numFmtId="1" fontId="1" fillId="0" borderId="16" xfId="0" applyNumberFormat="1" applyFont="1" applyBorder="1" applyAlignment="1">
      <alignment horizontal="center" vertical="center"/>
    </xf>
    <xf numFmtId="167" fontId="1" fillId="0" borderId="16" xfId="0" applyNumberFormat="1" applyFont="1" applyBorder="1" applyAlignment="1">
      <alignment horizontal="center" vertical="center"/>
    </xf>
    <xf numFmtId="165" fontId="1" fillId="10" borderId="16" xfId="0" applyNumberFormat="1" applyFont="1" applyFill="1" applyBorder="1" applyAlignment="1">
      <alignment horizontal="center" vertical="center"/>
    </xf>
    <xf numFmtId="164" fontId="1" fillId="10" borderId="16" xfId="0" applyNumberFormat="1" applyFont="1" applyFill="1" applyBorder="1" applyAlignment="1">
      <alignment horizontal="center" vertical="center"/>
    </xf>
    <xf numFmtId="0" fontId="1" fillId="10" borderId="16" xfId="0" applyFont="1" applyFill="1" applyBorder="1" applyAlignment="1">
      <alignment horizontal="center"/>
    </xf>
    <xf numFmtId="0" fontId="0" fillId="0" borderId="16" xfId="0" applyFont="1" applyBorder="1" applyAlignment="1">
      <alignment horizontal="center"/>
    </xf>
    <xf numFmtId="0" fontId="9" fillId="0" borderId="0" xfId="0" applyFont="1" applyAlignment="1">
      <alignment horizontal="center" vertical="center"/>
    </xf>
    <xf numFmtId="0" fontId="1" fillId="3" borderId="16" xfId="0" applyFont="1" applyFill="1" applyBorder="1" applyAlignment="1">
      <alignment horizontal="center" vertical="center"/>
    </xf>
    <xf numFmtId="0" fontId="6" fillId="0" borderId="0" xfId="0" applyFont="1" applyAlignment="1">
      <alignment horizontal="center" vertical="center"/>
    </xf>
    <xf numFmtId="0" fontId="0" fillId="13" borderId="16" xfId="0" applyFont="1" applyFill="1" applyBorder="1" applyAlignment="1">
      <alignment horizontal="center" vertical="center"/>
    </xf>
    <xf numFmtId="1" fontId="0" fillId="11" borderId="16" xfId="0" applyNumberFormat="1" applyFont="1" applyFill="1" applyBorder="1" applyAlignment="1">
      <alignment horizontal="center" vertical="center" wrapText="1"/>
    </xf>
    <xf numFmtId="168" fontId="0" fillId="11" borderId="16" xfId="0" applyNumberFormat="1" applyFont="1" applyFill="1" applyBorder="1" applyAlignment="1">
      <alignment horizontal="center" vertical="center" wrapText="1"/>
    </xf>
    <xf numFmtId="167" fontId="0" fillId="11" borderId="16" xfId="0" applyNumberFormat="1" applyFont="1" applyFill="1" applyBorder="1" applyAlignment="1">
      <alignment horizontal="center" vertical="center" wrapText="1"/>
    </xf>
    <xf numFmtId="0" fontId="0" fillId="11" borderId="16" xfId="0" applyFont="1" applyFill="1" applyBorder="1" applyAlignment="1">
      <alignment horizontal="center"/>
    </xf>
    <xf numFmtId="1" fontId="0" fillId="11" borderId="16" xfId="0" applyNumberFormat="1" applyFont="1" applyFill="1" applyBorder="1" applyAlignment="1">
      <alignment horizontal="center" vertical="center"/>
    </xf>
    <xf numFmtId="166" fontId="0" fillId="11" borderId="16" xfId="0" applyNumberFormat="1" applyFont="1" applyFill="1" applyBorder="1" applyAlignment="1">
      <alignment horizontal="center" vertical="center"/>
    </xf>
    <xf numFmtId="167" fontId="0" fillId="11" borderId="16" xfId="0" applyNumberFormat="1" applyFont="1" applyFill="1" applyBorder="1" applyAlignment="1">
      <alignment horizontal="center" vertical="center"/>
    </xf>
    <xf numFmtId="165" fontId="1" fillId="11" borderId="16" xfId="0" applyNumberFormat="1" applyFont="1" applyFill="1" applyBorder="1" applyAlignment="1">
      <alignment horizontal="center" vertical="center"/>
    </xf>
    <xf numFmtId="164" fontId="5" fillId="0" borderId="0" xfId="0" applyNumberFormat="1" applyFont="1" applyAlignment="1">
      <alignment horizontal="center" vertical="center"/>
    </xf>
    <xf numFmtId="169" fontId="0" fillId="0" borderId="0" xfId="0" applyNumberFormat="1" applyAlignment="1">
      <alignment horizontal="center"/>
    </xf>
    <xf numFmtId="49" fontId="0" fillId="11" borderId="16" xfId="0" applyNumberFormat="1" applyFont="1" applyFill="1" applyBorder="1" applyAlignment="1">
      <alignment horizontal="center" vertical="center"/>
    </xf>
    <xf numFmtId="0" fontId="0" fillId="10" borderId="16" xfId="0" applyFont="1" applyFill="1" applyBorder="1" applyAlignment="1">
      <alignment horizontal="center" vertical="center"/>
    </xf>
    <xf numFmtId="1" fontId="0" fillId="10" borderId="16" xfId="0" applyNumberFormat="1" applyFont="1" applyFill="1" applyBorder="1" applyAlignment="1">
      <alignment horizontal="center" vertical="center"/>
    </xf>
    <xf numFmtId="0" fontId="0" fillId="0" borderId="16" xfId="0" applyBorder="1" applyAlignment="1">
      <alignment horizontal="center"/>
    </xf>
    <xf numFmtId="1" fontId="0" fillId="0" borderId="16" xfId="0" applyNumberFormat="1" applyFont="1" applyBorder="1" applyAlignment="1">
      <alignment horizontal="center" vertical="center"/>
    </xf>
    <xf numFmtId="0" fontId="5" fillId="0" borderId="16" xfId="0" applyFont="1" applyBorder="1" applyAlignment="1">
      <alignment horizontal="center" vertical="center"/>
    </xf>
    <xf numFmtId="0" fontId="0" fillId="0" borderId="0" xfId="0" applyBorder="1"/>
    <xf numFmtId="49" fontId="0" fillId="14" borderId="2" xfId="0" applyNumberFormat="1" applyFont="1" applyFill="1" applyBorder="1" applyAlignment="1">
      <alignment horizontal="center"/>
    </xf>
    <xf numFmtId="0" fontId="0" fillId="14" borderId="2" xfId="0" applyFont="1" applyFill="1" applyBorder="1" applyAlignment="1">
      <alignment horizontal="center"/>
    </xf>
    <xf numFmtId="49" fontId="0" fillId="14" borderId="0"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AE00"/>
      <rgbColor rgb="FF000080"/>
      <rgbColor rgb="FF808000"/>
      <rgbColor rgb="FF800080"/>
      <rgbColor rgb="FF008080"/>
      <rgbColor rgb="FFC4BD97"/>
      <rgbColor rgb="FF808080"/>
      <rgbColor rgb="FF729FCF"/>
      <rgbColor rgb="FFFF3333"/>
      <rgbColor rgb="FFFFFFCC"/>
      <rgbColor rgb="FFCFE7F5"/>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3366FF"/>
      <rgbColor rgb="FF33CC66"/>
      <rgbColor rgb="FF99CC00"/>
      <rgbColor rgb="FFFFC000"/>
      <rgbColor rgb="FFFF9900"/>
      <rgbColor rgb="FFFF420E"/>
      <rgbColor rgb="FF558ED5"/>
      <rgbColor rgb="FF969696"/>
      <rgbColor rgb="FF003366"/>
      <rgbColor rgb="FF339966"/>
      <rgbColor rgb="FF003300"/>
      <rgbColor rgb="FF333300"/>
      <rgbColor rgb="FFDC2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K56"/>
  <sheetViews>
    <sheetView topLeftCell="A2" zoomScale="95" zoomScaleNormal="95" workbookViewId="0">
      <selection activeCell="G37" sqref="G37"/>
    </sheetView>
  </sheetViews>
  <sheetFormatPr defaultRowHeight="15.75"/>
  <cols>
    <col min="1" max="1" width="8.125" style="9"/>
    <col min="2" max="2" width="27.875" style="10"/>
    <col min="3" max="3" width="12.625" style="10"/>
    <col min="4" max="4" width="12.5" style="10"/>
    <col min="5" max="5" width="9.375" style="11"/>
    <col min="6" max="6" width="41.375" style="11"/>
    <col min="7" max="7" width="251.125" style="9"/>
    <col min="8" max="1025" width="10.875" style="9"/>
  </cols>
  <sheetData>
    <row r="2" spans="1:7" ht="18.75">
      <c r="B2" s="12" t="s">
        <v>0</v>
      </c>
      <c r="C2" s="12"/>
      <c r="D2" s="12"/>
    </row>
    <row r="3" spans="1:7" s="13" customFormat="1">
      <c r="A3" s="13" t="s">
        <v>1</v>
      </c>
      <c r="B3" s="14"/>
      <c r="C3" s="14"/>
      <c r="D3" s="14"/>
      <c r="E3" s="15"/>
      <c r="F3" s="15"/>
      <c r="G3" s="15"/>
    </row>
    <row r="4" spans="1:7" s="13" customFormat="1">
      <c r="A4" s="13" t="s">
        <v>2</v>
      </c>
      <c r="B4" s="14" t="s">
        <v>3</v>
      </c>
      <c r="C4" s="14" t="s">
        <v>4</v>
      </c>
      <c r="D4" s="16" t="s">
        <v>5</v>
      </c>
      <c r="E4" s="15" t="s">
        <v>6</v>
      </c>
      <c r="F4" s="15"/>
      <c r="G4" s="15"/>
    </row>
    <row r="5" spans="1:7">
      <c r="B5" s="17" t="s">
        <v>7</v>
      </c>
      <c r="C5" s="17"/>
      <c r="D5" s="18"/>
      <c r="E5" s="19"/>
      <c r="F5" s="19"/>
      <c r="G5" s="19"/>
    </row>
    <row r="6" spans="1:7">
      <c r="A6" s="9" t="s">
        <v>8</v>
      </c>
      <c r="B6" s="20" t="s">
        <v>9</v>
      </c>
      <c r="C6" s="20" t="s">
        <v>10</v>
      </c>
      <c r="D6" s="21" t="str">
        <f t="shared" ref="D6:D19" si="0">DEC2HEX(C6)</f>
        <v>1</v>
      </c>
      <c r="E6" s="9" t="s">
        <v>11</v>
      </c>
    </row>
    <row r="7" spans="1:7">
      <c r="A7" s="9" t="s">
        <v>8</v>
      </c>
      <c r="B7" s="20" t="s">
        <v>12</v>
      </c>
      <c r="C7" s="20" t="s">
        <v>13</v>
      </c>
      <c r="D7" s="21" t="str">
        <f t="shared" si="0"/>
        <v>2</v>
      </c>
      <c r="E7" s="9" t="s">
        <v>14</v>
      </c>
    </row>
    <row r="8" spans="1:7">
      <c r="A8" s="9" t="s">
        <v>8</v>
      </c>
      <c r="B8" s="20" t="s">
        <v>15</v>
      </c>
      <c r="C8" s="20" t="s">
        <v>16</v>
      </c>
      <c r="D8" s="21" t="str">
        <f t="shared" si="0"/>
        <v>3</v>
      </c>
      <c r="E8" s="9" t="s">
        <v>17</v>
      </c>
    </row>
    <row r="9" spans="1:7">
      <c r="A9" s="9" t="s">
        <v>8</v>
      </c>
      <c r="B9" s="20" t="s">
        <v>18</v>
      </c>
      <c r="C9" s="20" t="s">
        <v>19</v>
      </c>
      <c r="D9" s="21" t="str">
        <f t="shared" si="0"/>
        <v>4</v>
      </c>
      <c r="E9" s="9" t="s">
        <v>20</v>
      </c>
    </row>
    <row r="10" spans="1:7">
      <c r="A10" s="9" t="s">
        <v>8</v>
      </c>
      <c r="B10" s="20" t="s">
        <v>21</v>
      </c>
      <c r="C10" s="20" t="s">
        <v>22</v>
      </c>
      <c r="D10" s="21" t="str">
        <f t="shared" si="0"/>
        <v>5</v>
      </c>
      <c r="E10" s="9" t="s">
        <v>23</v>
      </c>
    </row>
    <row r="11" spans="1:7">
      <c r="A11" s="9" t="s">
        <v>8</v>
      </c>
      <c r="B11" s="20" t="s">
        <v>24</v>
      </c>
      <c r="C11" s="20" t="s">
        <v>25</v>
      </c>
      <c r="D11" s="21" t="str">
        <f t="shared" si="0"/>
        <v>6</v>
      </c>
      <c r="E11" s="9" t="s">
        <v>26</v>
      </c>
    </row>
    <row r="12" spans="1:7">
      <c r="A12" s="9" t="s">
        <v>8</v>
      </c>
      <c r="B12" s="20" t="s">
        <v>27</v>
      </c>
      <c r="C12" s="20" t="s">
        <v>28</v>
      </c>
      <c r="D12" s="21" t="str">
        <f t="shared" si="0"/>
        <v>7</v>
      </c>
      <c r="E12" s="9" t="s">
        <v>29</v>
      </c>
      <c r="G12" s="9" t="s">
        <v>30</v>
      </c>
    </row>
    <row r="13" spans="1:7">
      <c r="B13" s="17" t="s">
        <v>31</v>
      </c>
      <c r="C13" s="17"/>
      <c r="D13" s="21" t="str">
        <f t="shared" si="0"/>
        <v>0</v>
      </c>
    </row>
    <row r="14" spans="1:7">
      <c r="A14" s="9" t="s">
        <v>8</v>
      </c>
      <c r="B14" s="20" t="s">
        <v>32</v>
      </c>
      <c r="C14" s="20" t="s">
        <v>33</v>
      </c>
      <c r="D14" s="21" t="str">
        <f t="shared" si="0"/>
        <v>8</v>
      </c>
      <c r="E14" s="19" t="s">
        <v>34</v>
      </c>
      <c r="F14" s="19" t="s">
        <v>35</v>
      </c>
    </row>
    <row r="15" spans="1:7">
      <c r="A15" s="9" t="s">
        <v>8</v>
      </c>
      <c r="B15" s="20" t="s">
        <v>36</v>
      </c>
      <c r="C15" s="20" t="s">
        <v>37</v>
      </c>
      <c r="D15" s="21" t="str">
        <f t="shared" si="0"/>
        <v>9</v>
      </c>
      <c r="E15" s="19" t="s">
        <v>38</v>
      </c>
      <c r="F15" s="19" t="s">
        <v>39</v>
      </c>
    </row>
    <row r="16" spans="1:7">
      <c r="A16" s="9" t="s">
        <v>8</v>
      </c>
      <c r="B16" s="20" t="s">
        <v>40</v>
      </c>
      <c r="C16" s="20" t="s">
        <v>41</v>
      </c>
      <c r="D16" s="21" t="str">
        <f t="shared" si="0"/>
        <v>A</v>
      </c>
      <c r="E16" s="19" t="s">
        <v>42</v>
      </c>
      <c r="F16" s="19" t="s">
        <v>43</v>
      </c>
    </row>
    <row r="17" spans="1:7">
      <c r="A17" s="9" t="s">
        <v>8</v>
      </c>
      <c r="B17" s="20" t="s">
        <v>40</v>
      </c>
      <c r="C17" s="20" t="s">
        <v>41</v>
      </c>
      <c r="D17" s="21" t="str">
        <f t="shared" si="0"/>
        <v>A</v>
      </c>
      <c r="E17" s="9" t="s">
        <v>44</v>
      </c>
      <c r="F17" s="9" t="s">
        <v>45</v>
      </c>
    </row>
    <row r="18" spans="1:7">
      <c r="A18" s="9" t="s">
        <v>8</v>
      </c>
      <c r="B18" s="20" t="s">
        <v>46</v>
      </c>
      <c r="C18" s="20" t="s">
        <v>47</v>
      </c>
      <c r="D18" s="21" t="str">
        <f t="shared" si="0"/>
        <v>B</v>
      </c>
      <c r="E18" s="19" t="s">
        <v>48</v>
      </c>
      <c r="F18" s="19" t="s">
        <v>49</v>
      </c>
    </row>
    <row r="19" spans="1:7">
      <c r="A19" s="9" t="s">
        <v>8</v>
      </c>
      <c r="B19" s="20" t="s">
        <v>50</v>
      </c>
      <c r="C19" s="20" t="s">
        <v>51</v>
      </c>
      <c r="D19" s="21" t="str">
        <f t="shared" si="0"/>
        <v>C</v>
      </c>
      <c r="E19" s="19" t="s">
        <v>52</v>
      </c>
      <c r="F19" s="19" t="s">
        <v>53</v>
      </c>
    </row>
    <row r="20" spans="1:7">
      <c r="B20" s="17" t="s">
        <v>54</v>
      </c>
      <c r="C20" s="17"/>
      <c r="D20" s="21"/>
      <c r="E20" s="19"/>
      <c r="F20" s="19"/>
    </row>
    <row r="21" spans="1:7">
      <c r="A21" s="9" t="s">
        <v>8</v>
      </c>
      <c r="B21" s="20" t="s">
        <v>55</v>
      </c>
      <c r="C21" s="20" t="s">
        <v>56</v>
      </c>
      <c r="D21" s="21" t="str">
        <f>DEC2HEX(C21)</f>
        <v>D</v>
      </c>
      <c r="E21" s="19" t="s">
        <v>57</v>
      </c>
      <c r="F21" s="19" t="s">
        <v>58</v>
      </c>
    </row>
    <row r="22" spans="1:7">
      <c r="A22" s="9" t="s">
        <v>8</v>
      </c>
      <c r="B22" s="20" t="s">
        <v>59</v>
      </c>
      <c r="C22" s="20" t="s">
        <v>60</v>
      </c>
      <c r="D22" s="21" t="str">
        <f>DEC2HEX(C22)</f>
        <v>E</v>
      </c>
      <c r="E22" s="19" t="s">
        <v>61</v>
      </c>
      <c r="F22" s="19" t="s">
        <v>62</v>
      </c>
    </row>
    <row r="23" spans="1:7">
      <c r="A23" s="9" t="s">
        <v>8</v>
      </c>
      <c r="B23" s="20" t="s">
        <v>63</v>
      </c>
      <c r="C23" s="20" t="s">
        <v>64</v>
      </c>
      <c r="D23" s="21" t="str">
        <f>DEC2HEX(C23)</f>
        <v>F</v>
      </c>
      <c r="E23" s="19" t="s">
        <v>65</v>
      </c>
      <c r="F23" s="19" t="s">
        <v>66</v>
      </c>
      <c r="G23" s="19" t="s">
        <v>67</v>
      </c>
    </row>
    <row r="24" spans="1:7">
      <c r="B24" s="17" t="s">
        <v>68</v>
      </c>
      <c r="C24" s="17"/>
      <c r="D24" s="21"/>
      <c r="E24" s="19"/>
      <c r="F24" s="19"/>
      <c r="G24" s="19"/>
    </row>
    <row r="25" spans="1:7">
      <c r="A25" s="9" t="s">
        <v>8</v>
      </c>
      <c r="B25" s="20" t="s">
        <v>69</v>
      </c>
      <c r="C25" s="20" t="s">
        <v>70</v>
      </c>
      <c r="D25" s="21" t="str">
        <f>DEC2HEX(C25)</f>
        <v>0</v>
      </c>
      <c r="E25" s="19" t="s">
        <v>68</v>
      </c>
      <c r="F25" s="19" t="s">
        <v>71</v>
      </c>
    </row>
    <row r="26" spans="1:7">
      <c r="B26" s="20"/>
      <c r="C26" s="20"/>
      <c r="D26" s="21"/>
      <c r="E26" s="19"/>
      <c r="F26" s="19"/>
    </row>
    <row r="27" spans="1:7">
      <c r="B27" s="17" t="s">
        <v>72</v>
      </c>
      <c r="C27" s="17"/>
      <c r="D27" s="21"/>
      <c r="E27" s="19"/>
      <c r="F27" s="19"/>
      <c r="G27" s="19"/>
    </row>
    <row r="28" spans="1:7">
      <c r="A28" s="9" t="s">
        <v>73</v>
      </c>
      <c r="B28" s="20">
        <v>100010</v>
      </c>
      <c r="C28" s="20" t="s">
        <v>74</v>
      </c>
      <c r="D28" s="21" t="str">
        <f>DEC2HEX(C28)</f>
        <v>20</v>
      </c>
      <c r="E28" s="19" t="s">
        <v>75</v>
      </c>
      <c r="F28" s="19" t="s">
        <v>76</v>
      </c>
      <c r="G28" s="19" t="s">
        <v>77</v>
      </c>
    </row>
    <row r="29" spans="1:7">
      <c r="A29" s="9" t="s">
        <v>73</v>
      </c>
      <c r="B29" s="20">
        <v>100011</v>
      </c>
      <c r="C29" s="20" t="s">
        <v>78</v>
      </c>
      <c r="D29" s="21" t="str">
        <f>DEC2HEX(C29)</f>
        <v>21</v>
      </c>
      <c r="E29" s="19" t="s">
        <v>79</v>
      </c>
      <c r="F29" s="19" t="s">
        <v>80</v>
      </c>
      <c r="G29" s="19" t="s">
        <v>81</v>
      </c>
    </row>
    <row r="30" spans="1:7">
      <c r="B30" s="20"/>
      <c r="C30" s="20"/>
      <c r="D30" s="21"/>
      <c r="E30" s="19"/>
    </row>
    <row r="31" spans="1:7">
      <c r="D31" s="21"/>
    </row>
    <row r="32" spans="1:7" ht="18.75">
      <c r="B32" s="12" t="s">
        <v>82</v>
      </c>
      <c r="C32" s="12"/>
      <c r="D32" s="21"/>
    </row>
    <row r="33" spans="1:7" s="13" customFormat="1">
      <c r="A33" s="13" t="s">
        <v>1</v>
      </c>
      <c r="B33" s="14"/>
      <c r="C33" s="14"/>
      <c r="D33" s="21"/>
      <c r="E33" s="15"/>
      <c r="F33" s="15"/>
      <c r="G33" s="15"/>
    </row>
    <row r="34" spans="1:7" s="13" customFormat="1">
      <c r="A34" s="13" t="s">
        <v>2</v>
      </c>
      <c r="B34" s="14" t="s">
        <v>3</v>
      </c>
      <c r="C34" s="14"/>
      <c r="D34" s="21"/>
      <c r="E34" s="15" t="s">
        <v>6</v>
      </c>
      <c r="F34" s="15"/>
      <c r="G34" s="15"/>
    </row>
    <row r="35" spans="1:7">
      <c r="B35" s="22" t="s">
        <v>83</v>
      </c>
      <c r="C35" s="22"/>
      <c r="D35" s="21"/>
    </row>
    <row r="36" spans="1:7">
      <c r="A36" s="9" t="s">
        <v>8</v>
      </c>
      <c r="B36" s="23" t="s">
        <v>84</v>
      </c>
      <c r="C36" s="23" t="s">
        <v>85</v>
      </c>
      <c r="D36" s="21" t="str">
        <f>DEC2HEX(C36)</f>
        <v>10</v>
      </c>
      <c r="E36" s="9" t="s">
        <v>86</v>
      </c>
      <c r="F36" s="9" t="s">
        <v>87</v>
      </c>
      <c r="G36" s="9" t="s">
        <v>88</v>
      </c>
    </row>
    <row r="37" spans="1:7">
      <c r="A37" s="9" t="s">
        <v>8</v>
      </c>
      <c r="B37" s="23" t="s">
        <v>89</v>
      </c>
      <c r="C37" s="23" t="s">
        <v>90</v>
      </c>
      <c r="D37" s="21" t="str">
        <f>DEC2HEX(C37)</f>
        <v>11</v>
      </c>
      <c r="E37" s="9" t="s">
        <v>91</v>
      </c>
      <c r="F37" s="9" t="s">
        <v>92</v>
      </c>
      <c r="G37" s="9" t="s">
        <v>93</v>
      </c>
    </row>
    <row r="38" spans="1:7">
      <c r="A38" s="9" t="s">
        <v>8</v>
      </c>
      <c r="B38" s="23" t="s">
        <v>94</v>
      </c>
      <c r="C38" s="23" t="s">
        <v>95</v>
      </c>
      <c r="D38" s="21" t="str">
        <f>DEC2HEX(C38)</f>
        <v>12</v>
      </c>
      <c r="E38" s="9" t="s">
        <v>96</v>
      </c>
      <c r="F38" s="9" t="s">
        <v>97</v>
      </c>
      <c r="G38" s="9" t="s">
        <v>98</v>
      </c>
    </row>
    <row r="39" spans="1:7">
      <c r="B39" s="22" t="s">
        <v>7</v>
      </c>
      <c r="C39" s="22"/>
      <c r="D39" s="21"/>
    </row>
    <row r="40" spans="1:7">
      <c r="A40" s="9" t="s">
        <v>73</v>
      </c>
      <c r="B40" s="23" t="s">
        <v>99</v>
      </c>
      <c r="C40" s="23" t="s">
        <v>100</v>
      </c>
      <c r="D40" s="21" t="str">
        <f>DEC2HEX(C40)</f>
        <v>22</v>
      </c>
      <c r="E40" s="9" t="s">
        <v>101</v>
      </c>
      <c r="F40" s="9" t="s">
        <v>102</v>
      </c>
      <c r="G40" s="9" t="s">
        <v>103</v>
      </c>
    </row>
    <row r="41" spans="1:7">
      <c r="A41" s="9" t="s">
        <v>73</v>
      </c>
      <c r="B41" s="23" t="s">
        <v>104</v>
      </c>
      <c r="C41" s="23" t="s">
        <v>105</v>
      </c>
      <c r="D41" s="21" t="str">
        <f>DEC2HEX(C41)</f>
        <v>23</v>
      </c>
      <c r="E41" s="9" t="s">
        <v>106</v>
      </c>
      <c r="F41" s="9" t="s">
        <v>107</v>
      </c>
      <c r="G41" s="9" t="s">
        <v>108</v>
      </c>
    </row>
    <row r="42" spans="1:7">
      <c r="A42" s="9" t="s">
        <v>73</v>
      </c>
      <c r="B42" s="23" t="s">
        <v>109</v>
      </c>
      <c r="C42" s="23" t="s">
        <v>110</v>
      </c>
      <c r="D42" s="21" t="str">
        <f>DEC2HEX(C42)</f>
        <v>24</v>
      </c>
      <c r="E42" s="9" t="s">
        <v>111</v>
      </c>
      <c r="G42" s="9" t="s">
        <v>112</v>
      </c>
    </row>
    <row r="43" spans="1:7">
      <c r="A43" s="9" t="s">
        <v>73</v>
      </c>
      <c r="B43" s="23" t="s">
        <v>113</v>
      </c>
      <c r="C43" s="23" t="s">
        <v>114</v>
      </c>
      <c r="D43" s="21" t="str">
        <f>DEC2HEX(C43)</f>
        <v>25</v>
      </c>
      <c r="E43" s="9" t="s">
        <v>115</v>
      </c>
    </row>
    <row r="44" spans="1:7">
      <c r="A44" s="9" t="s">
        <v>73</v>
      </c>
      <c r="B44" s="23" t="s">
        <v>116</v>
      </c>
      <c r="C44" s="23" t="s">
        <v>117</v>
      </c>
      <c r="D44" s="21" t="str">
        <f>DEC2HEX(C44)</f>
        <v>26</v>
      </c>
      <c r="E44" s="9" t="s">
        <v>118</v>
      </c>
    </row>
    <row r="45" spans="1:7">
      <c r="B45" s="22" t="s">
        <v>119</v>
      </c>
      <c r="C45" s="22"/>
      <c r="D45" s="21"/>
    </row>
    <row r="46" spans="1:7">
      <c r="A46" s="9" t="s">
        <v>73</v>
      </c>
      <c r="B46" s="23" t="s">
        <v>120</v>
      </c>
      <c r="C46" s="23" t="s">
        <v>121</v>
      </c>
      <c r="D46" s="21" t="str">
        <f>DEC2HEX(C46)</f>
        <v>27</v>
      </c>
      <c r="E46" s="9" t="s">
        <v>122</v>
      </c>
      <c r="F46" s="9" t="s">
        <v>123</v>
      </c>
      <c r="G46" s="9" t="s">
        <v>124</v>
      </c>
    </row>
    <row r="47" spans="1:7">
      <c r="A47" s="9" t="s">
        <v>73</v>
      </c>
      <c r="B47" s="23" t="s">
        <v>125</v>
      </c>
      <c r="C47" s="23" t="s">
        <v>126</v>
      </c>
      <c r="D47" s="21" t="str">
        <f>DEC2HEX(C47)</f>
        <v>28</v>
      </c>
      <c r="E47" s="9" t="s">
        <v>127</v>
      </c>
      <c r="F47" s="9" t="s">
        <v>128</v>
      </c>
    </row>
    <row r="48" spans="1:7">
      <c r="A48" s="9" t="s">
        <v>73</v>
      </c>
      <c r="B48" s="23" t="s">
        <v>129</v>
      </c>
      <c r="C48" s="23" t="s">
        <v>130</v>
      </c>
      <c r="D48" s="21" t="str">
        <f>DEC2HEX(C48)</f>
        <v>29</v>
      </c>
      <c r="E48" s="9" t="s">
        <v>131</v>
      </c>
      <c r="F48" s="9" t="s">
        <v>132</v>
      </c>
      <c r="G48" s="9" t="s">
        <v>133</v>
      </c>
    </row>
    <row r="49" spans="1:7">
      <c r="B49" s="22" t="s">
        <v>134</v>
      </c>
      <c r="C49" s="22"/>
      <c r="D49" s="21"/>
    </row>
    <row r="50" spans="1:7">
      <c r="A50" s="9" t="s">
        <v>73</v>
      </c>
      <c r="B50" s="23" t="s">
        <v>135</v>
      </c>
      <c r="C50" s="23" t="s">
        <v>136</v>
      </c>
      <c r="D50" s="21" t="str">
        <f>DEC2HEX(C50)</f>
        <v>2A</v>
      </c>
      <c r="E50" s="9" t="s">
        <v>137</v>
      </c>
      <c r="F50" s="9" t="s">
        <v>138</v>
      </c>
      <c r="G50" s="9" t="s">
        <v>139</v>
      </c>
    </row>
    <row r="51" spans="1:7">
      <c r="A51" s="9" t="s">
        <v>73</v>
      </c>
      <c r="B51" s="23" t="s">
        <v>140</v>
      </c>
      <c r="C51" s="23" t="s">
        <v>141</v>
      </c>
      <c r="D51" s="21" t="str">
        <f>DEC2HEX(C51)</f>
        <v>2B</v>
      </c>
      <c r="E51" s="9" t="s">
        <v>142</v>
      </c>
      <c r="F51" s="9" t="s">
        <v>143</v>
      </c>
      <c r="G51" s="9" t="s">
        <v>144</v>
      </c>
    </row>
    <row r="52" spans="1:7">
      <c r="A52" s="9" t="s">
        <v>73</v>
      </c>
      <c r="B52" s="23" t="s">
        <v>145</v>
      </c>
      <c r="C52" s="23" t="s">
        <v>146</v>
      </c>
      <c r="D52" s="21" t="str">
        <f>DEC2HEX(C52)</f>
        <v>2C</v>
      </c>
      <c r="E52" s="9" t="s">
        <v>147</v>
      </c>
      <c r="F52" s="9" t="s">
        <v>148</v>
      </c>
      <c r="G52" s="9" t="s">
        <v>149</v>
      </c>
    </row>
    <row r="53" spans="1:7">
      <c r="A53" s="9" t="s">
        <v>73</v>
      </c>
      <c r="B53" s="23" t="s">
        <v>150</v>
      </c>
      <c r="C53" s="23" t="s">
        <v>151</v>
      </c>
      <c r="D53" s="21" t="str">
        <f>DEC2HEX(C53)</f>
        <v>2D</v>
      </c>
      <c r="E53" s="9" t="s">
        <v>152</v>
      </c>
      <c r="F53" s="9" t="s">
        <v>153</v>
      </c>
      <c r="G53" s="9" t="s">
        <v>154</v>
      </c>
    </row>
    <row r="54" spans="1:7">
      <c r="B54" s="22" t="s">
        <v>155</v>
      </c>
      <c r="C54" s="22"/>
      <c r="D54" s="21"/>
    </row>
    <row r="55" spans="1:7">
      <c r="A55" s="9" t="s">
        <v>156</v>
      </c>
      <c r="B55" s="23" t="s">
        <v>157</v>
      </c>
      <c r="C55" s="23" t="s">
        <v>158</v>
      </c>
      <c r="D55" s="21" t="str">
        <f>DEC2HEX(C55)</f>
        <v>40</v>
      </c>
      <c r="E55" s="9" t="s">
        <v>159</v>
      </c>
      <c r="F55" s="9" t="s">
        <v>160</v>
      </c>
      <c r="G55" s="9" t="s">
        <v>161</v>
      </c>
    </row>
    <row r="56" spans="1:7">
      <c r="A56" s="9" t="s">
        <v>156</v>
      </c>
      <c r="B56" s="23" t="s">
        <v>162</v>
      </c>
      <c r="C56" s="23" t="s">
        <v>163</v>
      </c>
      <c r="D56" s="21" t="str">
        <f>DEC2HEX(C56)</f>
        <v>41</v>
      </c>
      <c r="E56" s="9" t="s">
        <v>164</v>
      </c>
      <c r="F56" s="9" t="s">
        <v>165</v>
      </c>
      <c r="G56" s="9" t="s">
        <v>166</v>
      </c>
    </row>
  </sheetData>
  <pageMargins left="0.75" right="0.75" top="1" bottom="1"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K69"/>
  <sheetViews>
    <sheetView zoomScale="95" zoomScaleNormal="95" workbookViewId="0"/>
  </sheetViews>
  <sheetFormatPr defaultRowHeight="15.75"/>
  <cols>
    <col min="1" max="1" width="11.75" style="27"/>
    <col min="2" max="2" width="43.5" style="27"/>
    <col min="3" max="3" width="8.625" style="134"/>
    <col min="4" max="4" width="8.625" style="135"/>
    <col min="5" max="5" width="8.625" style="134"/>
    <col min="6" max="6" width="12.25" style="134"/>
    <col min="7" max="7" width="14.5" style="134"/>
    <col min="8" max="8" width="8.25" style="135"/>
    <col min="9" max="9" width="21.625" style="136"/>
    <col min="10" max="10" width="19.5" style="136"/>
    <col min="11" max="11" width="14.5" style="134"/>
    <col min="12" max="12" width="18.5" style="136"/>
    <col min="13" max="13" width="36" style="137"/>
    <col min="14" max="14" width="4.75" style="27"/>
    <col min="15" max="15" width="6.625" style="27"/>
    <col min="16" max="16" width="5.5" style="27"/>
    <col min="17" max="18" width="6.625" style="27"/>
    <col min="19" max="19" width="4.75" style="27"/>
    <col min="20" max="22" width="6.625" style="27"/>
    <col min="23" max="23" width="4.75" style="27"/>
    <col min="24" max="25" width="6.625" style="27"/>
    <col min="26" max="26" width="14.125" style="27"/>
    <col min="27" max="27" width="12.875" style="27"/>
    <col min="28" max="28" width="5.75" style="27"/>
    <col min="29" max="29" width="12.125" style="27"/>
    <col min="30" max="30" width="8.25" style="27"/>
    <col min="31" max="31" width="14.125" style="27"/>
    <col min="32" max="32" width="38.875" style="27"/>
    <col min="33" max="33" width="3.5" style="27"/>
    <col min="34" max="34" width="6.125" style="27"/>
    <col min="35" max="35" width="3.5" style="27"/>
    <col min="36" max="36" width="6.125" style="27"/>
    <col min="37" max="37" width="12.125" style="27"/>
    <col min="38" max="38" width="10.75" style="27"/>
    <col min="39" max="39" width="3.5" style="27"/>
    <col min="40" max="40" width="6.125" style="27"/>
    <col min="41" max="41" width="12.125" style="27"/>
    <col min="42" max="42" width="10.5" style="27"/>
    <col min="43" max="43" width="16" style="27"/>
    <col min="44" max="44" width="12.125" style="27"/>
    <col min="45" max="45" width="10.5" style="27"/>
    <col min="46" max="46" width="15.75" style="27"/>
    <col min="47" max="47" width="3.5" style="27"/>
    <col min="48" max="48" width="6.125" style="27"/>
    <col min="49" max="49" width="12.125" style="27"/>
    <col min="50" max="50" width="10.5" style="27"/>
    <col min="51" max="51" width="15.75" style="27"/>
    <col min="52" max="52" width="3.5" style="27"/>
    <col min="53" max="53" width="6.125" style="27"/>
    <col min="54" max="54" width="12.125" style="27"/>
    <col min="55" max="55" width="10.5" style="27"/>
    <col min="56" max="56" width="15.75" style="27"/>
    <col min="57" max="57" width="3.5" style="27"/>
    <col min="58" max="58" width="6.125" style="27"/>
    <col min="59" max="1023" width="12.125" style="27"/>
    <col min="1024" max="1025" width="12.125" style="130"/>
  </cols>
  <sheetData>
    <row r="1" spans="1:58">
      <c r="A1" s="24" t="s">
        <v>477</v>
      </c>
      <c r="B1" s="24"/>
      <c r="C1" s="25"/>
      <c r="D1" s="138"/>
      <c r="E1" s="25"/>
      <c r="F1" s="25"/>
      <c r="G1" s="25"/>
      <c r="H1" s="138"/>
      <c r="I1" s="139"/>
      <c r="J1" s="139"/>
      <c r="K1" s="25"/>
      <c r="L1" s="139"/>
      <c r="M1" s="26"/>
      <c r="N1" s="32"/>
      <c r="O1" s="32"/>
      <c r="P1" s="32"/>
      <c r="Q1" s="32"/>
      <c r="R1" s="32"/>
      <c r="S1" s="32"/>
      <c r="T1" s="32"/>
      <c r="U1" s="32"/>
      <c r="V1" s="32"/>
      <c r="W1" s="32"/>
      <c r="X1" s="32"/>
      <c r="Y1" s="32"/>
      <c r="Z1" s="32"/>
      <c r="AA1" s="32"/>
      <c r="AB1" s="32"/>
      <c r="AE1" s="13"/>
      <c r="AF1" s="13"/>
      <c r="AG1" s="13"/>
      <c r="AH1" s="13"/>
      <c r="AI1" s="15"/>
      <c r="AJ1" s="15"/>
      <c r="AK1" s="15"/>
      <c r="AL1" s="15"/>
      <c r="AM1" s="15"/>
    </row>
    <row r="2" spans="1:58">
      <c r="A2" s="24" t="s">
        <v>185</v>
      </c>
      <c r="B2" s="24" t="s">
        <v>186</v>
      </c>
      <c r="C2" s="25" t="s">
        <v>192</v>
      </c>
      <c r="D2" s="138" t="s">
        <v>478</v>
      </c>
      <c r="E2" s="25" t="s">
        <v>193</v>
      </c>
      <c r="F2" s="25" t="s">
        <v>479</v>
      </c>
      <c r="G2" s="25" t="s">
        <v>191</v>
      </c>
      <c r="H2" s="138" t="s">
        <v>480</v>
      </c>
      <c r="I2" s="139" t="s">
        <v>481</v>
      </c>
      <c r="J2" s="139" t="s">
        <v>482</v>
      </c>
      <c r="K2" s="25" t="s">
        <v>194</v>
      </c>
      <c r="L2" s="139" t="s">
        <v>483</v>
      </c>
      <c r="M2" s="26" t="s">
        <v>484</v>
      </c>
      <c r="N2" s="32" t="s">
        <v>198</v>
      </c>
      <c r="O2" s="32" t="s">
        <v>199</v>
      </c>
      <c r="P2" s="32" t="s">
        <v>200</v>
      </c>
      <c r="Q2" s="32" t="s">
        <v>201</v>
      </c>
      <c r="R2" s="32" t="s">
        <v>202</v>
      </c>
      <c r="S2" s="32" t="s">
        <v>203</v>
      </c>
      <c r="T2" s="32" t="s">
        <v>204</v>
      </c>
      <c r="U2" s="32" t="s">
        <v>205</v>
      </c>
      <c r="V2" s="32" t="s">
        <v>206</v>
      </c>
      <c r="W2" s="32" t="s">
        <v>207</v>
      </c>
      <c r="X2" s="32" t="s">
        <v>208</v>
      </c>
      <c r="Y2" s="32" t="s">
        <v>209</v>
      </c>
      <c r="Z2" s="32" t="s">
        <v>210</v>
      </c>
      <c r="AA2" s="32" t="s">
        <v>211</v>
      </c>
      <c r="AB2" s="32" t="s">
        <v>212</v>
      </c>
      <c r="AE2" s="13"/>
      <c r="AF2" s="13"/>
      <c r="AG2" s="13"/>
      <c r="AH2" s="13"/>
      <c r="AI2" s="15"/>
      <c r="AJ2" s="15"/>
      <c r="AK2" s="15"/>
      <c r="AL2" s="15"/>
      <c r="AM2" s="15"/>
    </row>
    <row r="3" spans="1:58">
      <c r="A3" s="32" t="s">
        <v>68</v>
      </c>
      <c r="B3" s="32" t="s">
        <v>485</v>
      </c>
      <c r="C3" s="92">
        <v>0</v>
      </c>
      <c r="D3" s="140" t="str">
        <f t="shared" ref="D3:D18" si="0">DEC2BIN(C3,5)</f>
        <v>00000</v>
      </c>
      <c r="E3" s="92">
        <v>0</v>
      </c>
      <c r="F3" s="92" t="str">
        <f>DEC2BIN(E3,5)</f>
        <v>00000</v>
      </c>
      <c r="G3" s="134">
        <v>0</v>
      </c>
      <c r="H3" s="135" t="str">
        <f t="shared" ref="H3:H18" si="1">DEC2BIN(G3,5)</f>
        <v>00000</v>
      </c>
      <c r="I3" s="14" t="s">
        <v>486</v>
      </c>
      <c r="J3" s="15" t="str">
        <f t="shared" ref="J3:J18" si="2">SUBSTITUTE(I3,"_","")</f>
        <v>00000000000111111</v>
      </c>
      <c r="K3" s="141" t="s">
        <v>231</v>
      </c>
      <c r="L3" s="142" t="s">
        <v>231</v>
      </c>
      <c r="M3" s="143" t="str">
        <f>D3&amp;F3&amp;H3&amp;J3</f>
        <v>00000000000000000000000000111111</v>
      </c>
      <c r="N3" s="144">
        <v>0</v>
      </c>
      <c r="AE3" s="13"/>
      <c r="AF3" s="13"/>
      <c r="AG3" s="13"/>
      <c r="AH3" s="13"/>
      <c r="AI3" s="15"/>
      <c r="AJ3" s="15"/>
      <c r="AK3" s="15"/>
      <c r="AL3" s="15"/>
      <c r="AM3" s="15"/>
    </row>
    <row r="4" spans="1:58">
      <c r="A4" s="51" t="s">
        <v>487</v>
      </c>
      <c r="B4" s="32" t="s">
        <v>488</v>
      </c>
      <c r="C4" s="92">
        <v>0</v>
      </c>
      <c r="D4" s="140" t="str">
        <f t="shared" si="0"/>
        <v>00000</v>
      </c>
      <c r="E4" s="134" t="s">
        <v>231</v>
      </c>
      <c r="F4" s="92" t="s">
        <v>231</v>
      </c>
      <c r="G4" s="134">
        <v>0</v>
      </c>
      <c r="H4" s="135" t="str">
        <f t="shared" si="1"/>
        <v>00000</v>
      </c>
      <c r="I4" s="14">
        <v>100010</v>
      </c>
      <c r="J4" s="15" t="str">
        <f t="shared" si="2"/>
        <v>100010</v>
      </c>
      <c r="K4" s="141">
        <f>A41</f>
        <v>0</v>
      </c>
      <c r="L4" s="142" t="str">
        <f>SUBSTITUTE(B41,"_","")</f>
        <v>0000000000000000</v>
      </c>
      <c r="M4" s="143" t="str">
        <f>D4&amp;H4&amp;L4&amp;J4</f>
        <v>00000000000000000000000000100010</v>
      </c>
      <c r="N4" s="144">
        <v>0</v>
      </c>
      <c r="AC4" s="130"/>
      <c r="AD4" s="130"/>
      <c r="AE4" s="145"/>
      <c r="AF4" s="145"/>
      <c r="AG4" s="3" t="s">
        <v>489</v>
      </c>
      <c r="AH4" s="3"/>
      <c r="AI4" s="2" t="s">
        <v>490</v>
      </c>
      <c r="AJ4" s="2"/>
      <c r="AK4" s="130"/>
      <c r="AL4" s="1" t="s">
        <v>491</v>
      </c>
      <c r="AM4" s="1"/>
      <c r="AN4" s="1"/>
      <c r="AP4" s="148" t="s">
        <v>492</v>
      </c>
      <c r="AQ4" s="148" t="s">
        <v>493</v>
      </c>
      <c r="AR4" s="148"/>
      <c r="AS4" s="148" t="s">
        <v>494</v>
      </c>
      <c r="AT4" s="148" t="s">
        <v>495</v>
      </c>
      <c r="AU4" s="148" t="s">
        <v>196</v>
      </c>
      <c r="AV4" s="148" t="s">
        <v>389</v>
      </c>
      <c r="AX4" s="148" t="s">
        <v>496</v>
      </c>
      <c r="AY4" s="148" t="s">
        <v>497</v>
      </c>
      <c r="AZ4" s="148"/>
      <c r="BA4" s="148"/>
      <c r="BC4" s="148" t="s">
        <v>498</v>
      </c>
      <c r="BD4" s="148" t="s">
        <v>499</v>
      </c>
      <c r="BE4" s="148"/>
      <c r="BF4" s="148"/>
    </row>
    <row r="5" spans="1:58">
      <c r="A5" s="32" t="s">
        <v>500</v>
      </c>
      <c r="B5" s="32" t="s">
        <v>501</v>
      </c>
      <c r="C5" s="92">
        <v>0</v>
      </c>
      <c r="D5" s="140" t="str">
        <f t="shared" si="0"/>
        <v>00000</v>
      </c>
      <c r="E5" s="134" t="s">
        <v>231</v>
      </c>
      <c r="F5" s="92" t="s">
        <v>231</v>
      </c>
      <c r="G5" s="134">
        <v>1</v>
      </c>
      <c r="H5" s="135" t="str">
        <f t="shared" si="1"/>
        <v>00001</v>
      </c>
      <c r="I5" s="14">
        <v>100011</v>
      </c>
      <c r="J5" s="15" t="str">
        <f t="shared" si="2"/>
        <v>100011</v>
      </c>
      <c r="K5" s="134">
        <f>A42</f>
        <v>32768</v>
      </c>
      <c r="L5" s="142" t="str">
        <f>SUBSTITUTE(B42,"_","")</f>
        <v>1000000000000000</v>
      </c>
      <c r="M5" s="143" t="str">
        <f>D5&amp;H5&amp;L5&amp;J5</f>
        <v>00000000011000000000000000100011</v>
      </c>
      <c r="N5" s="27">
        <v>0</v>
      </c>
      <c r="O5" s="144">
        <f>A42</f>
        <v>32768</v>
      </c>
      <c r="AC5" s="130"/>
      <c r="AD5" s="32" t="s">
        <v>185</v>
      </c>
      <c r="AE5" s="149" t="s">
        <v>502</v>
      </c>
      <c r="AF5" s="150" t="s">
        <v>503</v>
      </c>
      <c r="AG5" s="151" t="s">
        <v>196</v>
      </c>
      <c r="AH5" s="152" t="s">
        <v>389</v>
      </c>
      <c r="AI5" s="146" t="s">
        <v>196</v>
      </c>
      <c r="AJ5" s="146" t="s">
        <v>389</v>
      </c>
      <c r="AK5" s="130"/>
      <c r="AL5" s="147" t="s">
        <v>390</v>
      </c>
      <c r="AM5" s="147" t="s">
        <v>196</v>
      </c>
      <c r="AN5" s="147" t="s">
        <v>389</v>
      </c>
      <c r="AP5" s="148" t="s">
        <v>390</v>
      </c>
      <c r="AQ5" s="148"/>
      <c r="AR5" s="148"/>
      <c r="AS5" s="148" t="s">
        <v>390</v>
      </c>
      <c r="AT5" s="148"/>
      <c r="AU5" s="148"/>
      <c r="AV5" s="148"/>
      <c r="AX5" s="148" t="s">
        <v>390</v>
      </c>
      <c r="AY5" s="148"/>
      <c r="AZ5" s="148" t="s">
        <v>196</v>
      </c>
      <c r="BA5" s="148" t="s">
        <v>389</v>
      </c>
      <c r="BC5" s="148" t="s">
        <v>390</v>
      </c>
      <c r="BD5" s="148"/>
      <c r="BE5" s="148" t="s">
        <v>196</v>
      </c>
      <c r="BF5" s="148" t="s">
        <v>389</v>
      </c>
    </row>
    <row r="6" spans="1:58">
      <c r="A6" s="32" t="s">
        <v>487</v>
      </c>
      <c r="B6" s="32" t="s">
        <v>504</v>
      </c>
      <c r="C6" s="92">
        <v>0</v>
      </c>
      <c r="D6" s="140" t="str">
        <f t="shared" si="0"/>
        <v>00000</v>
      </c>
      <c r="E6" s="134" t="s">
        <v>231</v>
      </c>
      <c r="F6" s="92" t="s">
        <v>231</v>
      </c>
      <c r="G6" s="134">
        <v>2</v>
      </c>
      <c r="H6" s="135" t="str">
        <f t="shared" si="1"/>
        <v>00010</v>
      </c>
      <c r="I6" s="14">
        <v>100010</v>
      </c>
      <c r="J6" s="15" t="str">
        <f t="shared" si="2"/>
        <v>100010</v>
      </c>
      <c r="K6" s="134">
        <f>A43</f>
        <v>-256</v>
      </c>
      <c r="L6" s="142" t="str">
        <f>SUBSTITUTE(B43,"_","")</f>
        <v>1111111100000000</v>
      </c>
      <c r="M6" s="143" t="str">
        <f>D6&amp;H6&amp;L6&amp;J6</f>
        <v>00000000101111111100000000100010</v>
      </c>
      <c r="N6" s="27">
        <v>0</v>
      </c>
      <c r="O6" s="27">
        <f t="shared" ref="O6:O18" si="3">O5</f>
        <v>32768</v>
      </c>
      <c r="P6" s="144">
        <f>A43</f>
        <v>-256</v>
      </c>
      <c r="AC6" s="130"/>
      <c r="AD6" s="32" t="s">
        <v>68</v>
      </c>
      <c r="AE6" s="153" t="s">
        <v>505</v>
      </c>
      <c r="AF6" s="154" t="s">
        <v>506</v>
      </c>
      <c r="AG6" s="147" t="s">
        <v>231</v>
      </c>
      <c r="AH6" s="147" t="s">
        <v>231</v>
      </c>
      <c r="AI6" s="146" t="s">
        <v>231</v>
      </c>
      <c r="AJ6" s="146" t="s">
        <v>231</v>
      </c>
      <c r="AK6" s="130"/>
      <c r="AL6" s="147" t="s">
        <v>231</v>
      </c>
      <c r="AM6" s="147" t="s">
        <v>231</v>
      </c>
      <c r="AN6" s="147" t="s">
        <v>231</v>
      </c>
      <c r="AP6" s="148" t="s">
        <v>231</v>
      </c>
      <c r="AQ6" s="148" t="s">
        <v>231</v>
      </c>
      <c r="AR6" s="148"/>
      <c r="AS6" s="148" t="s">
        <v>231</v>
      </c>
      <c r="AT6" s="148" t="s">
        <v>231</v>
      </c>
      <c r="AU6" s="148" t="s">
        <v>231</v>
      </c>
      <c r="AV6" s="148" t="s">
        <v>231</v>
      </c>
      <c r="AX6" s="148" t="s">
        <v>231</v>
      </c>
      <c r="AY6" s="148" t="s">
        <v>231</v>
      </c>
      <c r="AZ6" s="148" t="s">
        <v>231</v>
      </c>
      <c r="BA6" s="148" t="s">
        <v>231</v>
      </c>
      <c r="BC6" s="148" t="s">
        <v>231</v>
      </c>
      <c r="BD6" s="148" t="s">
        <v>231</v>
      </c>
      <c r="BE6" s="148" t="s">
        <v>231</v>
      </c>
      <c r="BF6" s="148" t="s">
        <v>231</v>
      </c>
    </row>
    <row r="7" spans="1:58">
      <c r="A7" s="32" t="s">
        <v>23</v>
      </c>
      <c r="B7" s="32" t="s">
        <v>507</v>
      </c>
      <c r="C7" s="92">
        <v>2</v>
      </c>
      <c r="D7" s="140" t="str">
        <f t="shared" si="0"/>
        <v>00010</v>
      </c>
      <c r="E7" s="134">
        <v>0</v>
      </c>
      <c r="F7" s="92" t="str">
        <f t="shared" ref="F7:F18" si="4">DEC2BIN(E7,5)</f>
        <v>00000</v>
      </c>
      <c r="G7" s="134">
        <v>2</v>
      </c>
      <c r="H7" s="135" t="str">
        <f t="shared" si="1"/>
        <v>00010</v>
      </c>
      <c r="I7" s="14" t="s">
        <v>21</v>
      </c>
      <c r="J7" s="15" t="str">
        <f t="shared" si="2"/>
        <v>00000001010000000</v>
      </c>
      <c r="K7" s="134" t="s">
        <v>231</v>
      </c>
      <c r="L7" s="136" t="s">
        <v>231</v>
      </c>
      <c r="M7" s="143" t="str">
        <f t="shared" ref="M7:M18" si="5">D7&amp;F7&amp;H7&amp;J7</f>
        <v>00010000000001000000001010000000</v>
      </c>
      <c r="N7" s="27">
        <v>0</v>
      </c>
      <c r="O7" s="27">
        <f t="shared" si="3"/>
        <v>32768</v>
      </c>
      <c r="P7" s="144">
        <f>A44</f>
        <v>256</v>
      </c>
      <c r="AC7" s="130"/>
      <c r="AD7" s="32" t="s">
        <v>487</v>
      </c>
      <c r="AE7" s="153">
        <v>22</v>
      </c>
      <c r="AF7" s="155" t="s">
        <v>508</v>
      </c>
      <c r="AG7" s="147">
        <v>2</v>
      </c>
      <c r="AH7" s="147">
        <v>1</v>
      </c>
      <c r="AI7" s="146">
        <v>2</v>
      </c>
      <c r="AJ7" s="146">
        <v>2</v>
      </c>
      <c r="AK7" s="130"/>
      <c r="AL7" s="147" t="s">
        <v>396</v>
      </c>
      <c r="AM7" s="147">
        <v>2</v>
      </c>
      <c r="AN7" s="147">
        <v>2</v>
      </c>
      <c r="AP7" s="148"/>
      <c r="AQ7" s="148"/>
      <c r="AR7" s="148"/>
      <c r="AS7" s="148"/>
      <c r="AT7" s="148"/>
      <c r="AU7" s="148">
        <v>1</v>
      </c>
      <c r="AV7" s="148">
        <v>3</v>
      </c>
      <c r="AX7" s="148" t="s">
        <v>395</v>
      </c>
      <c r="AY7" s="148" t="s">
        <v>396</v>
      </c>
      <c r="AZ7" s="148">
        <v>1</v>
      </c>
      <c r="BA7" s="148">
        <v>4</v>
      </c>
      <c r="BC7" s="148" t="s">
        <v>395</v>
      </c>
      <c r="BD7" s="148" t="s">
        <v>396</v>
      </c>
      <c r="BE7" s="148">
        <v>1</v>
      </c>
      <c r="BF7" s="148">
        <v>5</v>
      </c>
    </row>
    <row r="8" spans="1:58">
      <c r="A8" s="32" t="s">
        <v>11</v>
      </c>
      <c r="B8" s="32" t="s">
        <v>509</v>
      </c>
      <c r="C8" s="92">
        <v>1</v>
      </c>
      <c r="D8" s="140" t="str">
        <f t="shared" si="0"/>
        <v>00001</v>
      </c>
      <c r="E8" s="134">
        <v>2</v>
      </c>
      <c r="F8" s="92" t="str">
        <f t="shared" si="4"/>
        <v>00010</v>
      </c>
      <c r="G8" s="134">
        <v>3</v>
      </c>
      <c r="H8" s="135" t="str">
        <f t="shared" si="1"/>
        <v>00011</v>
      </c>
      <c r="I8" s="14" t="s">
        <v>9</v>
      </c>
      <c r="J8" s="15" t="str">
        <f t="shared" si="2"/>
        <v>00000000001000000</v>
      </c>
      <c r="K8" s="134" t="s">
        <v>231</v>
      </c>
      <c r="L8" s="136" t="s">
        <v>231</v>
      </c>
      <c r="M8" s="143" t="str">
        <f t="shared" si="5"/>
        <v>00001000100001100000000001000000</v>
      </c>
      <c r="N8" s="27">
        <v>0</v>
      </c>
      <c r="O8" s="27">
        <f t="shared" si="3"/>
        <v>32768</v>
      </c>
      <c r="P8" s="27">
        <f t="shared" ref="P8:P18" si="6">P7</f>
        <v>256</v>
      </c>
      <c r="Q8" s="144">
        <f t="shared" ref="Q8:Q18" si="7">O8+P8</f>
        <v>33024</v>
      </c>
      <c r="AC8" s="130"/>
      <c r="AD8" s="32" t="s">
        <v>500</v>
      </c>
      <c r="AE8" s="153">
        <v>600023</v>
      </c>
      <c r="AF8" s="155" t="s">
        <v>510</v>
      </c>
      <c r="AG8" s="147">
        <v>3</v>
      </c>
      <c r="AH8" s="147">
        <v>1</v>
      </c>
      <c r="AI8" s="146">
        <v>3</v>
      </c>
      <c r="AJ8" s="146">
        <v>2</v>
      </c>
      <c r="AK8" s="130"/>
      <c r="AL8" s="147" t="s">
        <v>511</v>
      </c>
      <c r="AM8" s="147">
        <v>3</v>
      </c>
      <c r="AN8" s="147">
        <v>2</v>
      </c>
      <c r="AP8" s="148" t="s">
        <v>395</v>
      </c>
      <c r="AQ8" s="148" t="s">
        <v>231</v>
      </c>
      <c r="AR8" s="148"/>
      <c r="AS8" s="148" t="s">
        <v>395</v>
      </c>
      <c r="AT8" s="156" t="s">
        <v>231</v>
      </c>
      <c r="AU8" s="148">
        <v>2</v>
      </c>
      <c r="AV8" s="148">
        <v>3</v>
      </c>
      <c r="AX8" s="148" t="s">
        <v>396</v>
      </c>
      <c r="AY8" s="148" t="s">
        <v>396</v>
      </c>
      <c r="AZ8" s="148">
        <v>2</v>
      </c>
      <c r="BA8" s="148">
        <v>4</v>
      </c>
      <c r="BC8" s="148" t="s">
        <v>396</v>
      </c>
      <c r="BD8" s="148" t="s">
        <v>396</v>
      </c>
      <c r="BE8" s="148">
        <v>2</v>
      </c>
      <c r="BF8" s="148">
        <v>5</v>
      </c>
    </row>
    <row r="9" spans="1:58">
      <c r="A9" s="32" t="s">
        <v>14</v>
      </c>
      <c r="B9" s="32" t="s">
        <v>512</v>
      </c>
      <c r="C9" s="92">
        <v>3</v>
      </c>
      <c r="D9" s="140" t="str">
        <f t="shared" si="0"/>
        <v>00011</v>
      </c>
      <c r="E9" s="134">
        <v>2</v>
      </c>
      <c r="F9" s="92" t="str">
        <f t="shared" si="4"/>
        <v>00010</v>
      </c>
      <c r="G9" s="134">
        <v>4</v>
      </c>
      <c r="H9" s="135" t="str">
        <f t="shared" si="1"/>
        <v>00100</v>
      </c>
      <c r="I9" s="14" t="s">
        <v>12</v>
      </c>
      <c r="J9" s="15" t="str">
        <f t="shared" si="2"/>
        <v>00000000100000000</v>
      </c>
      <c r="K9" s="134" t="s">
        <v>231</v>
      </c>
      <c r="L9" s="136" t="s">
        <v>231</v>
      </c>
      <c r="M9" s="143" t="str">
        <f t="shared" si="5"/>
        <v>00011000100010000000000100000000</v>
      </c>
      <c r="N9" s="27">
        <v>0</v>
      </c>
      <c r="O9" s="27">
        <f t="shared" si="3"/>
        <v>32768</v>
      </c>
      <c r="P9" s="27">
        <f t="shared" si="6"/>
        <v>256</v>
      </c>
      <c r="Q9" s="27">
        <f t="shared" si="7"/>
        <v>33024</v>
      </c>
      <c r="R9" s="144">
        <f t="shared" ref="R9:R18" si="8">Q9-P9</f>
        <v>32768</v>
      </c>
      <c r="AC9" s="130"/>
      <c r="AD9" s="32" t="s">
        <v>487</v>
      </c>
      <c r="AE9" s="153" t="s">
        <v>513</v>
      </c>
      <c r="AF9" s="155" t="s">
        <v>514</v>
      </c>
      <c r="AG9" s="147">
        <v>4</v>
      </c>
      <c r="AH9" s="147">
        <v>1</v>
      </c>
      <c r="AI9" s="146">
        <v>4</v>
      </c>
      <c r="AJ9" s="146">
        <v>2</v>
      </c>
      <c r="AK9" s="130"/>
      <c r="AL9" s="147" t="s">
        <v>515</v>
      </c>
      <c r="AM9" s="147">
        <v>4</v>
      </c>
      <c r="AN9" s="147">
        <v>2</v>
      </c>
      <c r="AP9" s="148" t="s">
        <v>396</v>
      </c>
      <c r="AQ9" s="148" t="s">
        <v>231</v>
      </c>
      <c r="AR9" s="148"/>
      <c r="AS9" s="148" t="s">
        <v>396</v>
      </c>
      <c r="AT9" s="156" t="s">
        <v>231</v>
      </c>
      <c r="AU9" s="148">
        <v>3</v>
      </c>
      <c r="AV9" s="148">
        <v>3</v>
      </c>
      <c r="AX9" s="148" t="s">
        <v>511</v>
      </c>
      <c r="AY9" s="148" t="s">
        <v>511</v>
      </c>
      <c r="AZ9" s="148">
        <v>3</v>
      </c>
      <c r="BA9" s="148">
        <v>4</v>
      </c>
      <c r="BC9" s="148" t="s">
        <v>511</v>
      </c>
      <c r="BD9" s="148" t="s">
        <v>511</v>
      </c>
      <c r="BE9" s="148">
        <v>3</v>
      </c>
      <c r="BF9" s="148">
        <v>5</v>
      </c>
    </row>
    <row r="10" spans="1:58">
      <c r="A10" s="32" t="s">
        <v>17</v>
      </c>
      <c r="B10" s="32" t="s">
        <v>516</v>
      </c>
      <c r="C10" s="92">
        <v>1</v>
      </c>
      <c r="D10" s="140" t="str">
        <f t="shared" si="0"/>
        <v>00001</v>
      </c>
      <c r="E10" s="134">
        <v>2</v>
      </c>
      <c r="F10" s="92" t="str">
        <f t="shared" si="4"/>
        <v>00010</v>
      </c>
      <c r="G10" s="134">
        <v>5</v>
      </c>
      <c r="H10" s="135" t="str">
        <f t="shared" si="1"/>
        <v>00101</v>
      </c>
      <c r="I10" s="14" t="s">
        <v>15</v>
      </c>
      <c r="J10" s="15" t="str">
        <f t="shared" si="2"/>
        <v>00000001000000000</v>
      </c>
      <c r="K10" s="134" t="s">
        <v>231</v>
      </c>
      <c r="L10" s="136" t="s">
        <v>231</v>
      </c>
      <c r="M10" s="143" t="str">
        <f t="shared" si="5"/>
        <v>00001000100010100000001000000000</v>
      </c>
      <c r="N10" s="27">
        <v>0</v>
      </c>
      <c r="O10" s="27">
        <f t="shared" si="3"/>
        <v>32768</v>
      </c>
      <c r="P10" s="27">
        <f t="shared" si="6"/>
        <v>256</v>
      </c>
      <c r="Q10" s="27">
        <f t="shared" si="7"/>
        <v>33024</v>
      </c>
      <c r="R10" s="27">
        <f t="shared" si="8"/>
        <v>32768</v>
      </c>
      <c r="S10" s="157">
        <v>0</v>
      </c>
      <c r="AC10" s="130"/>
      <c r="AD10" s="32" t="s">
        <v>23</v>
      </c>
      <c r="AE10" s="153">
        <v>10040280</v>
      </c>
      <c r="AF10" s="155" t="s">
        <v>517</v>
      </c>
      <c r="AG10" s="147">
        <v>5</v>
      </c>
      <c r="AH10" s="147">
        <v>1</v>
      </c>
      <c r="AI10" s="146">
        <v>5</v>
      </c>
      <c r="AJ10" s="146">
        <v>2</v>
      </c>
      <c r="AK10" s="130"/>
      <c r="AL10" s="158" t="s">
        <v>518</v>
      </c>
      <c r="AM10" s="147">
        <v>5</v>
      </c>
      <c r="AN10" s="147">
        <v>2</v>
      </c>
      <c r="AP10" s="148" t="s">
        <v>396</v>
      </c>
      <c r="AQ10" s="148" t="s">
        <v>231</v>
      </c>
      <c r="AR10" s="148"/>
      <c r="AS10" s="148" t="s">
        <v>396</v>
      </c>
      <c r="AT10" s="156" t="s">
        <v>231</v>
      </c>
      <c r="AU10" s="148">
        <v>4</v>
      </c>
      <c r="AV10" s="148">
        <v>3</v>
      </c>
      <c r="AX10" s="148" t="s">
        <v>515</v>
      </c>
      <c r="AY10" s="148" t="s">
        <v>515</v>
      </c>
      <c r="AZ10" s="148">
        <v>4</v>
      </c>
      <c r="BA10" s="148">
        <v>4</v>
      </c>
      <c r="BC10" s="148" t="s">
        <v>515</v>
      </c>
      <c r="BD10" s="148" t="s">
        <v>515</v>
      </c>
      <c r="BE10" s="148">
        <v>4</v>
      </c>
      <c r="BF10" s="148">
        <v>5</v>
      </c>
    </row>
    <row r="11" spans="1:58">
      <c r="A11" s="32" t="s">
        <v>20</v>
      </c>
      <c r="B11" s="32" t="s">
        <v>519</v>
      </c>
      <c r="C11" s="92">
        <v>1</v>
      </c>
      <c r="D11" s="140" t="str">
        <f t="shared" si="0"/>
        <v>00001</v>
      </c>
      <c r="E11" s="134">
        <v>2</v>
      </c>
      <c r="F11" s="92" t="str">
        <f t="shared" si="4"/>
        <v>00010</v>
      </c>
      <c r="G11" s="134">
        <v>6</v>
      </c>
      <c r="H11" s="135" t="str">
        <f t="shared" si="1"/>
        <v>00110</v>
      </c>
      <c r="I11" s="14" t="s">
        <v>18</v>
      </c>
      <c r="J11" s="15" t="str">
        <f t="shared" si="2"/>
        <v>00000001001000000</v>
      </c>
      <c r="K11" s="134" t="s">
        <v>231</v>
      </c>
      <c r="L11" s="136" t="s">
        <v>231</v>
      </c>
      <c r="M11" s="143" t="str">
        <f t="shared" si="5"/>
        <v>00001000100011000000001001000000</v>
      </c>
      <c r="N11" s="27">
        <v>0</v>
      </c>
      <c r="O11" s="27">
        <f t="shared" si="3"/>
        <v>32768</v>
      </c>
      <c r="P11" s="27">
        <f t="shared" si="6"/>
        <v>256</v>
      </c>
      <c r="Q11" s="27">
        <f t="shared" si="7"/>
        <v>33024</v>
      </c>
      <c r="R11" s="27">
        <f t="shared" si="8"/>
        <v>32768</v>
      </c>
      <c r="S11" s="159">
        <f t="shared" ref="S11:S18" si="9">S10</f>
        <v>0</v>
      </c>
      <c r="T11" s="157">
        <v>33024</v>
      </c>
      <c r="AC11" s="130"/>
      <c r="AD11" s="32" t="s">
        <v>11</v>
      </c>
      <c r="AE11" s="153">
        <v>8860040</v>
      </c>
      <c r="AF11" s="155" t="s">
        <v>520</v>
      </c>
      <c r="AG11" s="147">
        <v>6</v>
      </c>
      <c r="AH11" s="147">
        <v>1</v>
      </c>
      <c r="AI11" s="146">
        <v>6</v>
      </c>
      <c r="AJ11" s="146">
        <v>2</v>
      </c>
      <c r="AK11" s="130"/>
      <c r="AL11" s="158" t="s">
        <v>521</v>
      </c>
      <c r="AM11" s="147">
        <v>6</v>
      </c>
      <c r="AN11" s="147">
        <v>2</v>
      </c>
      <c r="AP11" s="148" t="s">
        <v>515</v>
      </c>
      <c r="AQ11" s="148" t="s">
        <v>515</v>
      </c>
      <c r="AR11" s="148"/>
      <c r="AS11" s="148" t="s">
        <v>396</v>
      </c>
      <c r="AT11" s="156" t="s">
        <v>231</v>
      </c>
      <c r="AU11" s="148">
        <v>5</v>
      </c>
      <c r="AV11" s="148">
        <v>3</v>
      </c>
      <c r="AX11" s="148" t="s">
        <v>522</v>
      </c>
      <c r="AY11" s="148" t="s">
        <v>522</v>
      </c>
      <c r="AZ11" s="148">
        <v>5</v>
      </c>
      <c r="BA11" s="148">
        <v>4</v>
      </c>
      <c r="BC11" s="148" t="s">
        <v>522</v>
      </c>
      <c r="BD11" s="148" t="s">
        <v>522</v>
      </c>
      <c r="BE11" s="148">
        <v>5</v>
      </c>
      <c r="BF11" s="148">
        <v>5</v>
      </c>
    </row>
    <row r="12" spans="1:58">
      <c r="A12" s="32" t="s">
        <v>26</v>
      </c>
      <c r="B12" s="32" t="s">
        <v>523</v>
      </c>
      <c r="C12" s="92">
        <v>1</v>
      </c>
      <c r="D12" s="140" t="str">
        <f t="shared" si="0"/>
        <v>00001</v>
      </c>
      <c r="E12" s="134">
        <v>2</v>
      </c>
      <c r="F12" s="92" t="str">
        <f t="shared" si="4"/>
        <v>00010</v>
      </c>
      <c r="G12" s="134">
        <v>7</v>
      </c>
      <c r="H12" s="135" t="str">
        <f t="shared" si="1"/>
        <v>00111</v>
      </c>
      <c r="I12" s="14" t="s">
        <v>24</v>
      </c>
      <c r="J12" s="15" t="str">
        <f t="shared" si="2"/>
        <v>00000001011000000</v>
      </c>
      <c r="K12" s="134" t="s">
        <v>231</v>
      </c>
      <c r="L12" s="136" t="s">
        <v>231</v>
      </c>
      <c r="M12" s="143" t="str">
        <f t="shared" si="5"/>
        <v>00001000100011100000001011000000</v>
      </c>
      <c r="N12" s="27">
        <v>0</v>
      </c>
      <c r="O12" s="27">
        <f t="shared" si="3"/>
        <v>32768</v>
      </c>
      <c r="P12" s="27">
        <f t="shared" si="6"/>
        <v>256</v>
      </c>
      <c r="Q12" s="27">
        <f t="shared" si="7"/>
        <v>33024</v>
      </c>
      <c r="R12" s="27">
        <f t="shared" si="8"/>
        <v>32768</v>
      </c>
      <c r="S12" s="159">
        <f t="shared" si="9"/>
        <v>0</v>
      </c>
      <c r="T12" s="27">
        <f t="shared" ref="T12:T18" si="10">T11</f>
        <v>33024</v>
      </c>
      <c r="U12" s="144">
        <v>33024</v>
      </c>
      <c r="AC12" s="130"/>
      <c r="AD12" s="32" t="s">
        <v>14</v>
      </c>
      <c r="AE12" s="153">
        <v>18880100</v>
      </c>
      <c r="AF12" s="155" t="s">
        <v>524</v>
      </c>
      <c r="AG12" s="147">
        <v>7</v>
      </c>
      <c r="AH12" s="147">
        <v>1</v>
      </c>
      <c r="AI12" s="146">
        <v>7</v>
      </c>
      <c r="AJ12" s="146">
        <v>2</v>
      </c>
      <c r="AK12" s="130"/>
      <c r="AL12" s="158" t="s">
        <v>525</v>
      </c>
      <c r="AM12" s="147">
        <v>7</v>
      </c>
      <c r="AN12" s="147">
        <v>2</v>
      </c>
      <c r="AP12" s="148" t="s">
        <v>511</v>
      </c>
      <c r="AQ12" s="148" t="s">
        <v>511</v>
      </c>
      <c r="AR12" s="148"/>
      <c r="AS12" s="160" t="s">
        <v>515</v>
      </c>
      <c r="AT12" s="160" t="s">
        <v>522</v>
      </c>
      <c r="AU12" s="148">
        <v>6</v>
      </c>
      <c r="AV12" s="148">
        <v>3</v>
      </c>
      <c r="AX12" s="160" t="s">
        <v>526</v>
      </c>
      <c r="AY12" s="160" t="s">
        <v>527</v>
      </c>
      <c r="AZ12" s="148">
        <v>6</v>
      </c>
      <c r="BA12" s="148">
        <v>4</v>
      </c>
      <c r="BC12" s="160" t="s">
        <v>526</v>
      </c>
      <c r="BD12" s="160" t="s">
        <v>527</v>
      </c>
      <c r="BE12" s="148">
        <v>6</v>
      </c>
      <c r="BF12" s="148">
        <v>5</v>
      </c>
    </row>
    <row r="13" spans="1:58">
      <c r="A13" s="32" t="s">
        <v>29</v>
      </c>
      <c r="B13" s="32" t="s">
        <v>528</v>
      </c>
      <c r="C13" s="92">
        <v>2</v>
      </c>
      <c r="D13" s="140" t="str">
        <f t="shared" si="0"/>
        <v>00010</v>
      </c>
      <c r="E13" s="134">
        <v>0</v>
      </c>
      <c r="F13" s="92" t="str">
        <f t="shared" si="4"/>
        <v>00000</v>
      </c>
      <c r="G13" s="134">
        <v>8</v>
      </c>
      <c r="H13" s="135" t="str">
        <f t="shared" si="1"/>
        <v>01000</v>
      </c>
      <c r="I13" s="14" t="s">
        <v>27</v>
      </c>
      <c r="J13" s="15" t="str">
        <f t="shared" si="2"/>
        <v>00000001100000000</v>
      </c>
      <c r="K13" s="134" t="s">
        <v>231</v>
      </c>
      <c r="L13" s="136" t="s">
        <v>231</v>
      </c>
      <c r="M13" s="143" t="str">
        <f t="shared" si="5"/>
        <v>00010000000100000000001100000000</v>
      </c>
      <c r="N13" s="27">
        <v>0</v>
      </c>
      <c r="O13" s="27">
        <f t="shared" si="3"/>
        <v>32768</v>
      </c>
      <c r="P13" s="27">
        <f t="shared" si="6"/>
        <v>256</v>
      </c>
      <c r="Q13" s="27">
        <f t="shared" si="7"/>
        <v>33024</v>
      </c>
      <c r="R13" s="27">
        <f t="shared" si="8"/>
        <v>32768</v>
      </c>
      <c r="S13" s="159">
        <f t="shared" si="9"/>
        <v>0</v>
      </c>
      <c r="T13" s="27">
        <f t="shared" si="10"/>
        <v>33024</v>
      </c>
      <c r="U13" s="27">
        <f t="shared" ref="U13:U18" si="11">U12</f>
        <v>33024</v>
      </c>
      <c r="V13" s="144">
        <v>65279</v>
      </c>
      <c r="AC13" s="130"/>
      <c r="AD13" s="32" t="s">
        <v>17</v>
      </c>
      <c r="AE13" s="153" t="s">
        <v>529</v>
      </c>
      <c r="AF13" s="155" t="s">
        <v>530</v>
      </c>
      <c r="AG13" s="147">
        <v>8</v>
      </c>
      <c r="AH13" s="147">
        <v>1</v>
      </c>
      <c r="AI13" s="146">
        <v>8</v>
      </c>
      <c r="AJ13" s="146">
        <v>2</v>
      </c>
      <c r="AK13" s="130"/>
      <c r="AL13" s="158" t="s">
        <v>531</v>
      </c>
      <c r="AM13" s="147">
        <v>8</v>
      </c>
      <c r="AN13" s="147">
        <v>2</v>
      </c>
      <c r="AP13" s="160" t="s">
        <v>396</v>
      </c>
      <c r="AQ13" s="160" t="s">
        <v>527</v>
      </c>
      <c r="AR13" s="148"/>
      <c r="AS13" s="160" t="s">
        <v>515</v>
      </c>
      <c r="AT13" s="160" t="s">
        <v>522</v>
      </c>
      <c r="AU13" s="148">
        <v>7</v>
      </c>
      <c r="AV13" s="148">
        <v>3</v>
      </c>
      <c r="AX13" s="160" t="s">
        <v>522</v>
      </c>
      <c r="AY13" s="160" t="s">
        <v>511</v>
      </c>
      <c r="AZ13" s="148">
        <v>7</v>
      </c>
      <c r="BA13" s="148">
        <v>4</v>
      </c>
      <c r="BC13" s="160" t="s">
        <v>522</v>
      </c>
      <c r="BD13" s="160" t="s">
        <v>511</v>
      </c>
      <c r="BE13" s="148">
        <v>7</v>
      </c>
      <c r="BF13" s="148">
        <v>5</v>
      </c>
    </row>
    <row r="14" spans="1:58">
      <c r="A14" s="32" t="s">
        <v>34</v>
      </c>
      <c r="B14" s="32" t="s">
        <v>532</v>
      </c>
      <c r="C14" s="92">
        <v>2</v>
      </c>
      <c r="D14" s="140" t="str">
        <f t="shared" si="0"/>
        <v>00010</v>
      </c>
      <c r="E14" s="134">
        <v>0</v>
      </c>
      <c r="F14" s="92" t="str">
        <f t="shared" si="4"/>
        <v>00000</v>
      </c>
      <c r="G14" s="134">
        <v>9</v>
      </c>
      <c r="H14" s="135" t="str">
        <f t="shared" si="1"/>
        <v>01001</v>
      </c>
      <c r="I14" s="14" t="s">
        <v>32</v>
      </c>
      <c r="J14" s="15" t="str">
        <f t="shared" si="2"/>
        <v>00000010000000000</v>
      </c>
      <c r="K14" s="134" t="s">
        <v>231</v>
      </c>
      <c r="L14" s="136" t="s">
        <v>231</v>
      </c>
      <c r="M14" s="143" t="str">
        <f t="shared" si="5"/>
        <v>00010000000100100000010000000000</v>
      </c>
      <c r="N14" s="27">
        <v>0</v>
      </c>
      <c r="O14" s="27">
        <f t="shared" si="3"/>
        <v>32768</v>
      </c>
      <c r="P14" s="27">
        <f t="shared" si="6"/>
        <v>256</v>
      </c>
      <c r="Q14" s="27">
        <f t="shared" si="7"/>
        <v>33024</v>
      </c>
      <c r="R14" s="27">
        <f t="shared" si="8"/>
        <v>32768</v>
      </c>
      <c r="S14" s="159">
        <f t="shared" si="9"/>
        <v>0</v>
      </c>
      <c r="T14" s="27">
        <f t="shared" si="10"/>
        <v>33024</v>
      </c>
      <c r="U14" s="27">
        <f t="shared" si="11"/>
        <v>33024</v>
      </c>
      <c r="V14" s="27">
        <f>V13</f>
        <v>65279</v>
      </c>
      <c r="W14" s="144">
        <f>A48</f>
        <v>128</v>
      </c>
      <c r="AC14" s="130"/>
      <c r="AD14" s="32" t="s">
        <v>20</v>
      </c>
      <c r="AE14" s="153" t="s">
        <v>533</v>
      </c>
      <c r="AF14" s="155" t="s">
        <v>534</v>
      </c>
      <c r="AG14" s="147">
        <v>9</v>
      </c>
      <c r="AH14" s="147">
        <v>1</v>
      </c>
      <c r="AI14" s="146">
        <v>9</v>
      </c>
      <c r="AJ14" s="146">
        <v>2</v>
      </c>
      <c r="AK14" s="130"/>
      <c r="AL14" s="158" t="s">
        <v>535</v>
      </c>
      <c r="AM14" s="147">
        <v>9</v>
      </c>
      <c r="AN14" s="147">
        <v>2</v>
      </c>
      <c r="AP14" s="148" t="s">
        <v>511</v>
      </c>
      <c r="AQ14" s="148" t="s">
        <v>511</v>
      </c>
      <c r="AR14" s="148"/>
      <c r="AS14" s="160" t="s">
        <v>515</v>
      </c>
      <c r="AT14" s="160" t="s">
        <v>522</v>
      </c>
      <c r="AU14" s="148">
        <v>8</v>
      </c>
      <c r="AV14" s="148">
        <v>3</v>
      </c>
      <c r="AX14" s="160" t="s">
        <v>511</v>
      </c>
      <c r="AY14" s="160" t="s">
        <v>396</v>
      </c>
      <c r="AZ14" s="148">
        <v>8</v>
      </c>
      <c r="BA14" s="148">
        <v>4</v>
      </c>
      <c r="BC14" s="160" t="s">
        <v>511</v>
      </c>
      <c r="BD14" s="160" t="s">
        <v>396</v>
      </c>
      <c r="BE14" s="148">
        <v>8</v>
      </c>
      <c r="BF14" s="148">
        <v>5</v>
      </c>
    </row>
    <row r="15" spans="1:58">
      <c r="A15" s="32" t="s">
        <v>38</v>
      </c>
      <c r="B15" s="32" t="s">
        <v>536</v>
      </c>
      <c r="C15" s="92">
        <v>3</v>
      </c>
      <c r="D15" s="140" t="str">
        <f t="shared" si="0"/>
        <v>00011</v>
      </c>
      <c r="E15" s="134">
        <v>0</v>
      </c>
      <c r="F15" s="92" t="str">
        <f t="shared" si="4"/>
        <v>00000</v>
      </c>
      <c r="G15" s="134">
        <v>10</v>
      </c>
      <c r="H15" s="135" t="str">
        <f t="shared" si="1"/>
        <v>01010</v>
      </c>
      <c r="I15" s="14" t="s">
        <v>36</v>
      </c>
      <c r="J15" s="15" t="str">
        <f t="shared" si="2"/>
        <v>00000010001000000</v>
      </c>
      <c r="K15" s="134" t="s">
        <v>231</v>
      </c>
      <c r="L15" s="136" t="s">
        <v>231</v>
      </c>
      <c r="M15" s="143" t="str">
        <f t="shared" si="5"/>
        <v>00011000000101000000010001000000</v>
      </c>
      <c r="N15" s="27">
        <v>0</v>
      </c>
      <c r="O15" s="27">
        <f t="shared" si="3"/>
        <v>32768</v>
      </c>
      <c r="P15" s="27">
        <f t="shared" si="6"/>
        <v>256</v>
      </c>
      <c r="Q15" s="27">
        <f t="shared" si="7"/>
        <v>33024</v>
      </c>
      <c r="R15" s="27">
        <f t="shared" si="8"/>
        <v>32768</v>
      </c>
      <c r="S15" s="159">
        <f t="shared" si="9"/>
        <v>0</v>
      </c>
      <c r="T15" s="27">
        <f t="shared" si="10"/>
        <v>33024</v>
      </c>
      <c r="U15" s="27">
        <f t="shared" si="11"/>
        <v>33024</v>
      </c>
      <c r="V15" s="27">
        <f>V14</f>
        <v>65279</v>
      </c>
      <c r="W15" s="27">
        <f>W14</f>
        <v>128</v>
      </c>
      <c r="X15" s="144">
        <f>A52</f>
        <v>16512</v>
      </c>
      <c r="AC15" s="130"/>
      <c r="AD15" s="32" t="s">
        <v>26</v>
      </c>
      <c r="AE15" s="153" t="s">
        <v>537</v>
      </c>
      <c r="AF15" s="155" t="s">
        <v>538</v>
      </c>
      <c r="AG15" s="147" t="s">
        <v>237</v>
      </c>
      <c r="AH15" s="147">
        <v>1</v>
      </c>
      <c r="AI15" s="146" t="s">
        <v>237</v>
      </c>
      <c r="AJ15" s="146">
        <v>2</v>
      </c>
      <c r="AK15" s="130"/>
      <c r="AL15" s="158" t="s">
        <v>539</v>
      </c>
      <c r="AM15" s="147" t="s">
        <v>237</v>
      </c>
      <c r="AN15" s="147">
        <v>2</v>
      </c>
      <c r="AP15" s="148" t="s">
        <v>511</v>
      </c>
      <c r="AQ15" s="148" t="s">
        <v>511</v>
      </c>
      <c r="AR15" s="148"/>
      <c r="AS15" s="160" t="s">
        <v>515</v>
      </c>
      <c r="AT15" s="160" t="s">
        <v>522</v>
      </c>
      <c r="AU15" s="148">
        <v>9</v>
      </c>
      <c r="AV15" s="148">
        <v>3</v>
      </c>
      <c r="AX15" s="160" t="s">
        <v>515</v>
      </c>
      <c r="AY15" s="160" t="s">
        <v>527</v>
      </c>
      <c r="AZ15" s="148">
        <v>9</v>
      </c>
      <c r="BA15" s="148">
        <v>4</v>
      </c>
      <c r="BC15" s="160" t="s">
        <v>515</v>
      </c>
      <c r="BD15" s="160" t="s">
        <v>527</v>
      </c>
      <c r="BE15" s="148">
        <v>9</v>
      </c>
      <c r="BF15" s="148">
        <v>5</v>
      </c>
    </row>
    <row r="16" spans="1:58">
      <c r="A16" s="24" t="s">
        <v>540</v>
      </c>
      <c r="B16" s="32" t="s">
        <v>541</v>
      </c>
      <c r="C16" s="92">
        <v>4</v>
      </c>
      <c r="D16" s="140" t="str">
        <f t="shared" si="0"/>
        <v>00100</v>
      </c>
      <c r="E16" s="134">
        <v>0</v>
      </c>
      <c r="F16" s="92" t="str">
        <f t="shared" si="4"/>
        <v>00000</v>
      </c>
      <c r="G16" s="134">
        <v>11</v>
      </c>
      <c r="H16" s="135" t="str">
        <f t="shared" si="1"/>
        <v>01011</v>
      </c>
      <c r="I16" s="14" t="s">
        <v>40</v>
      </c>
      <c r="J16" s="15" t="str">
        <f t="shared" si="2"/>
        <v>00000010011000000</v>
      </c>
      <c r="K16" s="134" t="s">
        <v>231</v>
      </c>
      <c r="L16" s="136" t="s">
        <v>231</v>
      </c>
      <c r="M16" s="143" t="str">
        <f t="shared" si="5"/>
        <v>00100000000101100000010011000000</v>
      </c>
      <c r="N16" s="27">
        <v>0</v>
      </c>
      <c r="O16" s="27">
        <f t="shared" si="3"/>
        <v>32768</v>
      </c>
      <c r="P16" s="27">
        <f t="shared" si="6"/>
        <v>256</v>
      </c>
      <c r="Q16" s="27">
        <f t="shared" si="7"/>
        <v>33024</v>
      </c>
      <c r="R16" s="27">
        <f t="shared" si="8"/>
        <v>32768</v>
      </c>
      <c r="S16" s="159">
        <f t="shared" si="9"/>
        <v>0</v>
      </c>
      <c r="T16" s="27">
        <f t="shared" si="10"/>
        <v>33024</v>
      </c>
      <c r="U16" s="27">
        <f t="shared" si="11"/>
        <v>33024</v>
      </c>
      <c r="V16" s="27">
        <f>V15</f>
        <v>65279</v>
      </c>
      <c r="W16" s="27">
        <f>W15</f>
        <v>128</v>
      </c>
      <c r="X16" s="27">
        <f>X15</f>
        <v>16512</v>
      </c>
      <c r="Y16" s="144">
        <f>A56</f>
        <v>65536</v>
      </c>
      <c r="AC16" s="130"/>
      <c r="AD16" s="32" t="s">
        <v>29</v>
      </c>
      <c r="AE16" s="153">
        <v>10100300</v>
      </c>
      <c r="AF16" s="155" t="s">
        <v>542</v>
      </c>
      <c r="AG16" s="147" t="s">
        <v>233</v>
      </c>
      <c r="AH16" s="147">
        <v>1</v>
      </c>
      <c r="AI16" s="146" t="s">
        <v>233</v>
      </c>
      <c r="AJ16" s="146">
        <v>2</v>
      </c>
      <c r="AK16" s="130"/>
      <c r="AL16" s="158" t="s">
        <v>543</v>
      </c>
      <c r="AM16" s="147" t="s">
        <v>233</v>
      </c>
      <c r="AN16" s="147">
        <v>2</v>
      </c>
      <c r="AP16" s="148" t="s">
        <v>511</v>
      </c>
      <c r="AQ16" s="148" t="s">
        <v>511</v>
      </c>
      <c r="AR16" s="148"/>
      <c r="AS16" s="160" t="s">
        <v>515</v>
      </c>
      <c r="AT16" s="160" t="s">
        <v>522</v>
      </c>
      <c r="AU16" s="148" t="s">
        <v>237</v>
      </c>
      <c r="AV16" s="148">
        <v>3</v>
      </c>
      <c r="AX16" s="160" t="s">
        <v>544</v>
      </c>
      <c r="AY16" s="160" t="s">
        <v>527</v>
      </c>
      <c r="AZ16" s="148" t="s">
        <v>237</v>
      </c>
      <c r="BA16" s="148">
        <v>4</v>
      </c>
      <c r="BC16" s="160" t="s">
        <v>544</v>
      </c>
      <c r="BD16" s="160" t="s">
        <v>527</v>
      </c>
      <c r="BE16" s="148" t="s">
        <v>237</v>
      </c>
      <c r="BF16" s="148">
        <v>5</v>
      </c>
    </row>
    <row r="17" spans="1:58" ht="31.5">
      <c r="A17" s="32" t="s">
        <v>48</v>
      </c>
      <c r="B17" s="32" t="s">
        <v>545</v>
      </c>
      <c r="C17" s="92">
        <v>5</v>
      </c>
      <c r="D17" s="140" t="str">
        <f t="shared" si="0"/>
        <v>00101</v>
      </c>
      <c r="E17" s="134">
        <v>0</v>
      </c>
      <c r="F17" s="92" t="str">
        <f t="shared" si="4"/>
        <v>00000</v>
      </c>
      <c r="G17" s="134">
        <v>12</v>
      </c>
      <c r="H17" s="135" t="str">
        <f t="shared" si="1"/>
        <v>01100</v>
      </c>
      <c r="I17" s="14" t="s">
        <v>46</v>
      </c>
      <c r="J17" s="15" t="str">
        <f t="shared" si="2"/>
        <v>00000011001000000</v>
      </c>
      <c r="K17" s="134" t="s">
        <v>231</v>
      </c>
      <c r="L17" s="136" t="s">
        <v>231</v>
      </c>
      <c r="M17" s="143" t="str">
        <f t="shared" si="5"/>
        <v>00101000000110000000011001000000</v>
      </c>
      <c r="N17" s="27">
        <v>0</v>
      </c>
      <c r="O17" s="27">
        <f t="shared" si="3"/>
        <v>32768</v>
      </c>
      <c r="P17" s="27">
        <f t="shared" si="6"/>
        <v>256</v>
      </c>
      <c r="Q17" s="27">
        <f t="shared" si="7"/>
        <v>33024</v>
      </c>
      <c r="R17" s="27">
        <f t="shared" si="8"/>
        <v>32768</v>
      </c>
      <c r="S17" s="159">
        <f t="shared" si="9"/>
        <v>0</v>
      </c>
      <c r="T17" s="27">
        <f t="shared" si="10"/>
        <v>33024</v>
      </c>
      <c r="U17" s="27">
        <f t="shared" si="11"/>
        <v>33024</v>
      </c>
      <c r="V17" s="27">
        <f>V16</f>
        <v>65279</v>
      </c>
      <c r="W17" s="27">
        <f>W16</f>
        <v>128</v>
      </c>
      <c r="X17" s="27">
        <f>X16</f>
        <v>16512</v>
      </c>
      <c r="Y17" s="27">
        <f>Y16</f>
        <v>65536</v>
      </c>
      <c r="Z17" s="144" t="str">
        <f>""&amp;A64&amp;"|"&amp;A66&amp;""</f>
        <v>0|1073741824</v>
      </c>
      <c r="AC17" s="130"/>
      <c r="AD17" s="32" t="s">
        <v>34</v>
      </c>
      <c r="AE17" s="153">
        <v>10120400</v>
      </c>
      <c r="AF17" s="155" t="s">
        <v>546</v>
      </c>
      <c r="AG17" s="147" t="s">
        <v>269</v>
      </c>
      <c r="AH17" s="147">
        <v>1</v>
      </c>
      <c r="AI17" s="146" t="s">
        <v>269</v>
      </c>
      <c r="AJ17" s="146">
        <v>2</v>
      </c>
      <c r="AK17" s="130"/>
      <c r="AL17" s="158" t="s">
        <v>547</v>
      </c>
      <c r="AM17" s="147" t="s">
        <v>269</v>
      </c>
      <c r="AN17" s="147">
        <v>2</v>
      </c>
      <c r="AP17" s="160" t="s">
        <v>515</v>
      </c>
      <c r="AQ17" s="160" t="s">
        <v>522</v>
      </c>
      <c r="AR17" s="148"/>
      <c r="AS17" s="148" t="s">
        <v>544</v>
      </c>
      <c r="AT17" s="148" t="s">
        <v>231</v>
      </c>
      <c r="AU17" s="148" t="s">
        <v>233</v>
      </c>
      <c r="AV17" s="148">
        <v>3</v>
      </c>
      <c r="AX17" s="160" t="s">
        <v>548</v>
      </c>
      <c r="AY17" s="160" t="s">
        <v>549</v>
      </c>
      <c r="AZ17" s="148" t="s">
        <v>233</v>
      </c>
      <c r="BA17" s="148">
        <v>4</v>
      </c>
      <c r="BC17" s="160" t="s">
        <v>548</v>
      </c>
      <c r="BD17" s="160" t="s">
        <v>549</v>
      </c>
      <c r="BE17" s="148" t="s">
        <v>233</v>
      </c>
      <c r="BF17" s="148">
        <v>5</v>
      </c>
    </row>
    <row r="18" spans="1:58" ht="31.5">
      <c r="A18" s="32" t="s">
        <v>52</v>
      </c>
      <c r="B18" s="32" t="s">
        <v>550</v>
      </c>
      <c r="C18" s="92">
        <v>6</v>
      </c>
      <c r="D18" s="140" t="str">
        <f t="shared" si="0"/>
        <v>00110</v>
      </c>
      <c r="E18" s="134">
        <v>0</v>
      </c>
      <c r="F18" s="92" t="str">
        <f t="shared" si="4"/>
        <v>00000</v>
      </c>
      <c r="G18" s="134">
        <v>13</v>
      </c>
      <c r="H18" s="135" t="str">
        <f t="shared" si="1"/>
        <v>01101</v>
      </c>
      <c r="I18" s="14" t="s">
        <v>50</v>
      </c>
      <c r="J18" s="15" t="str">
        <f t="shared" si="2"/>
        <v>00000011010000000</v>
      </c>
      <c r="K18" s="134" t="s">
        <v>231</v>
      </c>
      <c r="L18" s="136" t="s">
        <v>231</v>
      </c>
      <c r="M18" s="143" t="str">
        <f t="shared" si="5"/>
        <v>00110000000110100000011010000000</v>
      </c>
      <c r="N18" s="27">
        <v>0</v>
      </c>
      <c r="O18" s="27">
        <f t="shared" si="3"/>
        <v>32768</v>
      </c>
      <c r="P18" s="27">
        <f t="shared" si="6"/>
        <v>256</v>
      </c>
      <c r="Q18" s="27">
        <f t="shared" si="7"/>
        <v>33024</v>
      </c>
      <c r="R18" s="27">
        <f t="shared" si="8"/>
        <v>32768</v>
      </c>
      <c r="S18" s="159">
        <f t="shared" si="9"/>
        <v>0</v>
      </c>
      <c r="T18" s="27">
        <f t="shared" si="10"/>
        <v>33024</v>
      </c>
      <c r="U18" s="27">
        <f t="shared" si="11"/>
        <v>33024</v>
      </c>
      <c r="V18" s="27">
        <f>V17</f>
        <v>65279</v>
      </c>
      <c r="W18" s="27">
        <f>W17</f>
        <v>128</v>
      </c>
      <c r="X18" s="27">
        <f>X17</f>
        <v>16512</v>
      </c>
      <c r="Y18" s="27">
        <f>Y17</f>
        <v>65536</v>
      </c>
      <c r="Z18" s="27" t="str">
        <f>Z17</f>
        <v>0|1073741824</v>
      </c>
      <c r="AA18" s="144" t="str">
        <f>""&amp;A60&amp;"|"&amp;A62&amp;""</f>
        <v>66048|66049</v>
      </c>
      <c r="AC18" s="130"/>
      <c r="AD18" s="32" t="s">
        <v>38</v>
      </c>
      <c r="AE18" s="153">
        <v>18140440</v>
      </c>
      <c r="AF18" s="155" t="s">
        <v>551</v>
      </c>
      <c r="AG18" s="147" t="s">
        <v>552</v>
      </c>
      <c r="AH18" s="147">
        <v>1</v>
      </c>
      <c r="AI18" s="146" t="s">
        <v>552</v>
      </c>
      <c r="AJ18" s="146">
        <v>2</v>
      </c>
      <c r="AK18" s="130"/>
      <c r="AL18" s="158" t="s">
        <v>553</v>
      </c>
      <c r="AM18" s="147" t="s">
        <v>552</v>
      </c>
      <c r="AN18" s="147">
        <v>2</v>
      </c>
      <c r="AP18" s="160" t="s">
        <v>515</v>
      </c>
      <c r="AQ18" s="160" t="s">
        <v>522</v>
      </c>
      <c r="AR18" s="148"/>
      <c r="AS18" s="148" t="s">
        <v>548</v>
      </c>
      <c r="AT18" s="148" t="s">
        <v>231</v>
      </c>
      <c r="AU18" s="148" t="s">
        <v>269</v>
      </c>
      <c r="AV18" s="148">
        <v>3</v>
      </c>
      <c r="AX18" s="160" t="s">
        <v>554</v>
      </c>
      <c r="AY18" s="160" t="s">
        <v>555</v>
      </c>
      <c r="AZ18" s="148" t="s">
        <v>269</v>
      </c>
      <c r="BA18" s="148">
        <v>4</v>
      </c>
      <c r="BC18" s="160" t="s">
        <v>554</v>
      </c>
      <c r="BD18" s="160" t="s">
        <v>555</v>
      </c>
      <c r="BE18" s="148" t="s">
        <v>269</v>
      </c>
      <c r="BF18" s="148">
        <v>5</v>
      </c>
    </row>
    <row r="19" spans="1:58">
      <c r="I19" s="27"/>
      <c r="J19" s="27"/>
      <c r="AC19" s="130"/>
      <c r="AD19" s="32" t="s">
        <v>540</v>
      </c>
      <c r="AE19" s="153" t="s">
        <v>556</v>
      </c>
      <c r="AF19" s="155" t="s">
        <v>557</v>
      </c>
      <c r="AG19" s="147" t="s">
        <v>447</v>
      </c>
      <c r="AH19" s="147">
        <v>1</v>
      </c>
      <c r="AI19" s="146" t="s">
        <v>447</v>
      </c>
      <c r="AJ19" s="146">
        <v>2</v>
      </c>
      <c r="AK19" s="130"/>
      <c r="AL19" s="158" t="s">
        <v>558</v>
      </c>
      <c r="AM19" s="147" t="s">
        <v>447</v>
      </c>
      <c r="AN19" s="147">
        <v>2</v>
      </c>
      <c r="AP19" s="160" t="s">
        <v>396</v>
      </c>
      <c r="AQ19" s="160" t="s">
        <v>527</v>
      </c>
      <c r="AR19" s="148"/>
      <c r="AS19" s="148" t="s">
        <v>554</v>
      </c>
      <c r="AT19" s="148" t="s">
        <v>231</v>
      </c>
      <c r="AU19" s="148" t="s">
        <v>552</v>
      </c>
      <c r="AV19" s="148">
        <v>3</v>
      </c>
      <c r="AX19" s="160" t="s">
        <v>396</v>
      </c>
      <c r="AY19" s="160" t="s">
        <v>559</v>
      </c>
      <c r="AZ19" s="148" t="s">
        <v>552</v>
      </c>
      <c r="BA19" s="148">
        <v>4</v>
      </c>
      <c r="BC19" s="160" t="s">
        <v>396</v>
      </c>
      <c r="BD19" s="160" t="s">
        <v>559</v>
      </c>
      <c r="BE19" s="148" t="s">
        <v>552</v>
      </c>
      <c r="BF19" s="148">
        <v>5</v>
      </c>
    </row>
    <row r="20" spans="1:58">
      <c r="A20" s="24" t="s">
        <v>185</v>
      </c>
      <c r="B20" s="24" t="s">
        <v>186</v>
      </c>
      <c r="C20" s="161" t="s">
        <v>560</v>
      </c>
      <c r="D20" s="161" t="s">
        <v>561</v>
      </c>
      <c r="E20" s="161" t="s">
        <v>562</v>
      </c>
      <c r="F20" s="161" t="s">
        <v>563</v>
      </c>
      <c r="G20" s="162" t="s">
        <v>195</v>
      </c>
      <c r="H20" s="163"/>
      <c r="I20" s="164" t="s">
        <v>502</v>
      </c>
      <c r="J20" s="130"/>
      <c r="K20" s="130"/>
      <c r="L20" s="130"/>
      <c r="N20" s="32" t="s">
        <v>198</v>
      </c>
      <c r="O20" s="32" t="s">
        <v>199</v>
      </c>
      <c r="P20" s="32" t="s">
        <v>200</v>
      </c>
      <c r="Q20" s="32" t="s">
        <v>201</v>
      </c>
      <c r="R20" s="32" t="s">
        <v>202</v>
      </c>
      <c r="S20" s="32" t="s">
        <v>203</v>
      </c>
      <c r="T20" s="32" t="s">
        <v>204</v>
      </c>
      <c r="U20" s="32" t="s">
        <v>205</v>
      </c>
      <c r="V20" s="32" t="s">
        <v>206</v>
      </c>
      <c r="W20" s="32" t="s">
        <v>207</v>
      </c>
      <c r="X20" s="32" t="s">
        <v>208</v>
      </c>
      <c r="Y20" s="32" t="s">
        <v>209</v>
      </c>
      <c r="Z20" s="32" t="s">
        <v>210</v>
      </c>
      <c r="AA20" s="32" t="s">
        <v>211</v>
      </c>
      <c r="AC20" s="130"/>
      <c r="AD20" s="32" t="s">
        <v>48</v>
      </c>
      <c r="AE20" s="153">
        <v>28180640</v>
      </c>
      <c r="AF20" s="155" t="s">
        <v>564</v>
      </c>
      <c r="AG20" s="147" t="s">
        <v>565</v>
      </c>
      <c r="AH20" s="147">
        <v>1</v>
      </c>
      <c r="AI20" s="146" t="s">
        <v>565</v>
      </c>
      <c r="AJ20" s="146">
        <v>2</v>
      </c>
      <c r="AK20" s="130"/>
      <c r="AL20" s="158" t="s">
        <v>566</v>
      </c>
      <c r="AM20" s="147" t="s">
        <v>565</v>
      </c>
      <c r="AN20" s="147">
        <v>2</v>
      </c>
      <c r="AP20" s="160" t="s">
        <v>396</v>
      </c>
      <c r="AQ20" s="160" t="s">
        <v>511</v>
      </c>
      <c r="AR20" s="148"/>
      <c r="AS20" s="148" t="s">
        <v>396</v>
      </c>
      <c r="AT20" s="148" t="s">
        <v>231</v>
      </c>
      <c r="AU20" s="148" t="s">
        <v>447</v>
      </c>
      <c r="AV20" s="148">
        <v>3</v>
      </c>
      <c r="AX20" s="160" t="s">
        <v>396</v>
      </c>
      <c r="AY20" s="160" t="s">
        <v>567</v>
      </c>
      <c r="AZ20" s="148" t="s">
        <v>447</v>
      </c>
      <c r="BA20" s="148">
        <v>4</v>
      </c>
      <c r="BC20" s="160" t="s">
        <v>396</v>
      </c>
      <c r="BD20" s="160" t="s">
        <v>567</v>
      </c>
      <c r="BE20" s="148" t="s">
        <v>447</v>
      </c>
      <c r="BF20" s="148">
        <v>5</v>
      </c>
    </row>
    <row r="21" spans="1:58">
      <c r="A21" s="32" t="s">
        <v>68</v>
      </c>
      <c r="B21" s="32" t="s">
        <v>485</v>
      </c>
      <c r="C21" s="165" t="str">
        <f t="shared" ref="C21:C36" si="12">BIN2HEX(D3)</f>
        <v>0</v>
      </c>
      <c r="D21" s="165" t="str">
        <f>BIN2HEX(F3)</f>
        <v>0</v>
      </c>
      <c r="E21" s="165" t="str">
        <f t="shared" ref="E21:E36" si="13">BIN2HEX(H3)</f>
        <v>0</v>
      </c>
      <c r="F21" s="165" t="s">
        <v>568</v>
      </c>
      <c r="G21" s="166" t="s">
        <v>231</v>
      </c>
      <c r="H21" s="167"/>
      <c r="I21" s="168" t="s">
        <v>505</v>
      </c>
      <c r="J21" s="130"/>
      <c r="K21" s="130"/>
      <c r="L21" s="130"/>
      <c r="M21" s="27"/>
      <c r="N21" s="169" t="str">
        <f t="shared" ref="N21:N36" si="14">DEC2HEX(N3)</f>
        <v>0</v>
      </c>
      <c r="O21" s="137"/>
      <c r="P21" s="137"/>
      <c r="Q21" s="137"/>
      <c r="R21" s="137"/>
      <c r="S21" s="137"/>
      <c r="T21" s="137"/>
      <c r="U21" s="137"/>
      <c r="V21" s="137"/>
      <c r="W21" s="137"/>
      <c r="X21" s="137"/>
      <c r="Y21" s="137"/>
      <c r="Z21" s="137"/>
      <c r="AA21" s="137"/>
      <c r="AD21" s="32" t="s">
        <v>52</v>
      </c>
      <c r="AE21" s="153" t="s">
        <v>569</v>
      </c>
      <c r="AF21" s="155" t="s">
        <v>570</v>
      </c>
      <c r="AG21" s="147">
        <v>10</v>
      </c>
      <c r="AH21" s="147">
        <v>1</v>
      </c>
      <c r="AI21" s="146">
        <v>10</v>
      </c>
      <c r="AJ21" s="146">
        <v>2</v>
      </c>
      <c r="AK21" s="130"/>
      <c r="AL21" s="158" t="s">
        <v>571</v>
      </c>
      <c r="AM21" s="147">
        <v>10</v>
      </c>
      <c r="AN21" s="147">
        <v>2</v>
      </c>
      <c r="AP21" s="160" t="s">
        <v>396</v>
      </c>
      <c r="AQ21" s="160" t="s">
        <v>396</v>
      </c>
      <c r="AR21" s="148"/>
      <c r="AS21" s="148" t="s">
        <v>396</v>
      </c>
      <c r="AT21" s="148" t="s">
        <v>231</v>
      </c>
      <c r="AU21" s="148" t="s">
        <v>565</v>
      </c>
      <c r="AV21" s="148">
        <v>3</v>
      </c>
      <c r="AX21" s="160" t="s">
        <v>396</v>
      </c>
      <c r="AY21" s="160" t="s">
        <v>396</v>
      </c>
      <c r="AZ21" s="148" t="s">
        <v>565</v>
      </c>
      <c r="BA21" s="148">
        <v>4</v>
      </c>
      <c r="BC21" s="160" t="s">
        <v>396</v>
      </c>
      <c r="BD21" s="160" t="s">
        <v>396</v>
      </c>
      <c r="BE21" s="148" t="s">
        <v>565</v>
      </c>
      <c r="BF21" s="148">
        <v>5</v>
      </c>
    </row>
    <row r="22" spans="1:58">
      <c r="A22" s="51" t="s">
        <v>487</v>
      </c>
      <c r="B22" s="32" t="s">
        <v>488</v>
      </c>
      <c r="C22" s="165" t="str">
        <f t="shared" si="12"/>
        <v>0</v>
      </c>
      <c r="D22" s="165" t="s">
        <v>231</v>
      </c>
      <c r="E22" s="165" t="str">
        <f t="shared" si="13"/>
        <v>0</v>
      </c>
      <c r="F22" s="165" t="str">
        <f>BIN2HEX(J4)</f>
        <v>22</v>
      </c>
      <c r="G22" s="166" t="str">
        <f>DEC2HEX(K4)</f>
        <v>0</v>
      </c>
      <c r="H22" s="167"/>
      <c r="I22" s="168">
        <v>22</v>
      </c>
      <c r="J22" s="130"/>
      <c r="K22" s="130"/>
      <c r="L22" s="130"/>
      <c r="M22" s="27"/>
      <c r="N22" s="169" t="str">
        <f t="shared" si="14"/>
        <v>0</v>
      </c>
      <c r="O22" s="137"/>
      <c r="P22" s="137"/>
      <c r="Q22" s="137"/>
      <c r="R22" s="137"/>
      <c r="S22" s="137"/>
      <c r="T22" s="137"/>
      <c r="U22" s="137"/>
      <c r="V22" s="137"/>
      <c r="W22" s="137"/>
      <c r="X22" s="137"/>
      <c r="Y22" s="137"/>
      <c r="Z22" s="137"/>
      <c r="AA22" s="137"/>
      <c r="AN22" s="170"/>
      <c r="AP22" s="160" t="s">
        <v>396</v>
      </c>
      <c r="AQ22" s="160" t="s">
        <v>527</v>
      </c>
      <c r="AR22" s="148"/>
      <c r="AS22" s="148" t="s">
        <v>396</v>
      </c>
      <c r="AT22" s="148" t="s">
        <v>231</v>
      </c>
      <c r="AU22" s="148">
        <v>10</v>
      </c>
      <c r="AV22" s="148">
        <v>3</v>
      </c>
      <c r="AX22" s="160" t="s">
        <v>396</v>
      </c>
      <c r="AY22" s="160" t="s">
        <v>572</v>
      </c>
      <c r="AZ22" s="148">
        <v>10</v>
      </c>
      <c r="BA22" s="148">
        <v>4</v>
      </c>
      <c r="BC22" s="160" t="s">
        <v>396</v>
      </c>
      <c r="BD22" s="160" t="s">
        <v>572</v>
      </c>
      <c r="BE22" s="148">
        <v>10</v>
      </c>
      <c r="BF22" s="148">
        <v>5</v>
      </c>
    </row>
    <row r="23" spans="1:58">
      <c r="A23" s="32" t="s">
        <v>500</v>
      </c>
      <c r="B23" s="32" t="s">
        <v>501</v>
      </c>
      <c r="C23" s="165" t="str">
        <f t="shared" si="12"/>
        <v>0</v>
      </c>
      <c r="D23" s="165" t="s">
        <v>231</v>
      </c>
      <c r="E23" s="165" t="str">
        <f t="shared" si="13"/>
        <v>1</v>
      </c>
      <c r="F23" s="165" t="str">
        <f>BIN2HEX(J5)</f>
        <v>23</v>
      </c>
      <c r="G23" s="166" t="str">
        <f>DEC2HEX(K5)</f>
        <v>8000</v>
      </c>
      <c r="H23" s="167"/>
      <c r="I23" s="168">
        <v>600023</v>
      </c>
      <c r="J23" s="130"/>
      <c r="K23" s="130"/>
      <c r="L23" s="130"/>
      <c r="M23" s="27"/>
      <c r="N23" s="137" t="str">
        <f t="shared" si="14"/>
        <v>0</v>
      </c>
      <c r="O23" s="169" t="str">
        <f t="shared" ref="O23:O36" si="15">DEC2HEX(O5)</f>
        <v>8000</v>
      </c>
      <c r="P23" s="137"/>
      <c r="Q23" s="137"/>
      <c r="R23" s="137"/>
      <c r="S23" s="137"/>
      <c r="T23" s="137"/>
      <c r="U23" s="137"/>
      <c r="V23" s="137"/>
      <c r="W23" s="137"/>
      <c r="X23" s="137"/>
      <c r="Y23" s="137"/>
      <c r="Z23" s="137"/>
      <c r="AA23" s="137"/>
      <c r="AE23" s="130"/>
      <c r="AF23" s="130"/>
      <c r="AG23" s="130"/>
      <c r="AH23" s="130"/>
    </row>
    <row r="24" spans="1:58">
      <c r="A24" s="32" t="s">
        <v>487</v>
      </c>
      <c r="B24" s="32" t="s">
        <v>504</v>
      </c>
      <c r="C24" s="165" t="str">
        <f t="shared" si="12"/>
        <v>0</v>
      </c>
      <c r="D24" s="165" t="e">
        <f t="shared" ref="D24:D36" si="16">BIN2HEX(F6)</f>
        <v>#NUM!</v>
      </c>
      <c r="E24" s="165" t="str">
        <f t="shared" si="13"/>
        <v>2</v>
      </c>
      <c r="F24" s="165" t="str">
        <f>BIN2HEX(J6)</f>
        <v>22</v>
      </c>
      <c r="G24" s="171" t="s">
        <v>573</v>
      </c>
      <c r="H24" s="167"/>
      <c r="I24" s="168" t="s">
        <v>513</v>
      </c>
      <c r="J24" s="130"/>
      <c r="K24" s="130"/>
      <c r="L24" s="130"/>
      <c r="M24" s="27"/>
      <c r="N24" s="137" t="str">
        <f t="shared" si="14"/>
        <v>0</v>
      </c>
      <c r="O24" s="137" t="str">
        <f t="shared" si="15"/>
        <v>8000</v>
      </c>
      <c r="P24" s="169" t="s">
        <v>573</v>
      </c>
      <c r="Q24" s="137"/>
      <c r="R24" s="137"/>
      <c r="S24" s="137"/>
      <c r="T24" s="137"/>
      <c r="U24" s="137"/>
      <c r="V24" s="137"/>
      <c r="W24" s="137"/>
      <c r="X24" s="137"/>
      <c r="Y24" s="137"/>
      <c r="Z24" s="137"/>
      <c r="AA24" s="137"/>
      <c r="AE24" s="130"/>
      <c r="AF24" s="130"/>
      <c r="AG24" s="130"/>
      <c r="AH24" s="130"/>
      <c r="AP24" s="130"/>
      <c r="AQ24" s="130"/>
      <c r="AR24" s="130"/>
      <c r="AS24" s="130"/>
      <c r="AT24" s="130"/>
      <c r="AU24" s="130"/>
      <c r="AV24" s="130"/>
      <c r="AW24" s="130"/>
      <c r="AX24" s="130"/>
      <c r="AY24" s="130"/>
      <c r="AZ24" s="130"/>
      <c r="BA24" s="130"/>
      <c r="BB24" s="130"/>
      <c r="BC24" s="130"/>
      <c r="BD24" s="130"/>
      <c r="BE24" s="130"/>
      <c r="BF24" s="130"/>
    </row>
    <row r="25" spans="1:58">
      <c r="A25" s="32" t="s">
        <v>23</v>
      </c>
      <c r="B25" s="32" t="s">
        <v>507</v>
      </c>
      <c r="C25" s="165" t="str">
        <f t="shared" si="12"/>
        <v>2</v>
      </c>
      <c r="D25" s="165" t="str">
        <f t="shared" si="16"/>
        <v>0</v>
      </c>
      <c r="E25" s="165" t="str">
        <f t="shared" si="13"/>
        <v>2</v>
      </c>
      <c r="F25" s="165">
        <v>280</v>
      </c>
      <c r="G25" s="166" t="s">
        <v>231</v>
      </c>
      <c r="H25" s="167"/>
      <c r="I25" s="168">
        <v>10040280</v>
      </c>
      <c r="J25" s="130"/>
      <c r="K25" s="130"/>
      <c r="L25" s="130"/>
      <c r="M25" s="27"/>
      <c r="N25" s="137" t="str">
        <f t="shared" si="14"/>
        <v>0</v>
      </c>
      <c r="O25" s="137" t="str">
        <f t="shared" si="15"/>
        <v>8000</v>
      </c>
      <c r="P25" s="169" t="str">
        <f t="shared" ref="P25:P36" si="17">DEC2HEX(P7)</f>
        <v>100</v>
      </c>
      <c r="Q25" s="137"/>
      <c r="R25" s="137"/>
      <c r="S25" s="137"/>
      <c r="T25" s="137"/>
      <c r="U25" s="137"/>
      <c r="V25" s="137"/>
      <c r="W25" s="137"/>
      <c r="X25" s="137"/>
      <c r="Y25" s="137"/>
      <c r="Z25" s="137"/>
      <c r="AA25" s="137"/>
      <c r="AE25" s="130"/>
      <c r="AF25" s="130"/>
      <c r="AG25" s="130"/>
      <c r="AH25" s="130"/>
      <c r="AP25" s="130"/>
      <c r="AQ25" s="130"/>
      <c r="AR25" s="130"/>
      <c r="AS25" s="130"/>
      <c r="AT25" s="130"/>
      <c r="AU25" s="130"/>
      <c r="AV25" s="130"/>
      <c r="AW25" s="130"/>
      <c r="AX25" s="130"/>
      <c r="AY25" s="130"/>
      <c r="AZ25" s="130"/>
      <c r="BA25" s="130"/>
      <c r="BB25" s="130"/>
      <c r="BC25" s="130"/>
      <c r="BD25" s="130"/>
      <c r="BE25" s="130"/>
      <c r="BF25" s="130"/>
    </row>
    <row r="26" spans="1:58">
      <c r="A26" s="32" t="s">
        <v>11</v>
      </c>
      <c r="B26" s="32" t="s">
        <v>509</v>
      </c>
      <c r="C26" s="165" t="str">
        <f t="shared" si="12"/>
        <v>1</v>
      </c>
      <c r="D26" s="165" t="str">
        <f t="shared" si="16"/>
        <v>2</v>
      </c>
      <c r="E26" s="165" t="str">
        <f t="shared" si="13"/>
        <v>3</v>
      </c>
      <c r="F26" s="165">
        <v>40</v>
      </c>
      <c r="G26" s="166" t="s">
        <v>231</v>
      </c>
      <c r="H26" s="167"/>
      <c r="I26" s="168">
        <v>8860040</v>
      </c>
      <c r="J26" s="130"/>
      <c r="K26" s="130"/>
      <c r="L26" s="130"/>
      <c r="M26" s="27"/>
      <c r="N26" s="137" t="str">
        <f t="shared" si="14"/>
        <v>0</v>
      </c>
      <c r="O26" s="137" t="str">
        <f t="shared" si="15"/>
        <v>8000</v>
      </c>
      <c r="P26" s="137" t="str">
        <f t="shared" si="17"/>
        <v>100</v>
      </c>
      <c r="Q26" s="169" t="str">
        <f t="shared" ref="Q26:Q36" si="18">DEC2HEX(Q8)</f>
        <v>8100</v>
      </c>
      <c r="R26" s="137"/>
      <c r="S26" s="137"/>
      <c r="T26" s="137"/>
      <c r="U26" s="137"/>
      <c r="V26" s="137"/>
      <c r="W26" s="137"/>
      <c r="X26" s="137"/>
      <c r="Y26" s="137"/>
      <c r="Z26" s="137"/>
      <c r="AA26" s="137"/>
      <c r="AE26" s="130"/>
      <c r="AF26" s="130"/>
      <c r="AG26" s="130"/>
      <c r="AH26" s="130"/>
      <c r="AP26" s="130"/>
      <c r="AQ26" s="130"/>
      <c r="AR26" s="130"/>
      <c r="AS26" s="130"/>
      <c r="AT26" s="130"/>
      <c r="AU26" s="130"/>
      <c r="AV26" s="130"/>
      <c r="AW26" s="130"/>
      <c r="AX26" s="130"/>
      <c r="AY26" s="130"/>
      <c r="AZ26" s="130"/>
      <c r="BA26" s="130"/>
      <c r="BB26" s="130"/>
      <c r="BC26" s="130"/>
      <c r="BD26" s="130"/>
      <c r="BE26" s="130"/>
      <c r="BF26" s="130"/>
    </row>
    <row r="27" spans="1:58">
      <c r="A27" s="32" t="s">
        <v>14</v>
      </c>
      <c r="B27" s="32" t="s">
        <v>512</v>
      </c>
      <c r="C27" s="165" t="str">
        <f t="shared" si="12"/>
        <v>3</v>
      </c>
      <c r="D27" s="165" t="str">
        <f t="shared" si="16"/>
        <v>2</v>
      </c>
      <c r="E27" s="165" t="str">
        <f t="shared" si="13"/>
        <v>4</v>
      </c>
      <c r="F27" s="165">
        <v>100</v>
      </c>
      <c r="G27" s="166" t="s">
        <v>231</v>
      </c>
      <c r="H27" s="167"/>
      <c r="I27" s="168">
        <v>18880100</v>
      </c>
      <c r="J27" s="130"/>
      <c r="K27" s="130"/>
      <c r="L27" s="130"/>
      <c r="M27" s="27"/>
      <c r="N27" s="137" t="str">
        <f t="shared" si="14"/>
        <v>0</v>
      </c>
      <c r="O27" s="137" t="str">
        <f t="shared" si="15"/>
        <v>8000</v>
      </c>
      <c r="P27" s="137" t="str">
        <f t="shared" si="17"/>
        <v>100</v>
      </c>
      <c r="Q27" s="137" t="str">
        <f t="shared" si="18"/>
        <v>8100</v>
      </c>
      <c r="R27" s="169" t="str">
        <f t="shared" ref="R27:R36" si="19">DEC2HEX(R9)</f>
        <v>8000</v>
      </c>
      <c r="S27" s="137"/>
      <c r="T27" s="137"/>
      <c r="U27" s="137"/>
      <c r="V27" s="137"/>
      <c r="W27" s="137"/>
      <c r="X27" s="137"/>
      <c r="Y27" s="137"/>
      <c r="Z27" s="137"/>
      <c r="AA27" s="137"/>
      <c r="AE27" s="130"/>
      <c r="AF27" s="130"/>
      <c r="AG27" s="130"/>
      <c r="AH27" s="130"/>
      <c r="AP27" s="130"/>
      <c r="AQ27" s="130"/>
      <c r="AR27" s="130"/>
      <c r="AS27" s="130"/>
      <c r="AT27" s="130"/>
      <c r="AU27" s="130"/>
      <c r="AV27" s="130"/>
      <c r="AW27" s="130"/>
      <c r="AX27" s="130"/>
      <c r="AY27" s="130"/>
      <c r="AZ27" s="130"/>
      <c r="BA27" s="130"/>
      <c r="BB27" s="130"/>
      <c r="BC27" s="130"/>
      <c r="BD27" s="130"/>
      <c r="BE27" s="130"/>
      <c r="BF27" s="130"/>
    </row>
    <row r="28" spans="1:58">
      <c r="A28" s="32" t="s">
        <v>17</v>
      </c>
      <c r="B28" s="32" t="s">
        <v>516</v>
      </c>
      <c r="C28" s="165" t="str">
        <f t="shared" si="12"/>
        <v>1</v>
      </c>
      <c r="D28" s="165" t="str">
        <f t="shared" si="16"/>
        <v>2</v>
      </c>
      <c r="E28" s="165" t="str">
        <f t="shared" si="13"/>
        <v>5</v>
      </c>
      <c r="F28" s="165">
        <v>200</v>
      </c>
      <c r="G28" s="166" t="s">
        <v>231</v>
      </c>
      <c r="H28" s="167"/>
      <c r="I28" s="168" t="s">
        <v>529</v>
      </c>
      <c r="J28" s="130"/>
      <c r="K28" s="130"/>
      <c r="L28" s="130"/>
      <c r="M28" s="27"/>
      <c r="N28" s="137" t="str">
        <f t="shared" si="14"/>
        <v>0</v>
      </c>
      <c r="O28" s="137" t="str">
        <f t="shared" si="15"/>
        <v>8000</v>
      </c>
      <c r="P28" s="137" t="str">
        <f t="shared" si="17"/>
        <v>100</v>
      </c>
      <c r="Q28" s="137" t="str">
        <f t="shared" si="18"/>
        <v>8100</v>
      </c>
      <c r="R28" s="137" t="str">
        <f t="shared" si="19"/>
        <v>8000</v>
      </c>
      <c r="S28" s="169" t="str">
        <f t="shared" ref="S28:S36" si="20">DEC2HEX(S10)</f>
        <v>0</v>
      </c>
      <c r="T28" s="137"/>
      <c r="U28" s="137"/>
      <c r="V28" s="137"/>
      <c r="W28" s="137"/>
      <c r="X28" s="137"/>
      <c r="Y28" s="137"/>
      <c r="Z28" s="137"/>
      <c r="AA28" s="137"/>
      <c r="AE28" s="130"/>
      <c r="AF28" s="130"/>
      <c r="AG28" s="130"/>
      <c r="AH28" s="130"/>
      <c r="AP28" s="130"/>
      <c r="AQ28" s="130"/>
      <c r="AR28" s="130"/>
      <c r="AS28" s="130"/>
      <c r="AT28" s="130"/>
      <c r="AU28" s="130"/>
      <c r="AV28" s="130"/>
      <c r="AW28" s="130"/>
      <c r="AX28" s="130"/>
      <c r="AY28" s="130"/>
      <c r="AZ28" s="130"/>
      <c r="BA28" s="130"/>
      <c r="BB28" s="130"/>
      <c r="BC28" s="130"/>
      <c r="BD28" s="130"/>
      <c r="BE28" s="130"/>
      <c r="BF28" s="130"/>
    </row>
    <row r="29" spans="1:58">
      <c r="A29" s="32" t="s">
        <v>20</v>
      </c>
      <c r="B29" s="32" t="s">
        <v>519</v>
      </c>
      <c r="C29" s="165" t="str">
        <f t="shared" si="12"/>
        <v>1</v>
      </c>
      <c r="D29" s="165" t="str">
        <f t="shared" si="16"/>
        <v>2</v>
      </c>
      <c r="E29" s="165" t="str">
        <f t="shared" si="13"/>
        <v>6</v>
      </c>
      <c r="F29" s="165">
        <v>240</v>
      </c>
      <c r="G29" s="166" t="s">
        <v>231</v>
      </c>
      <c r="H29" s="167"/>
      <c r="I29" s="168" t="s">
        <v>533</v>
      </c>
      <c r="J29" s="130"/>
      <c r="K29" s="130"/>
      <c r="L29" s="130"/>
      <c r="M29" s="27"/>
      <c r="N29" s="137" t="str">
        <f t="shared" si="14"/>
        <v>0</v>
      </c>
      <c r="O29" s="137" t="str">
        <f t="shared" si="15"/>
        <v>8000</v>
      </c>
      <c r="P29" s="137" t="str">
        <f t="shared" si="17"/>
        <v>100</v>
      </c>
      <c r="Q29" s="137" t="str">
        <f t="shared" si="18"/>
        <v>8100</v>
      </c>
      <c r="R29" s="137" t="str">
        <f t="shared" si="19"/>
        <v>8000</v>
      </c>
      <c r="S29" s="137" t="str">
        <f t="shared" si="20"/>
        <v>0</v>
      </c>
      <c r="T29" s="169" t="str">
        <f t="shared" ref="T29:T36" si="21">DEC2HEX(T11)</f>
        <v>8100</v>
      </c>
      <c r="U29" s="137"/>
      <c r="V29" s="137"/>
      <c r="W29" s="137"/>
      <c r="X29" s="137"/>
      <c r="Y29" s="137"/>
      <c r="Z29" s="137"/>
      <c r="AA29" s="137"/>
      <c r="AE29" s="130"/>
      <c r="AF29" s="130"/>
      <c r="AG29" s="130"/>
      <c r="AH29" s="130"/>
      <c r="AP29" s="130"/>
      <c r="AQ29" s="130"/>
      <c r="AR29" s="130"/>
      <c r="AS29" s="130"/>
      <c r="AT29" s="130"/>
      <c r="AU29" s="130"/>
      <c r="AV29" s="130"/>
      <c r="AW29" s="130"/>
      <c r="AX29" s="130"/>
      <c r="AY29" s="130"/>
      <c r="AZ29" s="130"/>
      <c r="BA29" s="130"/>
      <c r="BB29" s="130"/>
      <c r="BC29" s="130"/>
      <c r="BD29" s="130"/>
      <c r="BE29" s="130"/>
      <c r="BF29" s="130"/>
    </row>
    <row r="30" spans="1:58">
      <c r="A30" s="32" t="s">
        <v>26</v>
      </c>
      <c r="B30" s="32" t="s">
        <v>523</v>
      </c>
      <c r="C30" s="165" t="str">
        <f t="shared" si="12"/>
        <v>1</v>
      </c>
      <c r="D30" s="165" t="str">
        <f t="shared" si="16"/>
        <v>2</v>
      </c>
      <c r="E30" s="165" t="str">
        <f t="shared" si="13"/>
        <v>7</v>
      </c>
      <c r="F30" s="165" t="s">
        <v>574</v>
      </c>
      <c r="G30" s="166" t="s">
        <v>231</v>
      </c>
      <c r="H30" s="167"/>
      <c r="I30" s="168" t="s">
        <v>537</v>
      </c>
      <c r="J30" s="130"/>
      <c r="K30" s="130"/>
      <c r="L30" s="130"/>
      <c r="M30" s="27"/>
      <c r="N30" s="137" t="str">
        <f t="shared" si="14"/>
        <v>0</v>
      </c>
      <c r="O30" s="137" t="str">
        <f t="shared" si="15"/>
        <v>8000</v>
      </c>
      <c r="P30" s="137" t="str">
        <f t="shared" si="17"/>
        <v>100</v>
      </c>
      <c r="Q30" s="137" t="str">
        <f t="shared" si="18"/>
        <v>8100</v>
      </c>
      <c r="R30" s="137" t="str">
        <f t="shared" si="19"/>
        <v>8000</v>
      </c>
      <c r="S30" s="137" t="str">
        <f t="shared" si="20"/>
        <v>0</v>
      </c>
      <c r="T30" s="137" t="str">
        <f t="shared" si="21"/>
        <v>8100</v>
      </c>
      <c r="U30" s="169" t="str">
        <f t="shared" ref="U30:U36" si="22">DEC2HEX(U12)</f>
        <v>8100</v>
      </c>
      <c r="V30" s="137"/>
      <c r="W30" s="137"/>
      <c r="X30" s="137"/>
      <c r="Y30" s="137"/>
      <c r="Z30" s="137"/>
      <c r="AA30" s="137"/>
      <c r="AE30" s="130"/>
      <c r="AF30" s="130"/>
      <c r="AG30" s="130"/>
      <c r="AH30" s="130"/>
      <c r="AP30" s="130"/>
      <c r="AQ30" s="130"/>
      <c r="AR30" s="130"/>
      <c r="AS30" s="130"/>
      <c r="AT30" s="130"/>
      <c r="AU30" s="130"/>
      <c r="AV30" s="130"/>
      <c r="AW30" s="130"/>
      <c r="AX30" s="130"/>
      <c r="AY30" s="130"/>
      <c r="AZ30" s="130"/>
      <c r="BA30" s="130"/>
      <c r="BB30" s="130"/>
      <c r="BC30" s="130"/>
      <c r="BD30" s="130"/>
      <c r="BE30" s="130"/>
      <c r="BF30" s="130"/>
    </row>
    <row r="31" spans="1:58">
      <c r="A31" s="32" t="s">
        <v>29</v>
      </c>
      <c r="B31" s="32" t="s">
        <v>528</v>
      </c>
      <c r="C31" s="165" t="str">
        <f t="shared" si="12"/>
        <v>2</v>
      </c>
      <c r="D31" s="165" t="str">
        <f t="shared" si="16"/>
        <v>0</v>
      </c>
      <c r="E31" s="165" t="str">
        <f t="shared" si="13"/>
        <v>8</v>
      </c>
      <c r="F31" s="165">
        <v>300</v>
      </c>
      <c r="G31" s="166" t="s">
        <v>231</v>
      </c>
      <c r="H31" s="167"/>
      <c r="I31" s="168">
        <v>10100300</v>
      </c>
      <c r="J31" s="130"/>
      <c r="K31" s="130"/>
      <c r="L31" s="130"/>
      <c r="M31" s="27"/>
      <c r="N31" s="137" t="str">
        <f t="shared" si="14"/>
        <v>0</v>
      </c>
      <c r="O31" s="137" t="str">
        <f t="shared" si="15"/>
        <v>8000</v>
      </c>
      <c r="P31" s="137" t="str">
        <f t="shared" si="17"/>
        <v>100</v>
      </c>
      <c r="Q31" s="137" t="str">
        <f t="shared" si="18"/>
        <v>8100</v>
      </c>
      <c r="R31" s="137" t="str">
        <f t="shared" si="19"/>
        <v>8000</v>
      </c>
      <c r="S31" s="137" t="str">
        <f t="shared" si="20"/>
        <v>0</v>
      </c>
      <c r="T31" s="137" t="str">
        <f t="shared" si="21"/>
        <v>8100</v>
      </c>
      <c r="U31" s="137" t="str">
        <f t="shared" si="22"/>
        <v>8100</v>
      </c>
      <c r="V31" s="169" t="str">
        <f>DEC2HEX(V13)</f>
        <v>FEFF</v>
      </c>
      <c r="W31" s="137"/>
      <c r="X31" s="137"/>
      <c r="Y31" s="137"/>
      <c r="Z31" s="137"/>
      <c r="AA31" s="137"/>
      <c r="AE31" s="130"/>
      <c r="AF31" s="130"/>
      <c r="AG31" s="130"/>
      <c r="AH31" s="130"/>
      <c r="AP31" s="130"/>
      <c r="AQ31" s="130"/>
      <c r="AR31" s="130"/>
      <c r="AS31" s="130"/>
      <c r="AT31" s="130"/>
      <c r="AU31" s="130"/>
      <c r="AV31" s="130"/>
      <c r="AW31" s="130"/>
      <c r="AX31" s="130"/>
      <c r="AY31" s="130"/>
      <c r="AZ31" s="130"/>
      <c r="BA31" s="130"/>
      <c r="BB31" s="130"/>
      <c r="BC31" s="130"/>
      <c r="BD31" s="130"/>
      <c r="BE31" s="130"/>
      <c r="BF31" s="130"/>
    </row>
    <row r="32" spans="1:58">
      <c r="A32" s="32" t="s">
        <v>34</v>
      </c>
      <c r="B32" s="32" t="s">
        <v>532</v>
      </c>
      <c r="C32" s="165" t="str">
        <f t="shared" si="12"/>
        <v>2</v>
      </c>
      <c r="D32" s="165" t="str">
        <f t="shared" si="16"/>
        <v>0</v>
      </c>
      <c r="E32" s="165" t="str">
        <f t="shared" si="13"/>
        <v>9</v>
      </c>
      <c r="F32" s="165">
        <v>400</v>
      </c>
      <c r="G32" s="166" t="s">
        <v>231</v>
      </c>
      <c r="H32" s="167"/>
      <c r="I32" s="168">
        <v>10120400</v>
      </c>
      <c r="J32" s="130"/>
      <c r="K32" s="130"/>
      <c r="L32" s="130"/>
      <c r="M32" s="27"/>
      <c r="N32" s="137" t="str">
        <f t="shared" si="14"/>
        <v>0</v>
      </c>
      <c r="O32" s="137" t="str">
        <f t="shared" si="15"/>
        <v>8000</v>
      </c>
      <c r="P32" s="137" t="str">
        <f t="shared" si="17"/>
        <v>100</v>
      </c>
      <c r="Q32" s="137" t="str">
        <f t="shared" si="18"/>
        <v>8100</v>
      </c>
      <c r="R32" s="137" t="str">
        <f t="shared" si="19"/>
        <v>8000</v>
      </c>
      <c r="S32" s="137" t="str">
        <f t="shared" si="20"/>
        <v>0</v>
      </c>
      <c r="T32" s="137" t="str">
        <f t="shared" si="21"/>
        <v>8100</v>
      </c>
      <c r="U32" s="137" t="str">
        <f t="shared" si="22"/>
        <v>8100</v>
      </c>
      <c r="V32" s="137" t="str">
        <f>V31</f>
        <v>FEFF</v>
      </c>
      <c r="W32" s="169" t="str">
        <f>DEC2HEX(W14)</f>
        <v>80</v>
      </c>
      <c r="X32" s="137"/>
      <c r="Y32" s="137"/>
      <c r="Z32" s="137"/>
      <c r="AA32" s="137"/>
      <c r="AE32" s="130"/>
      <c r="AF32" s="130"/>
      <c r="AG32" s="130"/>
      <c r="AH32" s="130"/>
      <c r="AP32" s="130"/>
      <c r="AQ32" s="130"/>
      <c r="AR32" s="130"/>
      <c r="AS32" s="130"/>
      <c r="AT32" s="130"/>
      <c r="AU32" s="130"/>
      <c r="AV32" s="130"/>
      <c r="AW32" s="130"/>
      <c r="AX32" s="130"/>
      <c r="AY32" s="130"/>
      <c r="AZ32" s="130"/>
      <c r="BA32" s="130"/>
      <c r="BB32" s="130"/>
      <c r="BC32" s="130"/>
      <c r="BD32" s="130"/>
      <c r="BE32" s="130"/>
      <c r="BF32" s="130"/>
    </row>
    <row r="33" spans="1:1024">
      <c r="A33" s="32" t="s">
        <v>38</v>
      </c>
      <c r="B33" s="32" t="s">
        <v>536</v>
      </c>
      <c r="C33" s="165" t="str">
        <f t="shared" si="12"/>
        <v>3</v>
      </c>
      <c r="D33" s="165" t="str">
        <f t="shared" si="16"/>
        <v>0</v>
      </c>
      <c r="E33" s="165" t="str">
        <f t="shared" si="13"/>
        <v>A</v>
      </c>
      <c r="F33" s="165">
        <v>440</v>
      </c>
      <c r="G33" s="166" t="s">
        <v>231</v>
      </c>
      <c r="H33" s="167"/>
      <c r="I33" s="168">
        <v>18140440</v>
      </c>
      <c r="J33" s="130"/>
      <c r="K33" s="130"/>
      <c r="L33" s="130"/>
      <c r="M33" s="27"/>
      <c r="N33" s="137" t="str">
        <f t="shared" si="14"/>
        <v>0</v>
      </c>
      <c r="O33" s="137" t="str">
        <f t="shared" si="15"/>
        <v>8000</v>
      </c>
      <c r="P33" s="137" t="str">
        <f t="shared" si="17"/>
        <v>100</v>
      </c>
      <c r="Q33" s="137" t="str">
        <f t="shared" si="18"/>
        <v>8100</v>
      </c>
      <c r="R33" s="137" t="str">
        <f t="shared" si="19"/>
        <v>8000</v>
      </c>
      <c r="S33" s="137" t="str">
        <f t="shared" si="20"/>
        <v>0</v>
      </c>
      <c r="T33" s="137" t="str">
        <f t="shared" si="21"/>
        <v>8100</v>
      </c>
      <c r="U33" s="137" t="str">
        <f t="shared" si="22"/>
        <v>8100</v>
      </c>
      <c r="V33" s="137" t="str">
        <f>V32</f>
        <v>FEFF</v>
      </c>
      <c r="W33" s="137" t="str">
        <f>W32</f>
        <v>80</v>
      </c>
      <c r="X33" s="169" t="str">
        <f>DEC2HEX(X15)</f>
        <v>4080</v>
      </c>
      <c r="Y33" s="137"/>
      <c r="Z33" s="137"/>
      <c r="AA33" s="137"/>
      <c r="AE33" s="130"/>
      <c r="AF33" s="130"/>
      <c r="AG33" s="130"/>
      <c r="AH33" s="130"/>
      <c r="AP33" s="130"/>
      <c r="AQ33" s="130"/>
      <c r="AR33" s="130"/>
      <c r="AS33" s="130"/>
      <c r="AT33" s="130"/>
      <c r="AU33" s="130"/>
      <c r="AV33" s="130"/>
      <c r="AW33" s="130"/>
      <c r="AX33" s="130"/>
      <c r="AY33" s="130"/>
      <c r="AZ33" s="130"/>
      <c r="BA33" s="130"/>
      <c r="BB33" s="130"/>
      <c r="BC33" s="130"/>
      <c r="BD33" s="130"/>
      <c r="BE33" s="130"/>
      <c r="BF33" s="130"/>
    </row>
    <row r="34" spans="1:1024">
      <c r="A34" s="24" t="s">
        <v>540</v>
      </c>
      <c r="B34" s="32" t="s">
        <v>541</v>
      </c>
      <c r="C34" s="165" t="str">
        <f t="shared" si="12"/>
        <v>4</v>
      </c>
      <c r="D34" s="165" t="str">
        <f t="shared" si="16"/>
        <v>0</v>
      </c>
      <c r="E34" s="165" t="str">
        <f t="shared" si="13"/>
        <v>B</v>
      </c>
      <c r="F34" s="165" t="s">
        <v>575</v>
      </c>
      <c r="G34" s="166" t="s">
        <v>231</v>
      </c>
      <c r="H34" s="167"/>
      <c r="I34" s="168" t="s">
        <v>556</v>
      </c>
      <c r="J34" s="130"/>
      <c r="K34" s="130"/>
      <c r="L34" s="130"/>
      <c r="M34" s="27"/>
      <c r="N34" s="137" t="str">
        <f t="shared" si="14"/>
        <v>0</v>
      </c>
      <c r="O34" s="137" t="str">
        <f t="shared" si="15"/>
        <v>8000</v>
      </c>
      <c r="P34" s="137" t="str">
        <f t="shared" si="17"/>
        <v>100</v>
      </c>
      <c r="Q34" s="137" t="str">
        <f t="shared" si="18"/>
        <v>8100</v>
      </c>
      <c r="R34" s="137" t="str">
        <f t="shared" si="19"/>
        <v>8000</v>
      </c>
      <c r="S34" s="137" t="str">
        <f t="shared" si="20"/>
        <v>0</v>
      </c>
      <c r="T34" s="137" t="str">
        <f t="shared" si="21"/>
        <v>8100</v>
      </c>
      <c r="U34" s="137" t="str">
        <f t="shared" si="22"/>
        <v>8100</v>
      </c>
      <c r="V34" s="137" t="str">
        <f>V33</f>
        <v>FEFF</v>
      </c>
      <c r="W34" s="137" t="str">
        <f>W33</f>
        <v>80</v>
      </c>
      <c r="X34" s="137" t="str">
        <f>X33</f>
        <v>4080</v>
      </c>
      <c r="Y34" s="169" t="str">
        <f>DEC2HEX(Y16)</f>
        <v>10000</v>
      </c>
      <c r="Z34" s="137"/>
      <c r="AA34" s="137"/>
      <c r="AE34" s="130"/>
      <c r="AF34" s="130"/>
      <c r="AG34" s="130"/>
      <c r="AH34" s="130"/>
      <c r="AP34" s="130"/>
      <c r="AQ34" s="130"/>
      <c r="AR34" s="130"/>
      <c r="AS34" s="130"/>
      <c r="AT34" s="130"/>
      <c r="AU34" s="130"/>
      <c r="AV34" s="130"/>
      <c r="AW34" s="130"/>
      <c r="AX34" s="130"/>
      <c r="AY34" s="130"/>
      <c r="AZ34" s="130"/>
      <c r="BA34" s="130"/>
      <c r="BB34" s="130"/>
      <c r="BC34" s="130"/>
      <c r="BD34" s="130"/>
      <c r="BE34" s="130"/>
      <c r="BF34" s="130"/>
    </row>
    <row r="35" spans="1:1024" ht="31.5">
      <c r="A35" s="32" t="s">
        <v>48</v>
      </c>
      <c r="B35" s="32" t="s">
        <v>545</v>
      </c>
      <c r="C35" s="165" t="str">
        <f t="shared" si="12"/>
        <v>5</v>
      </c>
      <c r="D35" s="165" t="str">
        <f t="shared" si="16"/>
        <v>0</v>
      </c>
      <c r="E35" s="165" t="str">
        <f t="shared" si="13"/>
        <v>C</v>
      </c>
      <c r="F35" s="165">
        <v>640</v>
      </c>
      <c r="G35" s="166" t="s">
        <v>231</v>
      </c>
      <c r="H35" s="167"/>
      <c r="I35" s="168">
        <v>28180640</v>
      </c>
      <c r="J35" s="130"/>
      <c r="K35" s="130"/>
      <c r="L35" s="130"/>
      <c r="M35" s="27"/>
      <c r="N35" s="137" t="str">
        <f t="shared" si="14"/>
        <v>0</v>
      </c>
      <c r="O35" s="137" t="str">
        <f t="shared" si="15"/>
        <v>8000</v>
      </c>
      <c r="P35" s="137" t="str">
        <f t="shared" si="17"/>
        <v>100</v>
      </c>
      <c r="Q35" s="137" t="str">
        <f t="shared" si="18"/>
        <v>8100</v>
      </c>
      <c r="R35" s="137" t="str">
        <f t="shared" si="19"/>
        <v>8000</v>
      </c>
      <c r="S35" s="137" t="str">
        <f t="shared" si="20"/>
        <v>0</v>
      </c>
      <c r="T35" s="137" t="str">
        <f t="shared" si="21"/>
        <v>8100</v>
      </c>
      <c r="U35" s="137" t="str">
        <f t="shared" si="22"/>
        <v>8100</v>
      </c>
      <c r="V35" s="137" t="str">
        <f>V34</f>
        <v>FEFF</v>
      </c>
      <c r="W35" s="137" t="str">
        <f>W34</f>
        <v>80</v>
      </c>
      <c r="X35" s="137" t="str">
        <f>X34</f>
        <v>4080</v>
      </c>
      <c r="Y35" s="137" t="str">
        <f>DEC2HEX(Y17)</f>
        <v>10000</v>
      </c>
      <c r="Z35" s="144" t="str">
        <f>""&amp;DEC2HEX(A64)&amp;"|"&amp;DEC2HEX(A66)&amp;""</f>
        <v>0|40000000</v>
      </c>
      <c r="AA35" s="137"/>
      <c r="AE35" s="130"/>
      <c r="AF35" s="130"/>
      <c r="AG35" s="130"/>
      <c r="AH35" s="130"/>
      <c r="AP35" s="130"/>
      <c r="AQ35" s="130"/>
      <c r="AR35" s="130"/>
      <c r="AS35" s="130"/>
      <c r="AT35" s="130"/>
      <c r="AU35" s="130"/>
      <c r="AV35" s="130"/>
      <c r="AW35" s="130"/>
      <c r="AX35" s="130"/>
      <c r="AY35" s="130"/>
      <c r="AZ35" s="130"/>
      <c r="BA35" s="130"/>
      <c r="BB35" s="130"/>
      <c r="BC35" s="130"/>
      <c r="BD35" s="130"/>
      <c r="BE35" s="130"/>
      <c r="BF35" s="130"/>
    </row>
    <row r="36" spans="1:1024" ht="31.5">
      <c r="A36" s="32" t="s">
        <v>52</v>
      </c>
      <c r="B36" s="32" t="s">
        <v>550</v>
      </c>
      <c r="C36" s="165" t="str">
        <f t="shared" si="12"/>
        <v>6</v>
      </c>
      <c r="D36" s="165" t="str">
        <f t="shared" si="16"/>
        <v>0</v>
      </c>
      <c r="E36" s="165" t="str">
        <f t="shared" si="13"/>
        <v>D</v>
      </c>
      <c r="F36" s="165">
        <v>680</v>
      </c>
      <c r="G36" s="166" t="s">
        <v>231</v>
      </c>
      <c r="H36" s="167"/>
      <c r="I36" s="168" t="s">
        <v>569</v>
      </c>
      <c r="J36" s="130"/>
      <c r="K36" s="130"/>
      <c r="L36" s="130"/>
      <c r="M36" s="27"/>
      <c r="N36" s="137" t="str">
        <f t="shared" si="14"/>
        <v>0</v>
      </c>
      <c r="O36" s="137" t="str">
        <f t="shared" si="15"/>
        <v>8000</v>
      </c>
      <c r="P36" s="137" t="str">
        <f t="shared" si="17"/>
        <v>100</v>
      </c>
      <c r="Q36" s="137" t="str">
        <f t="shared" si="18"/>
        <v>8100</v>
      </c>
      <c r="R36" s="137" t="str">
        <f t="shared" si="19"/>
        <v>8000</v>
      </c>
      <c r="S36" s="137" t="str">
        <f t="shared" si="20"/>
        <v>0</v>
      </c>
      <c r="T36" s="137" t="str">
        <f t="shared" si="21"/>
        <v>8100</v>
      </c>
      <c r="U36" s="137" t="str">
        <f t="shared" si="22"/>
        <v>8100</v>
      </c>
      <c r="V36" s="137" t="str">
        <f>V35</f>
        <v>FEFF</v>
      </c>
      <c r="W36" s="137" t="str">
        <f>W35</f>
        <v>80</v>
      </c>
      <c r="X36" s="137" t="str">
        <f>X35</f>
        <v>4080</v>
      </c>
      <c r="Y36" s="137" t="str">
        <f>DEC2HEX(Y18)</f>
        <v>10000</v>
      </c>
      <c r="Z36" s="137" t="str">
        <f>Z35</f>
        <v>0|40000000</v>
      </c>
      <c r="AA36" s="144" t="str">
        <f>""&amp;DEC2HEX(A60)&amp;"|"&amp;DEC2HEX(A62)&amp;""</f>
        <v>10200|10201</v>
      </c>
      <c r="AE36" s="130"/>
      <c r="AF36" s="130"/>
      <c r="AG36" s="130"/>
      <c r="AH36" s="130"/>
      <c r="AP36" s="130"/>
      <c r="AQ36" s="130"/>
      <c r="AR36" s="130"/>
      <c r="AS36" s="130"/>
      <c r="AT36" s="130"/>
      <c r="AU36" s="130"/>
      <c r="AV36" s="130"/>
      <c r="AW36" s="130"/>
      <c r="AX36" s="130"/>
      <c r="AY36" s="130"/>
      <c r="AZ36" s="130"/>
      <c r="BA36" s="130"/>
      <c r="BB36" s="130"/>
      <c r="BC36" s="130"/>
      <c r="BD36" s="130"/>
      <c r="BE36" s="130"/>
      <c r="BF36" s="130"/>
    </row>
    <row r="37" spans="1:1024" s="27" customFormat="1">
      <c r="E37" s="134"/>
      <c r="F37" s="134"/>
      <c r="K37" s="134"/>
      <c r="AE37" s="130"/>
      <c r="AF37" s="130"/>
      <c r="AG37" s="130"/>
      <c r="AH37" s="130"/>
      <c r="AP37" s="130"/>
      <c r="AQ37" s="130"/>
      <c r="AR37" s="130"/>
      <c r="AS37" s="130"/>
      <c r="AT37" s="130"/>
      <c r="AU37" s="130"/>
      <c r="AV37" s="130"/>
      <c r="AW37" s="130"/>
      <c r="AX37" s="130"/>
      <c r="AY37" s="130"/>
      <c r="AZ37" s="130"/>
      <c r="BA37" s="130"/>
      <c r="BB37" s="130"/>
      <c r="BC37" s="130"/>
      <c r="BD37" s="130"/>
      <c r="BE37" s="130"/>
      <c r="BF37" s="130"/>
      <c r="AMJ37" s="130"/>
    </row>
    <row r="38" spans="1:1024">
      <c r="AE38" s="130"/>
      <c r="AF38" s="130"/>
      <c r="AG38" s="130"/>
      <c r="AH38" s="130"/>
      <c r="AP38" s="130"/>
      <c r="AQ38" s="130"/>
      <c r="AR38" s="130"/>
      <c r="AS38" s="130"/>
      <c r="AT38" s="130"/>
      <c r="AU38" s="130"/>
      <c r="AV38" s="130"/>
      <c r="AW38" s="130"/>
      <c r="AX38" s="130"/>
      <c r="AY38" s="130"/>
      <c r="AZ38" s="130"/>
      <c r="BA38" s="130"/>
      <c r="BB38" s="130"/>
      <c r="BC38" s="130"/>
      <c r="BD38" s="130"/>
      <c r="BE38" s="130"/>
      <c r="BF38" s="130"/>
    </row>
    <row r="39" spans="1:1024">
      <c r="L39" s="130"/>
      <c r="AE39" s="130"/>
      <c r="AF39" s="130"/>
      <c r="AG39" s="130"/>
      <c r="AH39" s="130"/>
      <c r="AL39" s="130"/>
      <c r="AP39" s="130"/>
      <c r="AQ39" s="130"/>
      <c r="AR39" s="130"/>
      <c r="AS39" s="130"/>
      <c r="AT39" s="130"/>
      <c r="AU39" s="130"/>
      <c r="AV39" s="130"/>
      <c r="AW39" s="130"/>
      <c r="AX39" s="130"/>
      <c r="AY39" s="130"/>
      <c r="AZ39" s="130"/>
      <c r="BA39" s="130"/>
      <c r="BB39" s="130"/>
      <c r="BC39" s="130"/>
      <c r="BD39" s="130"/>
      <c r="BE39" s="130"/>
      <c r="BF39" s="130"/>
    </row>
    <row r="40" spans="1:1024">
      <c r="AE40" s="130"/>
      <c r="AF40" s="130"/>
      <c r="AG40" s="130"/>
      <c r="AH40" s="130"/>
      <c r="AL40" s="130"/>
      <c r="AP40" s="130"/>
      <c r="AQ40" s="130"/>
      <c r="AR40" s="130"/>
      <c r="AS40" s="130"/>
      <c r="AT40" s="130"/>
      <c r="AU40" s="130"/>
      <c r="AV40" s="130"/>
      <c r="AW40" s="130"/>
      <c r="AX40" s="130"/>
      <c r="AY40" s="130"/>
      <c r="AZ40" s="130"/>
      <c r="BA40" s="130"/>
      <c r="BB40" s="130"/>
      <c r="BC40" s="130"/>
      <c r="BD40" s="130"/>
      <c r="BE40" s="130"/>
      <c r="BF40" s="130"/>
    </row>
    <row r="41" spans="1:1024">
      <c r="A41" s="172">
        <v>0</v>
      </c>
      <c r="B41" s="172" t="s">
        <v>576</v>
      </c>
      <c r="AL41" s="130"/>
      <c r="AP41" s="130"/>
      <c r="AQ41" s="130"/>
      <c r="AR41" s="130"/>
      <c r="AS41" s="130"/>
      <c r="AT41" s="130"/>
      <c r="AU41" s="130"/>
      <c r="AV41" s="130"/>
      <c r="AW41" s="130"/>
      <c r="AX41" s="130"/>
      <c r="AY41" s="130"/>
      <c r="AZ41" s="130"/>
      <c r="BA41" s="130"/>
      <c r="BB41" s="130"/>
      <c r="BC41" s="130"/>
      <c r="BD41" s="130"/>
      <c r="BE41" s="130"/>
      <c r="BF41" s="130"/>
    </row>
    <row r="42" spans="1:1024">
      <c r="A42" s="173">
        <v>32768</v>
      </c>
      <c r="B42" s="172" t="s">
        <v>577</v>
      </c>
      <c r="AL42" s="130"/>
      <c r="AP42" s="130"/>
      <c r="AQ42" s="130"/>
      <c r="AR42" s="130"/>
      <c r="AS42" s="130"/>
      <c r="AT42" s="130"/>
      <c r="AU42" s="130"/>
      <c r="AV42" s="130"/>
      <c r="AW42" s="130"/>
      <c r="AX42" s="130"/>
      <c r="AY42" s="130"/>
      <c r="AZ42" s="130"/>
      <c r="BA42" s="130"/>
      <c r="BB42" s="130"/>
      <c r="BC42" s="130"/>
      <c r="BD42" s="130"/>
      <c r="BE42" s="130"/>
      <c r="BF42" s="130"/>
    </row>
    <row r="43" spans="1:1024">
      <c r="A43" s="173">
        <v>-256</v>
      </c>
      <c r="B43" s="172" t="s">
        <v>578</v>
      </c>
      <c r="AL43" s="130"/>
    </row>
    <row r="44" spans="1:1024">
      <c r="A44" s="173">
        <v>256</v>
      </c>
      <c r="B44" s="172" t="s">
        <v>579</v>
      </c>
      <c r="AL44" s="130"/>
    </row>
    <row r="45" spans="1:1024">
      <c r="A45" s="148"/>
      <c r="B45" s="148"/>
      <c r="AL45" s="130"/>
    </row>
    <row r="46" spans="1:1024">
      <c r="A46" s="174">
        <v>256</v>
      </c>
      <c r="B46" s="148" t="s">
        <v>580</v>
      </c>
      <c r="AL46" s="130"/>
    </row>
    <row r="47" spans="1:1024">
      <c r="A47" s="174" t="s">
        <v>34</v>
      </c>
      <c r="B47" s="148" t="s">
        <v>581</v>
      </c>
      <c r="AL47" s="130"/>
    </row>
    <row r="48" spans="1:1024">
      <c r="A48" s="148">
        <v>128</v>
      </c>
      <c r="B48" s="175" t="str">
        <f>SUBSTITUTE(B47,"_","")</f>
        <v>00000000000000000000000010000000</v>
      </c>
      <c r="AL48" s="130"/>
    </row>
    <row r="49" spans="1:38">
      <c r="A49" s="148"/>
      <c r="B49" s="175"/>
      <c r="AL49" s="130"/>
    </row>
    <row r="50" spans="1:38">
      <c r="A50" s="172">
        <f>Q8</f>
        <v>33024</v>
      </c>
      <c r="B50" s="172" t="s">
        <v>582</v>
      </c>
      <c r="AL50" s="130"/>
    </row>
    <row r="51" spans="1:38">
      <c r="A51" s="172" t="s">
        <v>38</v>
      </c>
      <c r="B51" s="172" t="s">
        <v>583</v>
      </c>
      <c r="AL51" s="130"/>
    </row>
    <row r="52" spans="1:38">
      <c r="A52" s="172">
        <v>16512</v>
      </c>
      <c r="B52" s="173" t="str">
        <f>SUBSTITUTE(B51,"_","")</f>
        <v>00000000000000000100000010000000</v>
      </c>
      <c r="AL52" s="130"/>
    </row>
    <row r="53" spans="1:38">
      <c r="A53" s="148"/>
      <c r="B53" s="148"/>
      <c r="AL53" s="130"/>
    </row>
    <row r="54" spans="1:38">
      <c r="A54" s="176">
        <f>A42</f>
        <v>32768</v>
      </c>
      <c r="B54" s="148" t="s">
        <v>584</v>
      </c>
      <c r="AL54" s="130"/>
    </row>
    <row r="55" spans="1:38">
      <c r="A55" s="148" t="s">
        <v>540</v>
      </c>
      <c r="B55" s="148" t="s">
        <v>585</v>
      </c>
      <c r="AL55" s="130"/>
    </row>
    <row r="56" spans="1:38">
      <c r="A56" s="148">
        <v>65536</v>
      </c>
      <c r="B56" s="175" t="str">
        <f>SUBSTITUTE(B55,"_","")</f>
        <v>00000000000000010000000000000000</v>
      </c>
      <c r="AL56" s="130"/>
    </row>
    <row r="57" spans="1:38">
      <c r="A57" s="148"/>
      <c r="B57" s="148"/>
    </row>
    <row r="58" spans="1:38">
      <c r="A58" s="172">
        <f>T11</f>
        <v>33024</v>
      </c>
      <c r="B58" s="172" t="s">
        <v>582</v>
      </c>
    </row>
    <row r="59" spans="1:38">
      <c r="A59" s="172" t="s">
        <v>586</v>
      </c>
      <c r="B59" s="172" t="s">
        <v>587</v>
      </c>
    </row>
    <row r="60" spans="1:38">
      <c r="A60" s="172">
        <v>66048</v>
      </c>
      <c r="B60" s="173" t="str">
        <f>SUBSTITUTE(B59,"_","")</f>
        <v>00000000000000010000001000000000</v>
      </c>
    </row>
    <row r="61" spans="1:38">
      <c r="A61" s="172" t="s">
        <v>588</v>
      </c>
      <c r="B61" s="172" t="s">
        <v>589</v>
      </c>
    </row>
    <row r="62" spans="1:38">
      <c r="A62" s="172">
        <v>66049</v>
      </c>
      <c r="B62" s="173" t="str">
        <f>SUBSTITUTE(B61,"_","")</f>
        <v>00000000000000010000001000000001</v>
      </c>
    </row>
    <row r="63" spans="1:38">
      <c r="A63" s="148"/>
      <c r="B63" s="148"/>
    </row>
    <row r="64" spans="1:38">
      <c r="A64" s="148">
        <f>S10</f>
        <v>0</v>
      </c>
      <c r="B64" s="148" t="s">
        <v>590</v>
      </c>
    </row>
    <row r="65" spans="1:13">
      <c r="A65" s="148" t="s">
        <v>591</v>
      </c>
      <c r="B65" s="148" t="s">
        <v>592</v>
      </c>
    </row>
    <row r="66" spans="1:13">
      <c r="A66" s="148">
        <v>1073741824</v>
      </c>
      <c r="B66" s="175" t="str">
        <f>SUBSTITUTE(B65,"_","")</f>
        <v>1000000000000000000000000000000</v>
      </c>
    </row>
    <row r="69" spans="1:13">
      <c r="M69" s="168">
        <v>10040280</v>
      </c>
    </row>
  </sheetData>
  <mergeCells count="3">
    <mergeCell ref="AG4:AH4"/>
    <mergeCell ref="AI4:AJ4"/>
    <mergeCell ref="AL4:AN4"/>
  </mergeCell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
  <sheetViews>
    <sheetView zoomScale="95" zoomScaleNormal="95" workbookViewId="0">
      <selection activeCell="A7" sqref="A7"/>
    </sheetView>
  </sheetViews>
  <sheetFormatPr defaultRowHeight="15.75"/>
  <cols>
    <col min="1" max="1" width="8.25" style="28"/>
    <col min="2" max="2" width="13.125" style="28"/>
    <col min="3" max="3" width="10.375" style="28"/>
    <col min="4" max="4" width="13" style="28"/>
    <col min="5" max="5" width="16.875" style="28"/>
    <col min="6" max="6" width="7.5" style="28"/>
    <col min="7" max="7" width="8" style="28"/>
    <col min="8" max="8" width="11.125" style="28"/>
    <col min="9" max="10" width="8.125" style="28"/>
    <col min="11" max="12" width="16.75" style="28"/>
    <col min="13" max="14" width="8.25" style="28"/>
    <col min="15" max="15" width="17.375" style="28"/>
    <col min="16" max="1025" width="8.25" style="28"/>
  </cols>
  <sheetData>
    <row r="1" spans="1:47">
      <c r="A1" s="24" t="s">
        <v>86</v>
      </c>
      <c r="B1" s="24"/>
      <c r="C1" s="24"/>
      <c r="D1" s="24"/>
      <c r="E1" s="24" t="s">
        <v>170</v>
      </c>
      <c r="F1" s="24"/>
      <c r="G1" s="24"/>
      <c r="H1" s="25"/>
      <c r="I1" s="25"/>
      <c r="J1" s="25"/>
      <c r="K1" s="25"/>
      <c r="L1" s="25"/>
      <c r="M1" s="26"/>
      <c r="N1" s="26"/>
      <c r="O1" s="24"/>
      <c r="P1" s="24"/>
      <c r="Q1" s="24"/>
      <c r="R1" s="24"/>
      <c r="S1" s="24"/>
      <c r="T1" s="24"/>
      <c r="U1" s="24"/>
      <c r="V1" s="24"/>
      <c r="W1" s="24"/>
      <c r="X1" s="24"/>
      <c r="Y1" s="24"/>
      <c r="Z1" s="24"/>
      <c r="AA1" s="24"/>
      <c r="AB1" s="24"/>
      <c r="AC1" s="24"/>
      <c r="AD1" s="24"/>
      <c r="AE1" s="24"/>
      <c r="AF1" s="24"/>
      <c r="AG1" s="24"/>
      <c r="AH1" s="24"/>
      <c r="AI1" s="24"/>
      <c r="AJ1" s="24"/>
      <c r="AK1" s="24"/>
      <c r="AL1" s="24"/>
      <c r="AM1" s="24"/>
      <c r="AN1" s="24"/>
      <c r="AO1" s="24"/>
      <c r="AP1" s="24"/>
      <c r="AQ1" s="24"/>
      <c r="AR1" s="24"/>
      <c r="AS1" s="24"/>
      <c r="AT1" s="24"/>
      <c r="AU1" s="24"/>
    </row>
    <row r="2" spans="1:47" ht="31.5">
      <c r="A2" s="24"/>
      <c r="B2" s="24"/>
      <c r="C2" s="24"/>
      <c r="D2" s="24"/>
      <c r="E2" s="24" t="s">
        <v>173</v>
      </c>
      <c r="F2" s="24" t="s">
        <v>2</v>
      </c>
      <c r="G2" s="24" t="s">
        <v>174</v>
      </c>
      <c r="H2" s="24" t="s">
        <v>175</v>
      </c>
      <c r="I2" s="25" t="s">
        <v>176</v>
      </c>
      <c r="J2" s="25" t="s">
        <v>177</v>
      </c>
      <c r="K2" s="25"/>
      <c r="L2" s="25"/>
      <c r="M2" s="26"/>
      <c r="N2" s="26"/>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row>
    <row r="3" spans="1:47" ht="31.5">
      <c r="A3" s="24"/>
      <c r="B3" s="24"/>
      <c r="C3" s="24"/>
      <c r="D3" s="24"/>
      <c r="E3" s="24" t="s">
        <v>178</v>
      </c>
      <c r="F3" s="24" t="s">
        <v>2</v>
      </c>
      <c r="G3" s="24" t="s">
        <v>174</v>
      </c>
      <c r="H3" s="24" t="s">
        <v>175</v>
      </c>
      <c r="I3" s="25" t="s">
        <v>176</v>
      </c>
      <c r="J3" s="25"/>
      <c r="K3" s="25" t="s">
        <v>179</v>
      </c>
      <c r="L3" s="25"/>
      <c r="M3" s="26"/>
      <c r="N3" s="26"/>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row>
    <row r="4" spans="1:47">
      <c r="A4" s="24"/>
      <c r="B4" s="24"/>
      <c r="C4" s="24"/>
      <c r="D4" s="24"/>
      <c r="E4" s="24" t="s">
        <v>180</v>
      </c>
      <c r="F4" s="24" t="s">
        <v>2</v>
      </c>
      <c r="G4" s="24" t="s">
        <v>174</v>
      </c>
      <c r="H4" s="24"/>
      <c r="I4" s="25"/>
      <c r="J4" s="25"/>
      <c r="K4" s="25" t="s">
        <v>179</v>
      </c>
      <c r="L4" s="25"/>
      <c r="M4" s="26"/>
      <c r="N4" s="26"/>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c r="AP4" s="24"/>
      <c r="AQ4" s="24"/>
      <c r="AR4" s="24"/>
      <c r="AS4" s="24"/>
      <c r="AT4" s="24"/>
      <c r="AU4" s="24"/>
    </row>
    <row r="5" spans="1:47" ht="47.25">
      <c r="A5" s="24"/>
      <c r="B5" s="24"/>
      <c r="C5" s="24"/>
      <c r="D5" s="24"/>
      <c r="E5" s="24"/>
      <c r="F5" s="24"/>
      <c r="G5" s="24"/>
      <c r="H5" s="25"/>
      <c r="I5" s="25"/>
      <c r="J5" s="25"/>
      <c r="K5" s="25" t="str">
        <f>"-"&amp;2^15&amp;"&lt;VAL&lt;"&amp;2^16</f>
        <v>-32768&lt;VAL&lt;65536</v>
      </c>
      <c r="L5" s="25" t="str">
        <f>"-"&amp;2^15&amp;"&lt;VAL&lt;"&amp;2^16</f>
        <v>-32768&lt;VAL&lt;65536</v>
      </c>
      <c r="O5" s="26" t="s">
        <v>181</v>
      </c>
      <c r="P5" s="24" t="s">
        <v>182</v>
      </c>
      <c r="Q5" s="24" t="s">
        <v>183</v>
      </c>
      <c r="R5" s="24" t="s">
        <v>184</v>
      </c>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row>
    <row r="6" spans="1:47" ht="47.25">
      <c r="A6" s="29" t="s">
        <v>185</v>
      </c>
      <c r="B6" s="30" t="s">
        <v>186</v>
      </c>
      <c r="C6" s="31" t="s">
        <v>187</v>
      </c>
      <c r="D6" s="34" t="s">
        <v>188</v>
      </c>
      <c r="E6" s="34" t="s">
        <v>189</v>
      </c>
      <c r="F6" s="34" t="s">
        <v>190</v>
      </c>
      <c r="G6" s="34" t="s">
        <v>185</v>
      </c>
      <c r="H6" s="66" t="s">
        <v>191</v>
      </c>
      <c r="I6" s="66" t="s">
        <v>192</v>
      </c>
      <c r="J6" s="66" t="s">
        <v>193</v>
      </c>
      <c r="K6" s="66" t="s">
        <v>194</v>
      </c>
      <c r="L6" s="66" t="s">
        <v>195</v>
      </c>
      <c r="M6" s="107" t="s">
        <v>196</v>
      </c>
      <c r="N6" s="107" t="s">
        <v>197</v>
      </c>
      <c r="O6" s="33" t="s">
        <v>198</v>
      </c>
      <c r="P6" s="34" t="s">
        <v>199</v>
      </c>
      <c r="Q6" s="35" t="s">
        <v>200</v>
      </c>
      <c r="R6" s="34" t="s">
        <v>201</v>
      </c>
      <c r="S6" s="42" t="s">
        <v>202</v>
      </c>
      <c r="T6" s="32" t="s">
        <v>203</v>
      </c>
      <c r="U6" s="32" t="s">
        <v>204</v>
      </c>
      <c r="V6" s="32" t="s">
        <v>205</v>
      </c>
      <c r="W6" s="32" t="s">
        <v>206</v>
      </c>
      <c r="X6" s="32" t="s">
        <v>207</v>
      </c>
      <c r="Y6" s="32" t="s">
        <v>208</v>
      </c>
      <c r="Z6" s="32" t="s">
        <v>209</v>
      </c>
      <c r="AA6" s="32" t="s">
        <v>210</v>
      </c>
      <c r="AB6" s="32" t="s">
        <v>211</v>
      </c>
      <c r="AC6" s="32" t="s">
        <v>212</v>
      </c>
      <c r="AD6" s="32" t="s">
        <v>213</v>
      </c>
      <c r="AE6" s="32" t="s">
        <v>214</v>
      </c>
      <c r="AF6" s="32" t="s">
        <v>215</v>
      </c>
      <c r="AG6" s="32" t="s">
        <v>216</v>
      </c>
      <c r="AH6" s="32" t="s">
        <v>217</v>
      </c>
      <c r="AI6" s="32" t="s">
        <v>218</v>
      </c>
      <c r="AJ6" s="32" t="s">
        <v>219</v>
      </c>
      <c r="AK6" s="32" t="s">
        <v>220</v>
      </c>
      <c r="AL6" s="32" t="s">
        <v>221</v>
      </c>
      <c r="AM6" s="32" t="s">
        <v>222</v>
      </c>
      <c r="AN6" s="32" t="s">
        <v>223</v>
      </c>
      <c r="AO6" s="32" t="s">
        <v>224</v>
      </c>
      <c r="AP6" s="32" t="s">
        <v>225</v>
      </c>
      <c r="AQ6" s="32" t="s">
        <v>226</v>
      </c>
      <c r="AR6" s="32" t="s">
        <v>227</v>
      </c>
      <c r="AS6" s="32" t="s">
        <v>228</v>
      </c>
      <c r="AT6" s="32" t="s">
        <v>229</v>
      </c>
      <c r="AU6" s="32" t="s">
        <v>230</v>
      </c>
    </row>
    <row r="7" spans="1:47" ht="31.5">
      <c r="A7" s="38" t="str">
        <f>IF(AND(F7="B",IF(OR(G7="LD",G7="LDU",G7="ADD",G7="SUB",G7="AND",G7="OR",G7="XOR"),1,0)),CONCATENATE(G7,"#"),G7)</f>
        <v>NOP</v>
      </c>
      <c r="B7" s="32" t="s">
        <v>231</v>
      </c>
      <c r="C7" s="32" t="s">
        <v>232</v>
      </c>
      <c r="D7" s="32" t="str">
        <f>IF(F7="A",CONCATENATE(F7," ",G7," R",H7,",R",I7,",",J7),IF(F7="B",CONCATENATE(F7," ",G7," R",H7,",R",I7,",",K7),CONCATENATE(F7," ",G7," ",K7)))</f>
        <v>A NOP R0,R0,0</v>
      </c>
      <c r="E7" s="37"/>
      <c r="F7" s="38" t="s">
        <v>237</v>
      </c>
      <c r="G7" s="38" t="s">
        <v>68</v>
      </c>
      <c r="H7" s="39">
        <v>0</v>
      </c>
      <c r="I7" s="39">
        <v>0</v>
      </c>
      <c r="J7" s="39">
        <v>0</v>
      </c>
      <c r="K7" s="40" t="s">
        <v>231</v>
      </c>
      <c r="L7" s="40" t="s">
        <v>231</v>
      </c>
      <c r="M7" s="41">
        <v>0</v>
      </c>
      <c r="N7" s="32"/>
      <c r="O7" s="42">
        <v>0</v>
      </c>
      <c r="P7" s="42"/>
      <c r="Q7" s="32"/>
      <c r="R7" s="32"/>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
  <sheetViews>
    <sheetView zoomScale="95" zoomScaleNormal="95" workbookViewId="0"/>
  </sheetViews>
  <sheetFormatPr defaultRowHeight="15.75"/>
  <cols>
    <col min="1" max="1" width="8.25" style="28"/>
    <col min="2" max="2" width="13.125" style="28"/>
    <col min="3" max="3" width="10.375" style="28"/>
    <col min="4" max="4" width="13" style="28"/>
    <col min="5" max="5" width="16.875" style="28"/>
    <col min="6" max="6" width="7.5" style="28"/>
    <col min="7" max="7" width="8" style="28"/>
    <col min="8" max="8" width="11.125" style="28"/>
    <col min="9" max="10" width="8.125" style="28"/>
    <col min="11" max="12" width="16.75" style="28"/>
    <col min="13" max="14" width="8.25" style="28"/>
    <col min="15" max="15" width="17.375" style="28"/>
    <col min="16" max="1025" width="8.25" style="28"/>
  </cols>
  <sheetData>
    <row r="1" spans="1:47">
      <c r="A1" s="24" t="s">
        <v>270</v>
      </c>
      <c r="B1" s="24"/>
      <c r="C1" s="24"/>
      <c r="D1" s="24"/>
      <c r="E1" s="24" t="s">
        <v>170</v>
      </c>
      <c r="F1" s="24"/>
      <c r="G1" s="24"/>
      <c r="H1" s="25"/>
      <c r="I1" s="25"/>
      <c r="J1" s="25"/>
      <c r="K1" s="25"/>
      <c r="L1" s="25"/>
      <c r="M1" s="26"/>
      <c r="N1" s="26"/>
      <c r="O1" s="24"/>
      <c r="P1" s="24"/>
      <c r="Q1" s="24"/>
      <c r="R1" s="24"/>
      <c r="S1" s="24"/>
      <c r="T1" s="24"/>
      <c r="U1" s="24"/>
      <c r="V1" s="24"/>
      <c r="W1" s="24"/>
      <c r="X1" s="24"/>
      <c r="Y1" s="24"/>
      <c r="Z1" s="24"/>
      <c r="AA1" s="24"/>
      <c r="AB1" s="24"/>
      <c r="AC1" s="24"/>
      <c r="AD1" s="24"/>
      <c r="AE1" s="24"/>
      <c r="AF1" s="24"/>
      <c r="AG1" s="24"/>
      <c r="AH1" s="24"/>
      <c r="AI1" s="24"/>
      <c r="AJ1" s="24"/>
      <c r="AK1" s="24"/>
      <c r="AL1" s="24"/>
      <c r="AM1" s="24"/>
      <c r="AN1" s="24"/>
      <c r="AO1" s="24"/>
      <c r="AP1" s="24"/>
      <c r="AQ1" s="24"/>
      <c r="AR1" s="24"/>
      <c r="AS1" s="24"/>
      <c r="AT1" s="24"/>
      <c r="AU1" s="24"/>
    </row>
    <row r="2" spans="1:47" ht="31.5">
      <c r="A2" s="24"/>
      <c r="B2" s="24"/>
      <c r="C2" s="24"/>
      <c r="D2" s="24"/>
      <c r="E2" s="24" t="s">
        <v>173</v>
      </c>
      <c r="F2" s="24" t="s">
        <v>2</v>
      </c>
      <c r="G2" s="24" t="s">
        <v>174</v>
      </c>
      <c r="H2" s="24" t="s">
        <v>175</v>
      </c>
      <c r="I2" s="25" t="s">
        <v>176</v>
      </c>
      <c r="J2" s="25" t="s">
        <v>177</v>
      </c>
      <c r="K2" s="25"/>
      <c r="L2" s="25"/>
      <c r="M2" s="26"/>
      <c r="N2" s="26"/>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row>
    <row r="3" spans="1:47" ht="31.5">
      <c r="A3" s="24"/>
      <c r="B3" s="24"/>
      <c r="C3" s="24"/>
      <c r="D3" s="24"/>
      <c r="E3" s="24" t="s">
        <v>178</v>
      </c>
      <c r="F3" s="24" t="s">
        <v>2</v>
      </c>
      <c r="G3" s="24" t="s">
        <v>174</v>
      </c>
      <c r="H3" s="24" t="s">
        <v>175</v>
      </c>
      <c r="I3" s="25" t="s">
        <v>176</v>
      </c>
      <c r="J3" s="25"/>
      <c r="K3" s="25" t="s">
        <v>179</v>
      </c>
      <c r="L3" s="25"/>
      <c r="M3" s="26"/>
      <c r="N3" s="26"/>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row>
    <row r="4" spans="1:47">
      <c r="A4" s="24"/>
      <c r="B4" s="24"/>
      <c r="C4" s="24"/>
      <c r="D4" s="24"/>
      <c r="E4" s="24" t="s">
        <v>180</v>
      </c>
      <c r="F4" s="24" t="s">
        <v>2</v>
      </c>
      <c r="G4" s="24" t="s">
        <v>174</v>
      </c>
      <c r="H4" s="24"/>
      <c r="I4" s="25"/>
      <c r="J4" s="25"/>
      <c r="K4" s="25" t="s">
        <v>179</v>
      </c>
      <c r="L4" s="25"/>
      <c r="M4" s="26"/>
      <c r="N4" s="26"/>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c r="AP4" s="24"/>
      <c r="AQ4" s="24"/>
      <c r="AR4" s="24"/>
      <c r="AS4" s="24"/>
      <c r="AT4" s="24"/>
      <c r="AU4" s="24"/>
    </row>
    <row r="5" spans="1:47" ht="47.25">
      <c r="A5" s="24"/>
      <c r="B5" s="24"/>
      <c r="C5" s="24"/>
      <c r="D5" s="24"/>
      <c r="E5" s="24"/>
      <c r="F5" s="24"/>
      <c r="G5" s="24"/>
      <c r="H5" s="25"/>
      <c r="I5" s="25"/>
      <c r="J5" s="25"/>
      <c r="K5" s="25" t="str">
        <f>"-"&amp;2^15&amp;"&lt;VAL&lt;"&amp;2^16</f>
        <v>-32768&lt;VAL&lt;65536</v>
      </c>
      <c r="L5" s="25" t="str">
        <f>"-"&amp;2^15&amp;"&lt;VAL&lt;"&amp;2^16</f>
        <v>-32768&lt;VAL&lt;65536</v>
      </c>
      <c r="O5" s="26" t="s">
        <v>181</v>
      </c>
      <c r="P5" s="24" t="s">
        <v>182</v>
      </c>
      <c r="Q5" s="24" t="s">
        <v>183</v>
      </c>
      <c r="R5" s="24" t="s">
        <v>184</v>
      </c>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row>
    <row r="6" spans="1:47" ht="47.25">
      <c r="A6" s="29" t="s">
        <v>185</v>
      </c>
      <c r="B6" s="30" t="s">
        <v>186</v>
      </c>
      <c r="C6" s="31" t="s">
        <v>187</v>
      </c>
      <c r="D6" s="34" t="s">
        <v>188</v>
      </c>
      <c r="E6" s="34" t="s">
        <v>189</v>
      </c>
      <c r="F6" s="34" t="s">
        <v>190</v>
      </c>
      <c r="G6" s="34" t="s">
        <v>185</v>
      </c>
      <c r="H6" s="66" t="s">
        <v>191</v>
      </c>
      <c r="I6" s="66" t="s">
        <v>192</v>
      </c>
      <c r="J6" s="66" t="s">
        <v>193</v>
      </c>
      <c r="K6" s="66" t="s">
        <v>194</v>
      </c>
      <c r="L6" s="66" t="s">
        <v>195</v>
      </c>
      <c r="M6" s="107" t="s">
        <v>196</v>
      </c>
      <c r="N6" s="107" t="s">
        <v>197</v>
      </c>
      <c r="O6" s="33" t="s">
        <v>198</v>
      </c>
      <c r="P6" s="34" t="s">
        <v>199</v>
      </c>
      <c r="Q6" s="35" t="s">
        <v>200</v>
      </c>
      <c r="R6" s="34" t="s">
        <v>201</v>
      </c>
      <c r="S6" s="42" t="s">
        <v>202</v>
      </c>
      <c r="T6" s="32" t="s">
        <v>203</v>
      </c>
      <c r="U6" s="32" t="s">
        <v>204</v>
      </c>
      <c r="V6" s="32" t="s">
        <v>205</v>
      </c>
      <c r="W6" s="32" t="s">
        <v>206</v>
      </c>
      <c r="X6" s="32" t="s">
        <v>207</v>
      </c>
      <c r="Y6" s="32" t="s">
        <v>208</v>
      </c>
      <c r="Z6" s="32" t="s">
        <v>209</v>
      </c>
      <c r="AA6" s="32" t="s">
        <v>210</v>
      </c>
      <c r="AB6" s="32" t="s">
        <v>211</v>
      </c>
      <c r="AC6" s="32" t="s">
        <v>212</v>
      </c>
      <c r="AD6" s="32" t="s">
        <v>213</v>
      </c>
      <c r="AE6" s="32" t="s">
        <v>214</v>
      </c>
      <c r="AF6" s="32" t="s">
        <v>215</v>
      </c>
      <c r="AG6" s="32" t="s">
        <v>216</v>
      </c>
      <c r="AH6" s="32" t="s">
        <v>217</v>
      </c>
      <c r="AI6" s="32" t="s">
        <v>218</v>
      </c>
      <c r="AJ6" s="32" t="s">
        <v>219</v>
      </c>
      <c r="AK6" s="32" t="s">
        <v>220</v>
      </c>
      <c r="AL6" s="32" t="s">
        <v>221</v>
      </c>
      <c r="AM6" s="32" t="s">
        <v>222</v>
      </c>
      <c r="AN6" s="32" t="s">
        <v>223</v>
      </c>
      <c r="AO6" s="32" t="s">
        <v>224</v>
      </c>
      <c r="AP6" s="32" t="s">
        <v>225</v>
      </c>
      <c r="AQ6" s="32" t="s">
        <v>226</v>
      </c>
      <c r="AR6" s="32" t="s">
        <v>227</v>
      </c>
      <c r="AS6" s="32" t="s">
        <v>228</v>
      </c>
      <c r="AT6" s="32" t="s">
        <v>229</v>
      </c>
      <c r="AU6" s="32" t="s">
        <v>230</v>
      </c>
    </row>
    <row r="7" spans="1:47" ht="31.5">
      <c r="A7" s="38" t="str">
        <f>IF(AND(F7="B",IF(OR(G7="LD",G7="LDU",G7="ADD",G7="SUB",G7="AND",G7="OR",G7="XOR"),1,0)),CONCATENATE(G7,"#"),G7)</f>
        <v>NOP</v>
      </c>
      <c r="B7" s="32" t="s">
        <v>231</v>
      </c>
      <c r="C7" s="32" t="s">
        <v>232</v>
      </c>
      <c r="D7" s="32" t="str">
        <f>IF(F7="A",CONCATENATE(F7," ",G7," R",H7,",R",I7,",",J7),IF(F7="B",CONCATENATE(F7," ",G7," R",H7,",R",I7,",",K7),CONCATENATE(F7," ",G7," ",K7)))</f>
        <v>A NOP R0,R0,0</v>
      </c>
      <c r="E7" s="37"/>
      <c r="F7" s="38" t="s">
        <v>237</v>
      </c>
      <c r="G7" s="38" t="s">
        <v>68</v>
      </c>
      <c r="H7" s="39">
        <v>0</v>
      </c>
      <c r="I7" s="39">
        <v>0</v>
      </c>
      <c r="J7" s="39">
        <v>0</v>
      </c>
      <c r="K7" s="40" t="s">
        <v>231</v>
      </c>
      <c r="L7" s="40" t="s">
        <v>231</v>
      </c>
      <c r="M7" s="41">
        <v>0</v>
      </c>
      <c r="N7" s="32"/>
      <c r="O7" s="42">
        <v>0</v>
      </c>
      <c r="P7" s="42"/>
      <c r="Q7" s="32"/>
      <c r="R7" s="32"/>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
  <sheetViews>
    <sheetView zoomScale="95" zoomScaleNormal="95" workbookViewId="0">
      <selection activeCell="A2" sqref="A2"/>
    </sheetView>
  </sheetViews>
  <sheetFormatPr defaultRowHeight="15.75"/>
  <cols>
    <col min="1" max="1" width="8.25" style="28"/>
    <col min="2" max="2" width="13.125" style="28"/>
    <col min="3" max="3" width="10.375" style="28"/>
    <col min="4" max="4" width="13" style="28"/>
    <col min="5" max="5" width="16.875" style="28"/>
    <col min="6" max="6" width="7.5" style="28"/>
    <col min="7" max="7" width="8" style="28"/>
    <col min="8" max="8" width="11.125" style="28"/>
    <col min="9" max="10" width="8.125" style="28"/>
    <col min="11" max="12" width="16.75" style="28"/>
    <col min="13" max="14" width="8.25" style="28"/>
    <col min="15" max="15" width="17.375" style="28"/>
    <col min="16" max="1025" width="8.25" style="28"/>
  </cols>
  <sheetData>
    <row r="1" spans="1:47" ht="31.5">
      <c r="A1" s="24" t="s">
        <v>271</v>
      </c>
      <c r="B1" s="24"/>
      <c r="C1" s="24"/>
      <c r="D1" s="24"/>
      <c r="E1" s="24" t="s">
        <v>170</v>
      </c>
      <c r="F1" s="24"/>
      <c r="G1" s="24"/>
      <c r="H1" s="25"/>
      <c r="I1" s="25"/>
      <c r="J1" s="25"/>
      <c r="K1" s="25"/>
      <c r="L1" s="25"/>
      <c r="M1" s="26"/>
      <c r="N1" s="26"/>
      <c r="O1" s="24"/>
      <c r="P1" s="24"/>
      <c r="Q1" s="24"/>
      <c r="R1" s="24"/>
      <c r="S1" s="24"/>
      <c r="T1" s="24"/>
      <c r="U1" s="24"/>
      <c r="V1" s="24"/>
      <c r="W1" s="24"/>
      <c r="X1" s="24"/>
      <c r="Y1" s="24"/>
      <c r="Z1" s="24"/>
      <c r="AA1" s="24"/>
      <c r="AB1" s="24"/>
      <c r="AC1" s="24"/>
      <c r="AD1" s="24"/>
      <c r="AE1" s="24"/>
      <c r="AF1" s="24"/>
      <c r="AG1" s="24"/>
      <c r="AH1" s="24"/>
      <c r="AI1" s="24"/>
      <c r="AJ1" s="24"/>
      <c r="AK1" s="24"/>
      <c r="AL1" s="24"/>
      <c r="AM1" s="24"/>
      <c r="AN1" s="24"/>
      <c r="AO1" s="24"/>
      <c r="AP1" s="24"/>
      <c r="AQ1" s="24"/>
      <c r="AR1" s="24"/>
      <c r="AS1" s="24"/>
      <c r="AT1" s="24"/>
      <c r="AU1" s="24"/>
    </row>
    <row r="2" spans="1:47" ht="126">
      <c r="A2" s="108" t="s">
        <v>272</v>
      </c>
      <c r="B2" s="24"/>
      <c r="C2" s="24"/>
      <c r="D2" s="24"/>
      <c r="E2" s="24" t="s">
        <v>173</v>
      </c>
      <c r="F2" s="24" t="s">
        <v>2</v>
      </c>
      <c r="G2" s="24" t="s">
        <v>174</v>
      </c>
      <c r="H2" s="24" t="s">
        <v>175</v>
      </c>
      <c r="I2" s="25" t="s">
        <v>176</v>
      </c>
      <c r="J2" s="25" t="s">
        <v>177</v>
      </c>
      <c r="K2" s="25"/>
      <c r="L2" s="25"/>
      <c r="M2" s="26"/>
      <c r="N2" s="26"/>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row>
    <row r="3" spans="1:47" ht="31.5">
      <c r="A3" s="24"/>
      <c r="B3" s="24"/>
      <c r="C3" s="24"/>
      <c r="D3" s="24"/>
      <c r="E3" s="24" t="s">
        <v>178</v>
      </c>
      <c r="F3" s="24" t="s">
        <v>2</v>
      </c>
      <c r="G3" s="24" t="s">
        <v>174</v>
      </c>
      <c r="H3" s="24" t="s">
        <v>175</v>
      </c>
      <c r="I3" s="25" t="s">
        <v>176</v>
      </c>
      <c r="J3" s="25"/>
      <c r="K3" s="25" t="s">
        <v>179</v>
      </c>
      <c r="L3" s="25"/>
      <c r="M3" s="26"/>
      <c r="N3" s="26"/>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row>
    <row r="4" spans="1:47">
      <c r="A4" s="24"/>
      <c r="B4" s="24"/>
      <c r="C4" s="24"/>
      <c r="D4" s="24"/>
      <c r="E4" s="24" t="s">
        <v>180</v>
      </c>
      <c r="F4" s="24" t="s">
        <v>2</v>
      </c>
      <c r="G4" s="24" t="s">
        <v>174</v>
      </c>
      <c r="H4" s="24"/>
      <c r="I4" s="25"/>
      <c r="J4" s="25"/>
      <c r="K4" s="25" t="s">
        <v>179</v>
      </c>
      <c r="L4" s="25"/>
      <c r="M4" s="26"/>
      <c r="N4" s="26"/>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c r="AP4" s="24"/>
      <c r="AQ4" s="24"/>
      <c r="AR4" s="24"/>
      <c r="AS4" s="24"/>
      <c r="AT4" s="24"/>
      <c r="AU4" s="24"/>
    </row>
    <row r="5" spans="1:47" ht="47.25">
      <c r="A5" s="24"/>
      <c r="B5" s="24"/>
      <c r="C5" s="24"/>
      <c r="D5" s="24"/>
      <c r="E5" s="24"/>
      <c r="F5" s="24"/>
      <c r="G5" s="24"/>
      <c r="H5" s="25"/>
      <c r="I5" s="25"/>
      <c r="J5" s="25"/>
      <c r="K5" s="25" t="str">
        <f>"-"&amp;2^15&amp;"&lt;VAL&lt;"&amp;2^16</f>
        <v>-32768&lt;VAL&lt;65536</v>
      </c>
      <c r="L5" s="25" t="str">
        <f>"-"&amp;2^15&amp;"&lt;VAL&lt;"&amp;2^16</f>
        <v>-32768&lt;VAL&lt;65536</v>
      </c>
      <c r="O5" s="26" t="s">
        <v>181</v>
      </c>
      <c r="P5" s="24" t="s">
        <v>182</v>
      </c>
      <c r="Q5" s="24" t="s">
        <v>183</v>
      </c>
      <c r="R5" s="24" t="s">
        <v>184</v>
      </c>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row>
    <row r="6" spans="1:47" ht="47.25">
      <c r="A6" s="29" t="s">
        <v>185</v>
      </c>
      <c r="B6" s="30" t="s">
        <v>186</v>
      </c>
      <c r="C6" s="31" t="s">
        <v>187</v>
      </c>
      <c r="D6" s="34" t="s">
        <v>188</v>
      </c>
      <c r="E6" s="34" t="s">
        <v>189</v>
      </c>
      <c r="F6" s="34" t="s">
        <v>190</v>
      </c>
      <c r="G6" s="34" t="s">
        <v>185</v>
      </c>
      <c r="H6" s="66" t="s">
        <v>191</v>
      </c>
      <c r="I6" s="66" t="s">
        <v>192</v>
      </c>
      <c r="J6" s="66" t="s">
        <v>193</v>
      </c>
      <c r="K6" s="66" t="s">
        <v>194</v>
      </c>
      <c r="L6" s="66" t="s">
        <v>195</v>
      </c>
      <c r="M6" s="107" t="s">
        <v>196</v>
      </c>
      <c r="N6" s="107" t="s">
        <v>197</v>
      </c>
      <c r="O6" s="33" t="s">
        <v>198</v>
      </c>
      <c r="P6" s="34" t="s">
        <v>199</v>
      </c>
      <c r="Q6" s="35" t="s">
        <v>200</v>
      </c>
      <c r="R6" s="34" t="s">
        <v>201</v>
      </c>
      <c r="S6" s="42" t="s">
        <v>202</v>
      </c>
      <c r="T6" s="32" t="s">
        <v>203</v>
      </c>
      <c r="U6" s="32" t="s">
        <v>204</v>
      </c>
      <c r="V6" s="32" t="s">
        <v>205</v>
      </c>
      <c r="W6" s="32" t="s">
        <v>206</v>
      </c>
      <c r="X6" s="32" t="s">
        <v>207</v>
      </c>
      <c r="Y6" s="32" t="s">
        <v>208</v>
      </c>
      <c r="Z6" s="32" t="s">
        <v>209</v>
      </c>
      <c r="AA6" s="32" t="s">
        <v>210</v>
      </c>
      <c r="AB6" s="32" t="s">
        <v>211</v>
      </c>
      <c r="AC6" s="32" t="s">
        <v>212</v>
      </c>
      <c r="AD6" s="32" t="s">
        <v>213</v>
      </c>
      <c r="AE6" s="32" t="s">
        <v>214</v>
      </c>
      <c r="AF6" s="32" t="s">
        <v>215</v>
      </c>
      <c r="AG6" s="32" t="s">
        <v>216</v>
      </c>
      <c r="AH6" s="32" t="s">
        <v>217</v>
      </c>
      <c r="AI6" s="32" t="s">
        <v>218</v>
      </c>
      <c r="AJ6" s="32" t="s">
        <v>219</v>
      </c>
      <c r="AK6" s="32" t="s">
        <v>220</v>
      </c>
      <c r="AL6" s="32" t="s">
        <v>221</v>
      </c>
      <c r="AM6" s="32" t="s">
        <v>222</v>
      </c>
      <c r="AN6" s="32" t="s">
        <v>223</v>
      </c>
      <c r="AO6" s="32" t="s">
        <v>224</v>
      </c>
      <c r="AP6" s="32" t="s">
        <v>225</v>
      </c>
      <c r="AQ6" s="32" t="s">
        <v>226</v>
      </c>
      <c r="AR6" s="32" t="s">
        <v>227</v>
      </c>
      <c r="AS6" s="32" t="s">
        <v>228</v>
      </c>
      <c r="AT6" s="32" t="s">
        <v>229</v>
      </c>
      <c r="AU6" s="32" t="s">
        <v>230</v>
      </c>
    </row>
    <row r="7" spans="1:47" ht="31.5">
      <c r="A7" s="38" t="str">
        <f>IF(AND(F7="B",IF(OR(G7="LD",G7="LDU",G7="ADD",G7="SUB",G7="AND",G7="OR",G7="XOR"),1,0)),CONCATENATE(G7,"#"),G7)</f>
        <v>NOP</v>
      </c>
      <c r="B7" s="32" t="s">
        <v>231</v>
      </c>
      <c r="C7" s="32" t="s">
        <v>232</v>
      </c>
      <c r="D7" s="32" t="str">
        <f>IF(F7="A",CONCATENATE(F7," ",G7," R",H7,",R",I7,",",J7),IF(F7="B",CONCATENATE(F7," ",G7," R",H7,",R",I7,",",K7),CONCATENATE(F7," ",G7," ",K7)))</f>
        <v>A NOP R0,R0,0</v>
      </c>
      <c r="E7" s="37"/>
      <c r="F7" s="38" t="s">
        <v>237</v>
      </c>
      <c r="G7" s="38" t="s">
        <v>68</v>
      </c>
      <c r="H7" s="39">
        <v>0</v>
      </c>
      <c r="I7" s="39">
        <v>0</v>
      </c>
      <c r="J7" s="39">
        <v>0</v>
      </c>
      <c r="K7" s="40" t="s">
        <v>231</v>
      </c>
      <c r="L7" s="40" t="s">
        <v>231</v>
      </c>
      <c r="M7" s="41">
        <v>0</v>
      </c>
      <c r="N7" s="32"/>
      <c r="O7" s="42">
        <v>0</v>
      </c>
      <c r="P7" s="42"/>
      <c r="Q7" s="32"/>
      <c r="R7" s="32"/>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2"/>
  <sheetViews>
    <sheetView zoomScale="95" zoomScaleNormal="95" workbookViewId="0">
      <selection activeCell="A2" sqref="A2"/>
    </sheetView>
  </sheetViews>
  <sheetFormatPr defaultRowHeight="15.75"/>
  <cols>
    <col min="1" max="1" width="12.5"/>
    <col min="2" max="3" width="13.125"/>
    <col min="4" max="4" width="8.625"/>
    <col min="5" max="5" width="21.75"/>
    <col min="6" max="1025" width="8.625"/>
  </cols>
  <sheetData>
    <row r="1" spans="1:68">
      <c r="A1" t="s">
        <v>273</v>
      </c>
      <c r="E1" s="109" t="s">
        <v>274</v>
      </c>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c r="BH1" s="27"/>
      <c r="BI1" s="27"/>
      <c r="BJ1" s="27"/>
      <c r="BK1" s="27"/>
      <c r="BL1" s="27"/>
      <c r="BM1" s="27"/>
      <c r="BN1" s="27"/>
      <c r="BO1" s="27"/>
      <c r="BP1" s="27"/>
    </row>
    <row r="2" spans="1:68">
      <c r="A2" s="27" t="s">
        <v>185</v>
      </c>
      <c r="B2" s="27" t="s">
        <v>186</v>
      </c>
      <c r="C2" s="27" t="s">
        <v>275</v>
      </c>
      <c r="D2" s="27" t="s">
        <v>196</v>
      </c>
      <c r="E2" s="32" t="s">
        <v>198</v>
      </c>
      <c r="F2" s="32" t="s">
        <v>199</v>
      </c>
      <c r="G2" s="32" t="s">
        <v>200</v>
      </c>
      <c r="H2" s="32" t="s">
        <v>201</v>
      </c>
      <c r="I2" s="32" t="s">
        <v>202</v>
      </c>
      <c r="J2" s="32" t="s">
        <v>203</v>
      </c>
      <c r="K2" s="32" t="s">
        <v>204</v>
      </c>
      <c r="L2" s="32" t="s">
        <v>205</v>
      </c>
      <c r="M2" s="32" t="s">
        <v>206</v>
      </c>
      <c r="N2" s="32" t="s">
        <v>207</v>
      </c>
      <c r="O2" s="32" t="s">
        <v>208</v>
      </c>
      <c r="P2" s="32" t="s">
        <v>209</v>
      </c>
      <c r="Q2" s="32" t="s">
        <v>210</v>
      </c>
      <c r="R2" s="32" t="s">
        <v>211</v>
      </c>
      <c r="S2" s="32" t="s">
        <v>212</v>
      </c>
      <c r="T2" s="32" t="s">
        <v>213</v>
      </c>
      <c r="U2" s="32" t="s">
        <v>214</v>
      </c>
      <c r="V2" s="32" t="s">
        <v>215</v>
      </c>
      <c r="W2" s="32" t="s">
        <v>216</v>
      </c>
      <c r="X2" s="32" t="s">
        <v>217</v>
      </c>
      <c r="Y2" s="32" t="s">
        <v>218</v>
      </c>
      <c r="Z2" s="32" t="s">
        <v>219</v>
      </c>
      <c r="AA2" s="32" t="s">
        <v>220</v>
      </c>
      <c r="AB2" s="32" t="s">
        <v>221</v>
      </c>
      <c r="AC2" s="32" t="s">
        <v>222</v>
      </c>
      <c r="AD2" s="32" t="s">
        <v>223</v>
      </c>
      <c r="AE2" s="32" t="s">
        <v>224</v>
      </c>
      <c r="AF2" s="32" t="s">
        <v>225</v>
      </c>
      <c r="AG2" s="32" t="s">
        <v>226</v>
      </c>
      <c r="AH2" s="32" t="s">
        <v>227</v>
      </c>
      <c r="AI2" s="32" t="s">
        <v>228</v>
      </c>
      <c r="AJ2" s="32" t="s">
        <v>229</v>
      </c>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B3"/>
  <sheetViews>
    <sheetView topLeftCell="D1" zoomScale="95" zoomScaleNormal="95" workbookViewId="0">
      <selection activeCell="E45" sqref="E45"/>
    </sheetView>
  </sheetViews>
  <sheetFormatPr defaultRowHeight="15.75"/>
  <cols>
    <col min="1" max="1" width="8.625"/>
    <col min="2" max="2" width="13.125"/>
    <col min="3" max="4" width="8.625"/>
    <col min="5" max="5" width="21.75"/>
    <col min="6" max="6" width="11.625"/>
    <col min="7" max="7" width="19.5"/>
    <col min="8" max="68" width="8.625"/>
    <col min="69" max="69" width="11.625"/>
    <col min="70" max="1025" width="8.625"/>
  </cols>
  <sheetData>
    <row r="1" spans="1:132">
      <c r="A1" t="s">
        <v>276</v>
      </c>
    </row>
    <row r="2" spans="1:132">
      <c r="E2" s="110" t="s">
        <v>277</v>
      </c>
      <c r="F2" s="109" t="s">
        <v>278</v>
      </c>
      <c r="G2" s="27" t="s">
        <v>279</v>
      </c>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c r="BA2" s="27"/>
      <c r="BB2" s="27"/>
      <c r="BC2" s="27"/>
      <c r="BD2" s="27"/>
      <c r="BE2" s="27"/>
      <c r="BF2" s="27"/>
      <c r="BG2" s="27"/>
      <c r="BH2" s="27"/>
      <c r="BI2" s="27"/>
      <c r="BJ2" s="27"/>
      <c r="BK2" s="27"/>
      <c r="BL2" s="27"/>
      <c r="BM2" s="27"/>
      <c r="BN2" s="27"/>
      <c r="BO2" s="27"/>
      <c r="BP2" s="27"/>
      <c r="BQ2" s="111" t="s">
        <v>278</v>
      </c>
    </row>
    <row r="3" spans="1:132">
      <c r="A3" s="27" t="s">
        <v>185</v>
      </c>
      <c r="B3" s="27" t="s">
        <v>186</v>
      </c>
      <c r="C3" s="27" t="s">
        <v>275</v>
      </c>
      <c r="D3" s="27" t="s">
        <v>196</v>
      </c>
      <c r="E3" s="38" t="s">
        <v>198</v>
      </c>
      <c r="F3" s="32" t="s">
        <v>199</v>
      </c>
      <c r="G3" s="32" t="s">
        <v>200</v>
      </c>
      <c r="H3" s="32" t="s">
        <v>201</v>
      </c>
      <c r="I3" s="32" t="s">
        <v>202</v>
      </c>
      <c r="J3" s="32" t="s">
        <v>203</v>
      </c>
      <c r="K3" s="32" t="s">
        <v>204</v>
      </c>
      <c r="L3" s="32" t="s">
        <v>205</v>
      </c>
      <c r="M3" s="32" t="s">
        <v>206</v>
      </c>
      <c r="N3" s="32" t="s">
        <v>207</v>
      </c>
      <c r="O3" s="32" t="s">
        <v>208</v>
      </c>
      <c r="P3" s="32" t="s">
        <v>209</v>
      </c>
      <c r="Q3" s="32" t="s">
        <v>210</v>
      </c>
      <c r="R3" s="32" t="s">
        <v>211</v>
      </c>
      <c r="S3" s="32" t="s">
        <v>212</v>
      </c>
      <c r="T3" s="32" t="s">
        <v>213</v>
      </c>
      <c r="U3" s="32" t="s">
        <v>214</v>
      </c>
      <c r="V3" s="32" t="s">
        <v>215</v>
      </c>
      <c r="W3" s="32" t="s">
        <v>216</v>
      </c>
      <c r="X3" s="32" t="s">
        <v>217</v>
      </c>
      <c r="Y3" s="32" t="s">
        <v>218</v>
      </c>
      <c r="Z3" s="32" t="s">
        <v>219</v>
      </c>
      <c r="AA3" s="32" t="s">
        <v>220</v>
      </c>
      <c r="AB3" s="32" t="s">
        <v>221</v>
      </c>
      <c r="AC3" s="32" t="s">
        <v>222</v>
      </c>
      <c r="AD3" s="32" t="s">
        <v>223</v>
      </c>
      <c r="AE3" s="32" t="s">
        <v>224</v>
      </c>
      <c r="AF3" s="32" t="s">
        <v>225</v>
      </c>
      <c r="AG3" s="32" t="s">
        <v>226</v>
      </c>
      <c r="AH3" s="32" t="s">
        <v>227</v>
      </c>
      <c r="AI3" s="32" t="s">
        <v>228</v>
      </c>
      <c r="AJ3" s="32" t="s">
        <v>229</v>
      </c>
      <c r="AK3" s="32" t="s">
        <v>230</v>
      </c>
      <c r="AL3" s="32" t="s">
        <v>280</v>
      </c>
      <c r="AM3" s="32" t="s">
        <v>281</v>
      </c>
      <c r="AN3" s="32" t="s">
        <v>282</v>
      </c>
      <c r="AO3" s="32" t="s">
        <v>283</v>
      </c>
      <c r="AP3" s="32" t="s">
        <v>284</v>
      </c>
      <c r="AQ3" s="32" t="s">
        <v>285</v>
      </c>
      <c r="AR3" s="32" t="s">
        <v>286</v>
      </c>
      <c r="AS3" s="32" t="s">
        <v>287</v>
      </c>
      <c r="AT3" s="32" t="s">
        <v>288</v>
      </c>
      <c r="AU3" s="32" t="s">
        <v>289</v>
      </c>
      <c r="AV3" s="32" t="s">
        <v>290</v>
      </c>
      <c r="AW3" s="32" t="s">
        <v>291</v>
      </c>
      <c r="AX3" s="32" t="s">
        <v>292</v>
      </c>
      <c r="AY3" s="32" t="s">
        <v>293</v>
      </c>
      <c r="AZ3" s="32" t="s">
        <v>294</v>
      </c>
      <c r="BA3" s="32" t="s">
        <v>295</v>
      </c>
      <c r="BB3" s="32" t="s">
        <v>296</v>
      </c>
      <c r="BC3" s="32" t="s">
        <v>297</v>
      </c>
      <c r="BD3" s="32" t="s">
        <v>298</v>
      </c>
      <c r="BE3" s="32" t="s">
        <v>299</v>
      </c>
      <c r="BF3" s="32" t="s">
        <v>300</v>
      </c>
      <c r="BG3" s="32" t="s">
        <v>301</v>
      </c>
      <c r="BH3" s="32" t="s">
        <v>302</v>
      </c>
      <c r="BI3" s="32" t="s">
        <v>303</v>
      </c>
      <c r="BJ3" s="32" t="s">
        <v>304</v>
      </c>
      <c r="BK3" s="32" t="s">
        <v>305</v>
      </c>
      <c r="BL3" s="32" t="s">
        <v>306</v>
      </c>
      <c r="BM3" s="32" t="s">
        <v>307</v>
      </c>
      <c r="BN3" s="32" t="s">
        <v>308</v>
      </c>
      <c r="BO3" s="41" t="s">
        <v>309</v>
      </c>
      <c r="BP3" s="32" t="s">
        <v>310</v>
      </c>
      <c r="BQ3" s="61" t="s">
        <v>311</v>
      </c>
      <c r="BR3" s="32" t="s">
        <v>312</v>
      </c>
      <c r="BS3" s="32" t="s">
        <v>313</v>
      </c>
      <c r="BT3" s="32" t="s">
        <v>314</v>
      </c>
      <c r="BU3" s="32" t="s">
        <v>315</v>
      </c>
      <c r="BV3" s="32" t="s">
        <v>316</v>
      </c>
      <c r="BW3" s="32" t="s">
        <v>317</v>
      </c>
      <c r="BX3" s="32" t="s">
        <v>318</v>
      </c>
      <c r="BY3" s="32" t="s">
        <v>319</v>
      </c>
      <c r="BZ3" s="32" t="s">
        <v>320</v>
      </c>
      <c r="CA3" s="32" t="s">
        <v>321</v>
      </c>
      <c r="CB3" s="32" t="s">
        <v>322</v>
      </c>
      <c r="CC3" s="32" t="s">
        <v>323</v>
      </c>
      <c r="CD3" s="32" t="s">
        <v>324</v>
      </c>
      <c r="CE3" s="32" t="s">
        <v>325</v>
      </c>
      <c r="CF3" s="32" t="s">
        <v>326</v>
      </c>
      <c r="CG3" s="32" t="s">
        <v>327</v>
      </c>
      <c r="CH3" s="32" t="s">
        <v>328</v>
      </c>
      <c r="CI3" s="32" t="s">
        <v>329</v>
      </c>
      <c r="CJ3" s="32" t="s">
        <v>330</v>
      </c>
      <c r="CK3" s="32" t="s">
        <v>331</v>
      </c>
      <c r="CL3" s="32" t="s">
        <v>332</v>
      </c>
      <c r="CM3" s="32" t="s">
        <v>333</v>
      </c>
      <c r="CN3" s="32" t="s">
        <v>334</v>
      </c>
      <c r="CO3" s="32" t="s">
        <v>335</v>
      </c>
      <c r="CP3" s="32" t="s">
        <v>336</v>
      </c>
      <c r="CQ3" s="32" t="s">
        <v>337</v>
      </c>
      <c r="CR3" s="32" t="s">
        <v>338</v>
      </c>
      <c r="CS3" s="32" t="s">
        <v>339</v>
      </c>
      <c r="CT3" s="32" t="s">
        <v>340</v>
      </c>
      <c r="CU3" s="32" t="s">
        <v>341</v>
      </c>
      <c r="CV3" s="32" t="s">
        <v>342</v>
      </c>
      <c r="CW3" s="32" t="s">
        <v>343</v>
      </c>
      <c r="CX3" s="32" t="s">
        <v>344</v>
      </c>
      <c r="CY3" s="32" t="s">
        <v>345</v>
      </c>
      <c r="CZ3" s="32" t="s">
        <v>346</v>
      </c>
      <c r="DA3" s="32" t="s">
        <v>347</v>
      </c>
      <c r="DB3" s="32" t="s">
        <v>348</v>
      </c>
      <c r="DC3" s="32" t="s">
        <v>349</v>
      </c>
      <c r="DD3" s="32" t="s">
        <v>350</v>
      </c>
      <c r="DE3" s="32" t="s">
        <v>351</v>
      </c>
      <c r="DF3" s="32" t="s">
        <v>352</v>
      </c>
      <c r="DG3" s="32" t="s">
        <v>353</v>
      </c>
      <c r="DH3" s="32" t="s">
        <v>354</v>
      </c>
      <c r="DI3" s="32" t="s">
        <v>355</v>
      </c>
      <c r="DJ3" s="32" t="s">
        <v>356</v>
      </c>
      <c r="DK3" s="32" t="s">
        <v>357</v>
      </c>
      <c r="DL3" s="32" t="s">
        <v>358</v>
      </c>
      <c r="DM3" s="32" t="s">
        <v>359</v>
      </c>
      <c r="DN3" s="32" t="s">
        <v>360</v>
      </c>
      <c r="DO3" s="32" t="s">
        <v>361</v>
      </c>
      <c r="DP3" s="32" t="s">
        <v>362</v>
      </c>
      <c r="DQ3" s="32" t="s">
        <v>363</v>
      </c>
      <c r="DR3" s="32" t="s">
        <v>364</v>
      </c>
      <c r="DS3" s="32" t="s">
        <v>365</v>
      </c>
      <c r="DT3" s="32" t="s">
        <v>366</v>
      </c>
      <c r="DU3" s="32" t="s">
        <v>367</v>
      </c>
      <c r="DV3" s="32" t="s">
        <v>368</v>
      </c>
      <c r="DW3" s="32" t="s">
        <v>369</v>
      </c>
      <c r="DX3" s="32" t="s">
        <v>370</v>
      </c>
      <c r="DY3" s="32" t="s">
        <v>371</v>
      </c>
      <c r="DZ3" s="32" t="s">
        <v>372</v>
      </c>
      <c r="EA3" s="32" t="s">
        <v>373</v>
      </c>
      <c r="EB3" s="32" t="s">
        <v>374</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
  <sheetViews>
    <sheetView zoomScale="95" zoomScaleNormal="95" workbookViewId="0"/>
  </sheetViews>
  <sheetFormatPr defaultRowHeight="15.75"/>
  <cols>
    <col min="1" max="1" width="8.25" style="28"/>
    <col min="2" max="2" width="13.125" style="28"/>
    <col min="3" max="3" width="10.375" style="28"/>
    <col min="4" max="4" width="13" style="28"/>
    <col min="5" max="5" width="16.875" style="28"/>
    <col min="6" max="6" width="7.5" style="28"/>
    <col min="7" max="7" width="8" style="28"/>
    <col min="8" max="8" width="11.125" style="28"/>
    <col min="9" max="10" width="8.125" style="28"/>
    <col min="11" max="12" width="16.75" style="28"/>
    <col min="13" max="14" width="8.25" style="28"/>
    <col min="15" max="15" width="17.375" style="28"/>
    <col min="16" max="1025" width="8.25" style="28"/>
  </cols>
  <sheetData>
    <row r="1" spans="1:47" ht="31.5">
      <c r="A1" s="24" t="s">
        <v>375</v>
      </c>
      <c r="B1" s="24"/>
      <c r="C1" s="24"/>
      <c r="D1" s="24"/>
      <c r="E1" s="24" t="s">
        <v>170</v>
      </c>
      <c r="F1" s="24"/>
      <c r="G1" s="24"/>
      <c r="H1" s="25"/>
      <c r="I1" s="25"/>
      <c r="J1" s="25"/>
      <c r="K1" s="25"/>
      <c r="L1" s="25"/>
      <c r="M1" s="26"/>
      <c r="N1" s="26"/>
      <c r="O1" s="24"/>
      <c r="P1" s="24"/>
      <c r="Q1" s="24"/>
      <c r="R1" s="24"/>
      <c r="S1" s="24"/>
      <c r="T1" s="24"/>
      <c r="U1" s="24"/>
      <c r="V1" s="24"/>
      <c r="W1" s="24"/>
      <c r="X1" s="24"/>
      <c r="Y1" s="24"/>
      <c r="Z1" s="24"/>
      <c r="AA1" s="24"/>
      <c r="AB1" s="24"/>
      <c r="AC1" s="24"/>
      <c r="AD1" s="24"/>
      <c r="AE1" s="24"/>
      <c r="AF1" s="24"/>
      <c r="AG1" s="24"/>
      <c r="AH1" s="24"/>
      <c r="AI1" s="24"/>
      <c r="AJ1" s="24"/>
      <c r="AK1" s="24"/>
      <c r="AL1" s="24"/>
      <c r="AM1" s="24"/>
      <c r="AN1" s="24"/>
      <c r="AO1" s="24"/>
      <c r="AP1" s="24"/>
      <c r="AQ1" s="24"/>
      <c r="AR1" s="24"/>
      <c r="AS1" s="24"/>
      <c r="AT1" s="24"/>
      <c r="AU1" s="24"/>
    </row>
    <row r="2" spans="1:47" ht="31.5">
      <c r="A2" s="24"/>
      <c r="B2" s="24"/>
      <c r="C2" s="24"/>
      <c r="D2" s="24"/>
      <c r="E2" s="24" t="s">
        <v>173</v>
      </c>
      <c r="F2" s="24" t="s">
        <v>2</v>
      </c>
      <c r="G2" s="24" t="s">
        <v>174</v>
      </c>
      <c r="H2" s="24" t="s">
        <v>175</v>
      </c>
      <c r="I2" s="25" t="s">
        <v>176</v>
      </c>
      <c r="J2" s="25" t="s">
        <v>177</v>
      </c>
      <c r="K2" s="25"/>
      <c r="L2" s="25"/>
      <c r="M2" s="26"/>
      <c r="N2" s="26"/>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row>
    <row r="3" spans="1:47" ht="31.5">
      <c r="A3" s="24"/>
      <c r="B3" s="24"/>
      <c r="C3" s="24"/>
      <c r="D3" s="24"/>
      <c r="E3" s="24" t="s">
        <v>178</v>
      </c>
      <c r="F3" s="24" t="s">
        <v>2</v>
      </c>
      <c r="G3" s="24" t="s">
        <v>174</v>
      </c>
      <c r="H3" s="24" t="s">
        <v>175</v>
      </c>
      <c r="I3" s="25" t="s">
        <v>176</v>
      </c>
      <c r="J3" s="25"/>
      <c r="K3" s="25" t="s">
        <v>179</v>
      </c>
      <c r="L3" s="25"/>
      <c r="M3" s="26"/>
      <c r="N3" s="26"/>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row>
    <row r="4" spans="1:47">
      <c r="A4" s="24"/>
      <c r="B4" s="24"/>
      <c r="C4" s="24"/>
      <c r="D4" s="24"/>
      <c r="E4" s="24" t="s">
        <v>180</v>
      </c>
      <c r="F4" s="24" t="s">
        <v>2</v>
      </c>
      <c r="G4" s="24" t="s">
        <v>174</v>
      </c>
      <c r="H4" s="24"/>
      <c r="I4" s="25"/>
      <c r="J4" s="25"/>
      <c r="K4" s="25" t="s">
        <v>179</v>
      </c>
      <c r="L4" s="25"/>
      <c r="M4" s="26"/>
      <c r="N4" s="26"/>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c r="AP4" s="24"/>
      <c r="AQ4" s="24"/>
      <c r="AR4" s="24"/>
      <c r="AS4" s="24"/>
      <c r="AT4" s="24"/>
      <c r="AU4" s="24"/>
    </row>
    <row r="5" spans="1:47" ht="47.25">
      <c r="A5" s="24"/>
      <c r="B5" s="24"/>
      <c r="C5" s="24"/>
      <c r="D5" s="24"/>
      <c r="E5" s="24"/>
      <c r="F5" s="24"/>
      <c r="G5" s="24"/>
      <c r="H5" s="25"/>
      <c r="I5" s="25"/>
      <c r="J5" s="25"/>
      <c r="K5" s="25" t="str">
        <f>"-"&amp;2^15&amp;"&lt;VAL&lt;"&amp;2^16</f>
        <v>-32768&lt;VAL&lt;65536</v>
      </c>
      <c r="L5" s="25" t="str">
        <f>"-"&amp;2^15&amp;"&lt;VAL&lt;"&amp;2^16</f>
        <v>-32768&lt;VAL&lt;65536</v>
      </c>
      <c r="O5" s="26" t="s">
        <v>181</v>
      </c>
      <c r="P5" s="24" t="s">
        <v>182</v>
      </c>
      <c r="Q5" s="24" t="s">
        <v>183</v>
      </c>
      <c r="R5" s="24" t="s">
        <v>184</v>
      </c>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row>
    <row r="6" spans="1:47" ht="47.25">
      <c r="A6" s="29" t="s">
        <v>185</v>
      </c>
      <c r="B6" s="30" t="s">
        <v>186</v>
      </c>
      <c r="C6" s="31" t="s">
        <v>187</v>
      </c>
      <c r="D6" s="34" t="s">
        <v>188</v>
      </c>
      <c r="E6" s="34" t="s">
        <v>189</v>
      </c>
      <c r="F6" s="34" t="s">
        <v>190</v>
      </c>
      <c r="G6" s="34" t="s">
        <v>185</v>
      </c>
      <c r="H6" s="66" t="s">
        <v>191</v>
      </c>
      <c r="I6" s="66" t="s">
        <v>192</v>
      </c>
      <c r="J6" s="66" t="s">
        <v>193</v>
      </c>
      <c r="K6" s="66" t="s">
        <v>194</v>
      </c>
      <c r="L6" s="66" t="s">
        <v>195</v>
      </c>
      <c r="M6" s="107" t="s">
        <v>196</v>
      </c>
      <c r="N6" s="107" t="s">
        <v>197</v>
      </c>
      <c r="O6" s="33" t="s">
        <v>198</v>
      </c>
      <c r="P6" s="34" t="s">
        <v>199</v>
      </c>
      <c r="Q6" s="35" t="s">
        <v>200</v>
      </c>
      <c r="R6" s="34" t="s">
        <v>201</v>
      </c>
      <c r="S6" s="42" t="s">
        <v>202</v>
      </c>
      <c r="T6" s="32" t="s">
        <v>203</v>
      </c>
      <c r="U6" s="32" t="s">
        <v>204</v>
      </c>
      <c r="V6" s="32" t="s">
        <v>205</v>
      </c>
      <c r="W6" s="32" t="s">
        <v>206</v>
      </c>
      <c r="X6" s="32" t="s">
        <v>207</v>
      </c>
      <c r="Y6" s="32" t="s">
        <v>208</v>
      </c>
      <c r="Z6" s="32" t="s">
        <v>209</v>
      </c>
      <c r="AA6" s="32" t="s">
        <v>210</v>
      </c>
      <c r="AB6" s="32" t="s">
        <v>211</v>
      </c>
      <c r="AC6" s="32" t="s">
        <v>212</v>
      </c>
      <c r="AD6" s="32" t="s">
        <v>213</v>
      </c>
      <c r="AE6" s="32" t="s">
        <v>214</v>
      </c>
      <c r="AF6" s="32" t="s">
        <v>215</v>
      </c>
      <c r="AG6" s="32" t="s">
        <v>216</v>
      </c>
      <c r="AH6" s="32" t="s">
        <v>217</v>
      </c>
      <c r="AI6" s="32" t="s">
        <v>218</v>
      </c>
      <c r="AJ6" s="32" t="s">
        <v>219</v>
      </c>
      <c r="AK6" s="32" t="s">
        <v>220</v>
      </c>
      <c r="AL6" s="32" t="s">
        <v>221</v>
      </c>
      <c r="AM6" s="32" t="s">
        <v>222</v>
      </c>
      <c r="AN6" s="32" t="s">
        <v>223</v>
      </c>
      <c r="AO6" s="32" t="s">
        <v>224</v>
      </c>
      <c r="AP6" s="32" t="s">
        <v>225</v>
      </c>
      <c r="AQ6" s="32" t="s">
        <v>226</v>
      </c>
      <c r="AR6" s="32" t="s">
        <v>227</v>
      </c>
      <c r="AS6" s="32" t="s">
        <v>228</v>
      </c>
      <c r="AT6" s="32" t="s">
        <v>229</v>
      </c>
      <c r="AU6" s="32" t="s">
        <v>230</v>
      </c>
    </row>
    <row r="7" spans="1:47" ht="31.5">
      <c r="A7" s="38" t="str">
        <f>IF(AND(F7="B",IF(OR(G7="LD",G7="LDU",G7="ADD",G7="SUB",G7="AND",G7="OR",G7="XOR"),1,0)),CONCATENATE(G7,"#"),G7)</f>
        <v>NOP</v>
      </c>
      <c r="B7" s="32" t="s">
        <v>231</v>
      </c>
      <c r="C7" s="32" t="s">
        <v>232</v>
      </c>
      <c r="D7" s="32" t="str">
        <f>IF(F7="A",CONCATENATE(F7," ",G7," R",H7,",R",I7,",",J7),IF(F7="B",CONCATENATE(F7," ",G7," R",H7,",R",I7,",",K7),CONCATENATE(F7," ",G7," ",K7)))</f>
        <v>A NOP R0,R0,0</v>
      </c>
      <c r="E7" s="37"/>
      <c r="F7" s="38" t="s">
        <v>237</v>
      </c>
      <c r="G7" s="38" t="s">
        <v>68</v>
      </c>
      <c r="H7" s="39">
        <v>0</v>
      </c>
      <c r="I7" s="39">
        <v>0</v>
      </c>
      <c r="J7" s="39">
        <v>0</v>
      </c>
      <c r="K7" s="40" t="s">
        <v>231</v>
      </c>
      <c r="L7" s="40" t="s">
        <v>231</v>
      </c>
      <c r="M7" s="41">
        <v>0</v>
      </c>
      <c r="N7" s="32"/>
      <c r="O7" s="42">
        <v>0</v>
      </c>
      <c r="P7" s="42"/>
      <c r="Q7" s="32"/>
      <c r="R7" s="32"/>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80"/>
  <sheetViews>
    <sheetView topLeftCell="A55" zoomScale="70" zoomScaleNormal="70" workbookViewId="0">
      <selection activeCell="M69" sqref="M69"/>
    </sheetView>
  </sheetViews>
  <sheetFormatPr defaultRowHeight="15.75"/>
  <cols>
    <col min="1" max="1" width="15.125"/>
    <col min="2" max="2" width="34.875"/>
    <col min="3" max="3" width="15.125"/>
    <col min="4" max="4" width="20.375"/>
    <col min="5" max="10" width="15.125"/>
    <col min="11" max="11" width="18.75"/>
    <col min="12" max="12" width="26"/>
    <col min="13" max="13" width="15.125"/>
    <col min="14" max="14" width="19.25"/>
    <col min="15" max="17" width="15.125"/>
    <col min="18" max="18" width="15.625"/>
    <col min="19" max="1025" width="15.125"/>
  </cols>
  <sheetData>
    <row r="1" spans="1:82" ht="31.5">
      <c r="A1" s="24" t="s">
        <v>167</v>
      </c>
      <c r="B1" s="24" t="s">
        <v>168</v>
      </c>
      <c r="C1" s="24"/>
      <c r="D1" s="24" t="s">
        <v>169</v>
      </c>
      <c r="E1" s="24" t="s">
        <v>170</v>
      </c>
      <c r="F1" s="24"/>
      <c r="G1" s="24"/>
      <c r="H1" s="25"/>
      <c r="I1" s="25"/>
      <c r="J1" s="25"/>
      <c r="K1" s="25"/>
      <c r="L1" s="25" t="s">
        <v>171</v>
      </c>
      <c r="M1" s="26"/>
      <c r="N1" s="26"/>
      <c r="O1" s="24"/>
      <c r="P1" s="24"/>
      <c r="Q1" s="24"/>
      <c r="R1" s="24"/>
      <c r="S1" s="24"/>
      <c r="T1" s="24"/>
      <c r="U1" s="24"/>
      <c r="V1" s="24"/>
      <c r="W1" s="24"/>
      <c r="X1" s="24"/>
      <c r="Y1" s="24"/>
      <c r="Z1" s="24"/>
      <c r="AA1" s="24"/>
      <c r="AB1" s="24"/>
      <c r="AC1" s="24"/>
      <c r="AD1" s="24"/>
      <c r="AE1" s="24"/>
      <c r="AF1" s="24"/>
      <c r="AG1" s="24"/>
      <c r="AH1" s="24"/>
      <c r="AI1" s="24"/>
      <c r="AJ1" s="24"/>
      <c r="AK1" s="24"/>
      <c r="AL1" s="24"/>
      <c r="AM1" s="24"/>
      <c r="AN1" s="24"/>
      <c r="AO1" s="24"/>
      <c r="AP1" s="24"/>
      <c r="AQ1" s="24"/>
      <c r="AR1" s="24"/>
      <c r="AS1" s="24"/>
      <c r="AT1" s="24"/>
      <c r="AU1" s="24"/>
      <c r="AV1" s="27"/>
      <c r="AW1" s="27"/>
      <c r="AX1" s="27"/>
      <c r="AY1" s="27"/>
      <c r="AZ1" s="27"/>
      <c r="BA1" s="27"/>
      <c r="BB1" s="27"/>
      <c r="BC1" s="27"/>
      <c r="BD1" s="27"/>
      <c r="BE1" s="27"/>
      <c r="BF1" s="27"/>
      <c r="BG1" s="27"/>
      <c r="BH1" s="27"/>
      <c r="BI1" s="27"/>
      <c r="BJ1" s="27"/>
      <c r="BK1" s="27"/>
      <c r="BL1" s="27"/>
      <c r="BM1" s="27"/>
      <c r="BN1" s="27"/>
      <c r="BO1" s="27"/>
      <c r="BP1" s="27"/>
      <c r="BQ1" s="27"/>
      <c r="BR1" s="27"/>
      <c r="BS1" s="27"/>
      <c r="BT1" s="27"/>
      <c r="BU1" s="27"/>
      <c r="BV1" s="27"/>
      <c r="BW1" s="27"/>
      <c r="BX1" s="27"/>
      <c r="BY1" s="27"/>
      <c r="BZ1" s="27"/>
      <c r="CA1" s="27"/>
      <c r="CB1" s="27"/>
      <c r="CC1" s="27"/>
      <c r="CD1" s="27"/>
    </row>
    <row r="2" spans="1:82">
      <c r="A2" s="24"/>
      <c r="B2" s="24" t="s">
        <v>172</v>
      </c>
      <c r="C2" s="24"/>
      <c r="D2" s="24"/>
      <c r="E2" s="24" t="s">
        <v>173</v>
      </c>
      <c r="F2" s="24" t="s">
        <v>2</v>
      </c>
      <c r="G2" s="24" t="s">
        <v>174</v>
      </c>
      <c r="H2" s="24" t="s">
        <v>175</v>
      </c>
      <c r="I2" s="25" t="s">
        <v>176</v>
      </c>
      <c r="J2" s="25" t="s">
        <v>177</v>
      </c>
      <c r="K2" s="25"/>
      <c r="L2" s="25"/>
      <c r="M2" s="26"/>
      <c r="N2" s="26"/>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7"/>
      <c r="AW2" s="27"/>
      <c r="AX2" s="27"/>
      <c r="AY2" s="27"/>
      <c r="AZ2" s="27"/>
      <c r="BA2" s="27"/>
      <c r="BB2" s="27"/>
      <c r="BC2" s="27"/>
      <c r="BD2" s="27"/>
      <c r="BE2" s="27"/>
      <c r="BF2" s="27"/>
      <c r="BG2" s="27"/>
      <c r="BH2" s="27"/>
      <c r="BI2" s="27"/>
      <c r="BJ2" s="27"/>
      <c r="BK2" s="27"/>
      <c r="BL2" s="27"/>
      <c r="BM2" s="27"/>
      <c r="BN2" s="27"/>
      <c r="BO2" s="27"/>
      <c r="BP2" s="27"/>
      <c r="BQ2" s="27"/>
      <c r="BR2" s="27"/>
      <c r="BS2" s="27"/>
      <c r="BT2" s="27"/>
      <c r="BU2" s="27"/>
      <c r="BV2" s="27"/>
      <c r="BW2" s="27"/>
      <c r="BX2" s="27"/>
      <c r="BY2" s="27"/>
      <c r="BZ2" s="27"/>
      <c r="CA2" s="27"/>
      <c r="CB2" s="27"/>
      <c r="CC2" s="27"/>
      <c r="CD2" s="27"/>
    </row>
    <row r="3" spans="1:82">
      <c r="A3" s="24"/>
      <c r="B3" s="24"/>
      <c r="C3" s="24"/>
      <c r="D3" s="24"/>
      <c r="E3" s="24" t="s">
        <v>178</v>
      </c>
      <c r="F3" s="24" t="s">
        <v>2</v>
      </c>
      <c r="G3" s="24" t="s">
        <v>174</v>
      </c>
      <c r="H3" s="24" t="s">
        <v>175</v>
      </c>
      <c r="I3" s="25" t="s">
        <v>176</v>
      </c>
      <c r="J3" s="25"/>
      <c r="K3" s="25" t="s">
        <v>179</v>
      </c>
      <c r="L3" s="25" t="str">
        <f>"-"&amp;2^15&amp;"&lt;VAL&lt;"&amp;2^16</f>
        <v>-32768&lt;VAL&lt;65536</v>
      </c>
      <c r="M3" s="26"/>
      <c r="N3" s="26"/>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7"/>
      <c r="AW3" s="27"/>
      <c r="AX3" s="27"/>
      <c r="AY3" s="27"/>
      <c r="AZ3" s="27"/>
      <c r="BA3" s="27"/>
      <c r="BB3" s="27"/>
      <c r="BC3" s="27"/>
      <c r="BD3" s="27"/>
      <c r="BE3" s="27"/>
      <c r="BF3" s="27"/>
      <c r="BG3" s="27"/>
      <c r="BH3" s="27"/>
      <c r="BI3" s="27"/>
      <c r="BJ3" s="27"/>
      <c r="BK3" s="27"/>
      <c r="BL3" s="27"/>
      <c r="BM3" s="27"/>
      <c r="BN3" s="27"/>
      <c r="BO3" s="27"/>
      <c r="BP3" s="27"/>
      <c r="BQ3" s="27"/>
      <c r="BR3" s="27"/>
      <c r="BS3" s="27"/>
      <c r="BT3" s="27"/>
      <c r="BU3" s="27"/>
      <c r="BV3" s="27"/>
      <c r="BW3" s="27"/>
      <c r="BX3" s="27"/>
      <c r="BY3" s="27"/>
      <c r="BZ3" s="27"/>
      <c r="CA3" s="27"/>
      <c r="CB3" s="27"/>
      <c r="CC3" s="27"/>
      <c r="CD3" s="27"/>
    </row>
    <row r="4" spans="1:82">
      <c r="A4" s="24"/>
      <c r="B4" s="24"/>
      <c r="C4" s="24"/>
      <c r="D4" s="24"/>
      <c r="E4" s="24" t="s">
        <v>180</v>
      </c>
      <c r="F4" s="24" t="s">
        <v>2</v>
      </c>
      <c r="G4" s="24" t="s">
        <v>174</v>
      </c>
      <c r="H4" s="24"/>
      <c r="I4" s="25"/>
      <c r="J4" s="25"/>
      <c r="K4" s="25" t="s">
        <v>179</v>
      </c>
      <c r="L4" s="25" t="str">
        <f>"-"&amp;2^24&amp;"&lt;VAL&lt;"&amp;2^25</f>
        <v>-16777216&lt;VAL&lt;33554432</v>
      </c>
      <c r="M4" s="26"/>
      <c r="N4" s="26"/>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c r="AP4" s="24"/>
      <c r="AQ4" s="24"/>
      <c r="AR4" s="24"/>
      <c r="AS4" s="24"/>
      <c r="AT4" s="24"/>
      <c r="AU4" s="24"/>
      <c r="AV4" s="27"/>
      <c r="AW4" s="27"/>
      <c r="AX4" s="27"/>
      <c r="AY4" s="27"/>
      <c r="AZ4" s="27"/>
      <c r="BA4" s="27"/>
      <c r="BB4" s="27"/>
      <c r="BC4" s="27"/>
      <c r="BD4" s="27"/>
      <c r="BE4" s="27"/>
      <c r="BF4" s="27"/>
      <c r="BG4" s="27"/>
      <c r="BH4" s="27"/>
      <c r="BI4" s="27"/>
      <c r="BJ4" s="27"/>
      <c r="BK4" s="27"/>
      <c r="BL4" s="27"/>
      <c r="BM4" s="27"/>
      <c r="BN4" s="27"/>
      <c r="BO4" s="27"/>
      <c r="BP4" s="27"/>
      <c r="BQ4" s="27"/>
      <c r="BR4" s="27"/>
      <c r="BS4" s="27"/>
      <c r="BT4" s="27"/>
      <c r="BU4" s="27"/>
      <c r="BV4" s="27"/>
      <c r="BW4" s="27"/>
      <c r="BX4" s="27"/>
      <c r="BY4" s="27"/>
      <c r="BZ4" s="27"/>
      <c r="CA4" s="27"/>
      <c r="CB4" s="27"/>
      <c r="CC4" s="27"/>
      <c r="CD4" s="27"/>
    </row>
    <row r="5" spans="1:82" ht="31.5">
      <c r="A5" s="24"/>
      <c r="B5" s="24"/>
      <c r="C5" s="24"/>
      <c r="D5" s="24"/>
      <c r="E5" s="24"/>
      <c r="F5" s="24"/>
      <c r="G5" s="24"/>
      <c r="H5" s="25"/>
      <c r="I5" s="25"/>
      <c r="J5" s="25"/>
      <c r="L5" s="25"/>
      <c r="M5" s="28"/>
      <c r="N5" s="28"/>
      <c r="O5" s="26" t="s">
        <v>181</v>
      </c>
      <c r="P5" s="24" t="s">
        <v>182</v>
      </c>
      <c r="Q5" s="24" t="s">
        <v>183</v>
      </c>
      <c r="R5" s="24" t="s">
        <v>184</v>
      </c>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7"/>
      <c r="AW5" s="27"/>
      <c r="AX5" s="27"/>
      <c r="AY5" s="27"/>
      <c r="AZ5" s="27"/>
      <c r="BA5" s="27"/>
      <c r="BB5" s="27"/>
      <c r="BC5" s="27"/>
      <c r="BD5" s="27"/>
      <c r="BE5" s="27"/>
      <c r="BF5" s="27"/>
      <c r="BG5" s="27"/>
      <c r="BH5" s="27"/>
      <c r="BI5" s="27"/>
      <c r="BJ5" s="27"/>
      <c r="BK5" s="27"/>
      <c r="BL5" s="27"/>
      <c r="BM5" s="27"/>
      <c r="BN5" s="27"/>
      <c r="BO5" s="27"/>
      <c r="BP5" s="27"/>
      <c r="BQ5" s="27"/>
      <c r="BR5" s="27"/>
      <c r="BS5" s="27"/>
      <c r="BT5" s="27"/>
      <c r="BU5" s="27"/>
      <c r="BV5" s="27"/>
      <c r="BW5" s="27"/>
      <c r="BX5" s="27"/>
      <c r="BY5" s="27"/>
      <c r="BZ5" s="27"/>
      <c r="CA5" s="27"/>
      <c r="CB5" s="27"/>
      <c r="CC5" s="27"/>
      <c r="CD5" s="27"/>
    </row>
    <row r="6" spans="1:82" ht="31.5">
      <c r="A6" s="29" t="s">
        <v>185</v>
      </c>
      <c r="B6" s="30" t="s">
        <v>186</v>
      </c>
      <c r="C6" s="31" t="s">
        <v>187</v>
      </c>
      <c r="D6" s="32" t="s">
        <v>188</v>
      </c>
      <c r="E6" s="32" t="s">
        <v>189</v>
      </c>
      <c r="F6" s="32" t="s">
        <v>190</v>
      </c>
      <c r="G6" s="32" t="s">
        <v>185</v>
      </c>
      <c r="H6" s="32" t="s">
        <v>191</v>
      </c>
      <c r="I6" s="32" t="s">
        <v>192</v>
      </c>
      <c r="J6" s="32" t="s">
        <v>193</v>
      </c>
      <c r="K6" s="32" t="s">
        <v>194</v>
      </c>
      <c r="L6" s="32" t="s">
        <v>195</v>
      </c>
      <c r="M6" s="32" t="s">
        <v>196</v>
      </c>
      <c r="N6" s="32" t="s">
        <v>197</v>
      </c>
      <c r="O6" s="33" t="s">
        <v>198</v>
      </c>
      <c r="P6" s="34" t="s">
        <v>199</v>
      </c>
      <c r="Q6" s="35" t="s">
        <v>200</v>
      </c>
      <c r="R6" s="34" t="s">
        <v>201</v>
      </c>
      <c r="S6" s="35" t="s">
        <v>202</v>
      </c>
      <c r="T6" s="34" t="s">
        <v>203</v>
      </c>
      <c r="U6" s="34" t="s">
        <v>204</v>
      </c>
      <c r="V6" s="34" t="s">
        <v>205</v>
      </c>
      <c r="W6" s="34" t="s">
        <v>206</v>
      </c>
      <c r="X6" s="34" t="s">
        <v>207</v>
      </c>
      <c r="Y6" s="34" t="s">
        <v>208</v>
      </c>
      <c r="Z6" s="34" t="s">
        <v>209</v>
      </c>
      <c r="AA6" s="34" t="s">
        <v>210</v>
      </c>
      <c r="AB6" s="34" t="s">
        <v>211</v>
      </c>
      <c r="AC6" s="34" t="s">
        <v>212</v>
      </c>
      <c r="AD6" s="34" t="s">
        <v>213</v>
      </c>
      <c r="AE6" s="34" t="s">
        <v>214</v>
      </c>
      <c r="AF6" s="34" t="s">
        <v>215</v>
      </c>
      <c r="AG6" s="34" t="s">
        <v>216</v>
      </c>
      <c r="AH6" s="34" t="s">
        <v>217</v>
      </c>
      <c r="AI6" s="34" t="s">
        <v>218</v>
      </c>
      <c r="AJ6" s="34" t="s">
        <v>219</v>
      </c>
      <c r="AK6" s="34" t="s">
        <v>220</v>
      </c>
      <c r="AL6" s="34" t="s">
        <v>221</v>
      </c>
      <c r="AM6" s="34" t="s">
        <v>222</v>
      </c>
      <c r="AN6" s="34" t="s">
        <v>223</v>
      </c>
      <c r="AO6" s="34" t="s">
        <v>224</v>
      </c>
      <c r="AP6" s="34" t="s">
        <v>225</v>
      </c>
      <c r="AQ6" s="34" t="s">
        <v>226</v>
      </c>
      <c r="AR6" s="34" t="s">
        <v>227</v>
      </c>
      <c r="AS6" s="34" t="s">
        <v>228</v>
      </c>
      <c r="AT6" s="34" t="s">
        <v>229</v>
      </c>
      <c r="AU6" s="34" t="s">
        <v>230</v>
      </c>
      <c r="AV6" s="36"/>
      <c r="AW6" s="36"/>
      <c r="AX6" s="36"/>
      <c r="AY6" s="36"/>
      <c r="AZ6" s="36"/>
      <c r="BA6" s="36"/>
      <c r="BB6" s="36"/>
      <c r="BC6" s="36"/>
      <c r="BD6" s="36"/>
      <c r="BE6" s="36"/>
      <c r="BF6" s="36"/>
      <c r="BG6" s="36"/>
      <c r="BH6" s="36"/>
      <c r="BI6" s="36"/>
      <c r="BJ6" s="36"/>
      <c r="BK6" s="36"/>
      <c r="BL6" s="36"/>
      <c r="BM6" s="36"/>
      <c r="BN6" s="36"/>
      <c r="BO6" s="36"/>
      <c r="BP6" s="36"/>
      <c r="BQ6" s="36"/>
      <c r="BR6" s="36"/>
      <c r="BS6" s="36"/>
      <c r="BT6" s="36"/>
      <c r="BU6" s="36"/>
      <c r="BV6" s="36"/>
      <c r="BW6" s="36"/>
      <c r="BX6" s="36"/>
      <c r="BY6" s="36"/>
      <c r="BZ6" s="36"/>
      <c r="CA6" s="36"/>
      <c r="CB6" s="36"/>
      <c r="CC6" s="36"/>
      <c r="CD6" s="36"/>
    </row>
    <row r="7" spans="1:82" ht="31.5">
      <c r="A7" s="30" t="str">
        <f t="shared" ref="A7:A38" si="0">IF(AND(F7="B",IF(OR(G7="LD",G7="LDU",G7="ADD",G7="SUB",G7="AND",G7="OR",G7="XOR"),1,0)),CONCATENATE(G7,"#"),G7)</f>
        <v>NOP</v>
      </c>
      <c r="B7" s="34" t="s">
        <v>231</v>
      </c>
      <c r="C7" s="34" t="s">
        <v>232</v>
      </c>
      <c r="D7" s="32" t="str">
        <f t="shared" ref="D7:D38" si="1">IF(F7="A",CONCATENATE(F7," ",G7," R",H7,",R",I7,",R",J7),IF(F7="B",CONCATENATE(F7," ",G7," R",H7,",R",I7,",",K7),CONCATENATE(F7," ",G7," ",K7)))</f>
        <v>B NOP R0,R0,-</v>
      </c>
      <c r="E7" s="37"/>
      <c r="F7" s="38" t="s">
        <v>233</v>
      </c>
      <c r="G7" s="38" t="s">
        <v>68</v>
      </c>
      <c r="H7" s="39">
        <v>0</v>
      </c>
      <c r="I7" s="39">
        <v>0</v>
      </c>
      <c r="J7" s="39">
        <v>0</v>
      </c>
      <c r="K7" s="40" t="s">
        <v>231</v>
      </c>
      <c r="L7" s="40" t="s">
        <v>231</v>
      </c>
      <c r="M7" s="41">
        <v>0</v>
      </c>
      <c r="N7" s="32"/>
      <c r="O7" s="42">
        <f>0</f>
        <v>0</v>
      </c>
      <c r="P7" s="42"/>
      <c r="Q7" s="32"/>
      <c r="R7" s="32"/>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35"/>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row>
    <row r="8" spans="1:82">
      <c r="A8" s="38" t="str">
        <f t="shared" si="0"/>
        <v>LDU#</v>
      </c>
      <c r="B8" s="32" t="str">
        <f>"R["&amp;H8&amp;"] &lt;= "&amp;K8</f>
        <v>R[1] &lt;= 1</v>
      </c>
      <c r="C8" s="32" t="s">
        <v>234</v>
      </c>
      <c r="D8" s="44" t="str">
        <f t="shared" si="1"/>
        <v>B LDU R1,R0,1</v>
      </c>
      <c r="E8" s="45"/>
      <c r="F8" s="46" t="s">
        <v>233</v>
      </c>
      <c r="G8" s="47" t="s">
        <v>235</v>
      </c>
      <c r="H8" s="48">
        <v>1</v>
      </c>
      <c r="I8" s="48">
        <v>0</v>
      </c>
      <c r="J8" s="48" t="s">
        <v>231</v>
      </c>
      <c r="K8" s="49">
        <v>1</v>
      </c>
      <c r="L8" s="50" t="str">
        <f>RIGHT(DEC2HEX(K8,10),8)</f>
        <v>00000001</v>
      </c>
      <c r="M8" s="51">
        <f t="shared" ref="M8:M39" si="2">M7+1</f>
        <v>1</v>
      </c>
      <c r="N8" s="52"/>
      <c r="O8" s="32">
        <f t="shared" ref="O8:O39" si="3">O7</f>
        <v>0</v>
      </c>
      <c r="P8" s="53" t="str">
        <f>L8</f>
        <v>00000001</v>
      </c>
      <c r="Q8" s="39"/>
      <c r="R8" s="39"/>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44"/>
      <c r="AV8" s="54"/>
      <c r="AW8" s="54"/>
      <c r="AX8" s="54"/>
      <c r="AY8" s="54"/>
      <c r="AZ8" s="54"/>
      <c r="BA8" s="54"/>
      <c r="BB8" s="54"/>
      <c r="BC8" s="54"/>
      <c r="BD8" s="54"/>
      <c r="BE8" s="54"/>
      <c r="BF8" s="54"/>
      <c r="BG8" s="54"/>
      <c r="BH8" s="54"/>
      <c r="BI8" s="54"/>
      <c r="BJ8" s="54"/>
      <c r="BK8" s="54"/>
      <c r="BL8" s="54"/>
      <c r="BM8" s="54"/>
      <c r="BN8" s="54"/>
      <c r="BO8" s="54"/>
      <c r="BP8" s="54"/>
      <c r="BQ8" s="54"/>
      <c r="BR8" s="54"/>
      <c r="BS8" s="54"/>
      <c r="BT8" s="54"/>
      <c r="BU8" s="54"/>
      <c r="BV8" s="54"/>
      <c r="BW8" s="54"/>
      <c r="BX8" s="54"/>
      <c r="BY8" s="54"/>
      <c r="BZ8" s="54"/>
      <c r="CA8" s="54"/>
      <c r="CB8" s="54"/>
      <c r="CC8" s="54"/>
      <c r="CD8" s="54"/>
    </row>
    <row r="9" spans="1:82">
      <c r="A9" s="51" t="str">
        <f t="shared" si="0"/>
        <v>LDU#</v>
      </c>
      <c r="B9" s="32" t="str">
        <f>"R["&amp;H9&amp;"] &lt;= "&amp;K9</f>
        <v>R[2] &lt;= 2</v>
      </c>
      <c r="C9" s="32" t="s">
        <v>231</v>
      </c>
      <c r="D9" s="35" t="str">
        <f t="shared" si="1"/>
        <v>B LDU R2,R0,2</v>
      </c>
      <c r="E9" s="37"/>
      <c r="F9" s="32" t="s">
        <v>233</v>
      </c>
      <c r="G9" s="32" t="str">
        <f>IF(K9&gt;=0,"LDU","LD")</f>
        <v>LDU</v>
      </c>
      <c r="H9" s="39">
        <v>2</v>
      </c>
      <c r="I9" s="39">
        <v>0</v>
      </c>
      <c r="J9" s="39" t="s">
        <v>231</v>
      </c>
      <c r="K9" s="39">
        <v>2</v>
      </c>
      <c r="L9" s="55" t="str">
        <f>RIGHT(DEC2HEX(K9,10),8)</f>
        <v>00000002</v>
      </c>
      <c r="M9" s="32">
        <f t="shared" si="2"/>
        <v>2</v>
      </c>
      <c r="N9" s="56"/>
      <c r="O9" s="32">
        <f t="shared" si="3"/>
        <v>0</v>
      </c>
      <c r="P9" s="57" t="str">
        <f>P8</f>
        <v>00000001</v>
      </c>
      <c r="Q9" s="58" t="str">
        <f>L9</f>
        <v>00000002</v>
      </c>
      <c r="R9" s="39"/>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44"/>
      <c r="AV9" s="54"/>
      <c r="AW9" s="54"/>
      <c r="AX9" s="54"/>
      <c r="AY9" s="54"/>
      <c r="AZ9" s="54"/>
      <c r="BA9" s="54"/>
      <c r="BB9" s="54"/>
      <c r="BC9" s="54"/>
      <c r="BD9" s="54"/>
      <c r="BE9" s="54"/>
      <c r="BF9" s="54"/>
      <c r="BG9" s="54"/>
      <c r="BH9" s="54"/>
      <c r="BI9" s="54"/>
      <c r="BJ9" s="54"/>
      <c r="BK9" s="54"/>
      <c r="BL9" s="54"/>
      <c r="BM9" s="54"/>
      <c r="BN9" s="54"/>
      <c r="BO9" s="54"/>
      <c r="BP9" s="54"/>
      <c r="BQ9" s="54"/>
      <c r="BR9" s="54"/>
      <c r="BS9" s="54"/>
      <c r="BT9" s="54"/>
      <c r="BU9" s="54"/>
      <c r="BV9" s="54"/>
      <c r="BW9" s="54"/>
      <c r="BX9" s="54"/>
      <c r="BY9" s="54"/>
      <c r="BZ9" s="54"/>
      <c r="CA9" s="54"/>
      <c r="CB9" s="54"/>
      <c r="CC9" s="54"/>
      <c r="CD9" s="54"/>
    </row>
    <row r="10" spans="1:82" ht="110.25">
      <c r="A10" s="47" t="str">
        <f t="shared" si="0"/>
        <v>ADD</v>
      </c>
      <c r="B10" s="32" t="str">
        <f>"R["&amp;H10&amp;"] &lt;= R["&amp;I10&amp;"] + R["&amp;J10&amp;"]"</f>
        <v>R[3] &lt;= R[1] + R[2]</v>
      </c>
      <c r="C10" s="32" t="s">
        <v>236</v>
      </c>
      <c r="D10" s="35" t="str">
        <f t="shared" si="1"/>
        <v>A ADD R3,R1,R2</v>
      </c>
      <c r="E10" s="37"/>
      <c r="F10" s="38" t="s">
        <v>237</v>
      </c>
      <c r="G10" s="38" t="s">
        <v>11</v>
      </c>
      <c r="H10" s="39">
        <v>3</v>
      </c>
      <c r="I10" s="39">
        <v>1</v>
      </c>
      <c r="J10" s="39">
        <v>2</v>
      </c>
      <c r="K10" s="39" t="s">
        <v>231</v>
      </c>
      <c r="L10" s="59" t="s">
        <v>231</v>
      </c>
      <c r="M10" s="32">
        <f t="shared" si="2"/>
        <v>3</v>
      </c>
      <c r="N10" s="56"/>
      <c r="O10" s="32">
        <f t="shared" si="3"/>
        <v>0</v>
      </c>
      <c r="P10" s="57" t="str">
        <f>P9</f>
        <v>00000001</v>
      </c>
      <c r="Q10" s="39" t="str">
        <f>Q9</f>
        <v>00000002</v>
      </c>
      <c r="R10" s="60" t="str">
        <f>DEC2HEX(HEX2DEC(P10)+HEX2DEC(Q10))</f>
        <v>3</v>
      </c>
      <c r="S10" s="36"/>
      <c r="T10" s="36"/>
      <c r="U10" s="36"/>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44"/>
      <c r="AV10" s="54"/>
      <c r="AW10" s="54"/>
      <c r="AX10" s="54"/>
      <c r="AY10" s="54"/>
      <c r="AZ10" s="54"/>
      <c r="BA10" s="54"/>
      <c r="BB10" s="54"/>
      <c r="BC10" s="54"/>
      <c r="BD10" s="54"/>
      <c r="BE10" s="54"/>
      <c r="BF10" s="54"/>
      <c r="BG10" s="54"/>
      <c r="BH10" s="54"/>
      <c r="BI10" s="54"/>
      <c r="BJ10" s="54"/>
      <c r="BK10" s="54"/>
      <c r="BL10" s="54"/>
      <c r="BM10" s="54"/>
      <c r="BN10" s="54"/>
      <c r="BO10" s="54"/>
      <c r="BP10" s="54"/>
      <c r="BQ10" s="54"/>
      <c r="BR10" s="54"/>
      <c r="BS10" s="54"/>
      <c r="BT10" s="54"/>
      <c r="BU10" s="54"/>
      <c r="BV10" s="54"/>
      <c r="BW10" s="54"/>
      <c r="BX10" s="54"/>
      <c r="BY10" s="54"/>
      <c r="BZ10" s="54"/>
      <c r="CA10" s="54"/>
      <c r="CB10" s="54"/>
      <c r="CC10" s="54"/>
      <c r="CD10" s="54"/>
    </row>
    <row r="11" spans="1:82">
      <c r="A11" s="38" t="str">
        <f t="shared" si="0"/>
        <v>LD#</v>
      </c>
      <c r="B11" s="32" t="str">
        <f>"R["&amp;H11&amp;"] &lt;= "&amp;K11</f>
        <v>R[1] &lt;= -3</v>
      </c>
      <c r="C11" s="32" t="s">
        <v>238</v>
      </c>
      <c r="D11" s="42" t="str">
        <f t="shared" si="1"/>
        <v>B LD R1,R0,-3</v>
      </c>
      <c r="E11" s="37"/>
      <c r="F11" s="61" t="s">
        <v>233</v>
      </c>
      <c r="G11" s="38" t="s">
        <v>239</v>
      </c>
      <c r="H11" s="39">
        <v>1</v>
      </c>
      <c r="I11" s="39">
        <v>0</v>
      </c>
      <c r="J11" s="39" t="s">
        <v>231</v>
      </c>
      <c r="K11" s="40">
        <v>-3</v>
      </c>
      <c r="L11" s="62" t="str">
        <f>RIGHT(DEC2HEX(K11,10),8)</f>
        <v>FFFFFFFD</v>
      </c>
      <c r="M11" s="32">
        <f t="shared" si="2"/>
        <v>4</v>
      </c>
      <c r="N11" s="56"/>
      <c r="O11" s="32">
        <f t="shared" si="3"/>
        <v>0</v>
      </c>
      <c r="P11" s="63" t="str">
        <f>L11</f>
        <v>FFFFFFFD</v>
      </c>
      <c r="Q11" s="39"/>
      <c r="R11" s="39"/>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44"/>
      <c r="AV11" s="54"/>
      <c r="AW11" s="54"/>
      <c r="AX11" s="54"/>
      <c r="AY11" s="54"/>
      <c r="AZ11" s="54"/>
      <c r="BA11" s="54"/>
      <c r="BB11" s="54"/>
      <c r="BC11" s="54"/>
      <c r="BD11" s="54"/>
      <c r="BE11" s="54"/>
      <c r="BF11" s="54"/>
      <c r="BG11" s="54"/>
      <c r="BH11" s="54"/>
      <c r="BI11" s="54"/>
      <c r="BJ11" s="54"/>
      <c r="BK11" s="54"/>
      <c r="BL11" s="54"/>
      <c r="BM11" s="54"/>
      <c r="BN11" s="54"/>
      <c r="BO11" s="54"/>
      <c r="BP11" s="54"/>
      <c r="BQ11" s="54"/>
      <c r="BR11" s="54"/>
      <c r="BS11" s="54"/>
      <c r="BT11" s="54"/>
      <c r="BU11" s="54"/>
      <c r="BV11" s="54"/>
      <c r="BW11" s="54"/>
      <c r="BX11" s="54"/>
      <c r="BY11" s="54"/>
      <c r="BZ11" s="54"/>
      <c r="CA11" s="54"/>
      <c r="CB11" s="54"/>
      <c r="CC11" s="54"/>
      <c r="CD11" s="54"/>
    </row>
    <row r="12" spans="1:82">
      <c r="A12" s="51" t="str">
        <f t="shared" si="0"/>
        <v>LD#</v>
      </c>
      <c r="B12" s="32" t="str">
        <f>"R["&amp;H12&amp;"] &lt;= "&amp;K12</f>
        <v>R[2] &lt;= -3</v>
      </c>
      <c r="C12" s="32" t="s">
        <v>231</v>
      </c>
      <c r="D12" s="42" t="str">
        <f t="shared" si="1"/>
        <v>B LD R2,R0,-3</v>
      </c>
      <c r="E12" s="37"/>
      <c r="F12" s="32" t="s">
        <v>233</v>
      </c>
      <c r="G12" s="32" t="str">
        <f>IF(K12&gt;=0,"LDU","LD")</f>
        <v>LD</v>
      </c>
      <c r="H12" s="39">
        <v>2</v>
      </c>
      <c r="I12" s="39">
        <v>0</v>
      </c>
      <c r="J12" s="39" t="s">
        <v>231</v>
      </c>
      <c r="K12" s="39">
        <v>-3</v>
      </c>
      <c r="L12" s="55" t="str">
        <f>RIGHT(DEC2HEX(K12,10),8)</f>
        <v>FFFFFFFD</v>
      </c>
      <c r="M12" s="32">
        <f t="shared" si="2"/>
        <v>5</v>
      </c>
      <c r="N12" s="56"/>
      <c r="O12" s="32">
        <f t="shared" si="3"/>
        <v>0</v>
      </c>
      <c r="P12" s="57" t="str">
        <f>P11</f>
        <v>FFFFFFFD</v>
      </c>
      <c r="Q12" s="58" t="str">
        <f>L12</f>
        <v>FFFFFFFD</v>
      </c>
      <c r="R12" s="39"/>
      <c r="S12" s="36"/>
      <c r="T12" s="36"/>
      <c r="U12" s="36"/>
      <c r="V12" s="36"/>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44"/>
      <c r="AV12" s="54"/>
      <c r="AW12" s="54"/>
      <c r="AX12" s="54"/>
      <c r="AY12" s="54"/>
      <c r="AZ12" s="54"/>
      <c r="BA12" s="54"/>
      <c r="BB12" s="54"/>
      <c r="BC12" s="54"/>
      <c r="BD12" s="54"/>
      <c r="BE12" s="54"/>
      <c r="BF12" s="54"/>
      <c r="BG12" s="54"/>
      <c r="BH12" s="54"/>
      <c r="BI12" s="54"/>
      <c r="BJ12" s="54"/>
      <c r="BK12" s="54"/>
      <c r="BL12" s="54"/>
      <c r="BM12" s="54"/>
      <c r="BN12" s="54"/>
      <c r="BO12" s="54"/>
      <c r="BP12" s="54"/>
      <c r="BQ12" s="54"/>
      <c r="BR12" s="54"/>
      <c r="BS12" s="54"/>
      <c r="BT12" s="54"/>
      <c r="BU12" s="54"/>
      <c r="BV12" s="54"/>
      <c r="BW12" s="54"/>
      <c r="BX12" s="54"/>
      <c r="BY12" s="54"/>
      <c r="BZ12" s="54"/>
      <c r="CA12" s="54"/>
      <c r="CB12" s="54"/>
      <c r="CC12" s="54"/>
      <c r="CD12" s="54"/>
    </row>
    <row r="13" spans="1:82" ht="31.5">
      <c r="A13" s="47" t="str">
        <f t="shared" si="0"/>
        <v>SUB</v>
      </c>
      <c r="B13" s="32" t="str">
        <f>"R["&amp;H13&amp;"] &lt;= R["&amp;I13&amp;"] - R["&amp;J13&amp;"]"</f>
        <v>R[3] &lt;= R[1] - R[2]</v>
      </c>
      <c r="C13" s="32" t="s">
        <v>240</v>
      </c>
      <c r="D13" s="42" t="str">
        <f t="shared" si="1"/>
        <v>A SUB R3,R1,R2</v>
      </c>
      <c r="E13" s="37"/>
      <c r="F13" s="38" t="s">
        <v>237</v>
      </c>
      <c r="G13" s="38" t="s">
        <v>14</v>
      </c>
      <c r="H13" s="39">
        <v>3</v>
      </c>
      <c r="I13" s="39">
        <v>1</v>
      </c>
      <c r="J13" s="39">
        <v>2</v>
      </c>
      <c r="K13" s="39" t="s">
        <v>231</v>
      </c>
      <c r="L13" s="59" t="s">
        <v>231</v>
      </c>
      <c r="M13" s="32">
        <f t="shared" si="2"/>
        <v>6</v>
      </c>
      <c r="N13" s="64" t="s">
        <v>241</v>
      </c>
      <c r="O13" s="32">
        <f t="shared" si="3"/>
        <v>0</v>
      </c>
      <c r="P13" s="57" t="str">
        <f>P12</f>
        <v>FFFFFFFD</v>
      </c>
      <c r="Q13" s="39" t="str">
        <f>Q12</f>
        <v>FFFFFFFD</v>
      </c>
      <c r="R13" s="60" t="str">
        <f>DEC2HEX(K11-K12)</f>
        <v>0</v>
      </c>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44"/>
      <c r="AV13" s="54"/>
      <c r="AW13" s="54"/>
      <c r="AX13" s="54"/>
      <c r="AY13" s="54"/>
      <c r="AZ13" s="54"/>
      <c r="BA13" s="54"/>
      <c r="BB13" s="54"/>
      <c r="BC13" s="54"/>
      <c r="BD13" s="54"/>
      <c r="BE13" s="54"/>
      <c r="BF13" s="54"/>
      <c r="BG13" s="54"/>
      <c r="BH13" s="54"/>
      <c r="BI13" s="54"/>
      <c r="BJ13" s="54"/>
      <c r="BK13" s="54"/>
      <c r="BL13" s="54"/>
      <c r="BM13" s="54"/>
      <c r="BN13" s="54"/>
      <c r="BO13" s="54"/>
      <c r="BP13" s="54"/>
      <c r="BQ13" s="54"/>
      <c r="BR13" s="54"/>
      <c r="BS13" s="54"/>
      <c r="BT13" s="54"/>
      <c r="BU13" s="54"/>
      <c r="BV13" s="54"/>
      <c r="BW13" s="54"/>
      <c r="BX13" s="54"/>
      <c r="BY13" s="54"/>
      <c r="BZ13" s="54"/>
      <c r="CA13" s="54"/>
      <c r="CB13" s="54"/>
      <c r="CC13" s="54"/>
      <c r="CD13" s="54"/>
    </row>
    <row r="14" spans="1:82">
      <c r="A14" s="32" t="str">
        <f t="shared" si="0"/>
        <v>LD#</v>
      </c>
      <c r="B14" s="32" t="str">
        <f>"R["&amp;H14&amp;"] &lt;= "&amp;K14</f>
        <v>R[1] &lt;= -5</v>
      </c>
      <c r="C14" s="32" t="s">
        <v>231</v>
      </c>
      <c r="D14" s="42" t="str">
        <f t="shared" si="1"/>
        <v>B LD R1,R0,-5</v>
      </c>
      <c r="E14" s="37"/>
      <c r="F14" s="32" t="s">
        <v>233</v>
      </c>
      <c r="G14" s="32" t="str">
        <f>IF(K14&gt;=0,"LDU","LD")</f>
        <v>LD</v>
      </c>
      <c r="H14" s="39">
        <v>1</v>
      </c>
      <c r="I14" s="39">
        <v>0</v>
      </c>
      <c r="J14" s="39" t="s">
        <v>231</v>
      </c>
      <c r="K14" s="40">
        <v>-5</v>
      </c>
      <c r="L14" s="62" t="str">
        <f>RIGHT(DEC2HEX(K14,10),8)</f>
        <v>FFFFFFFB</v>
      </c>
      <c r="M14" s="32">
        <f t="shared" si="2"/>
        <v>7</v>
      </c>
      <c r="N14" s="56"/>
      <c r="O14" s="32">
        <f t="shared" si="3"/>
        <v>0</v>
      </c>
      <c r="P14" s="53" t="str">
        <f>L14</f>
        <v>FFFFFFFB</v>
      </c>
      <c r="Q14" s="39"/>
      <c r="R14" s="39"/>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44"/>
      <c r="AV14" s="54"/>
      <c r="AW14" s="54"/>
      <c r="AX14" s="54"/>
      <c r="AY14" s="54"/>
      <c r="AZ14" s="54"/>
      <c r="BA14" s="54"/>
      <c r="BB14" s="54"/>
      <c r="BC14" s="54"/>
      <c r="BD14" s="54"/>
      <c r="BE14" s="54"/>
      <c r="BF14" s="54"/>
      <c r="BG14" s="54"/>
      <c r="BH14" s="54"/>
      <c r="BI14" s="54"/>
      <c r="BJ14" s="54"/>
      <c r="BK14" s="54"/>
      <c r="BL14" s="54"/>
      <c r="BM14" s="54"/>
      <c r="BN14" s="54"/>
      <c r="BO14" s="54"/>
      <c r="BP14" s="54"/>
      <c r="BQ14" s="54"/>
      <c r="BR14" s="54"/>
      <c r="BS14" s="54"/>
      <c r="BT14" s="54"/>
      <c r="BU14" s="54"/>
      <c r="BV14" s="54"/>
      <c r="BW14" s="54"/>
      <c r="BX14" s="54"/>
      <c r="BY14" s="54"/>
      <c r="BZ14" s="54"/>
      <c r="CA14" s="54"/>
      <c r="CB14" s="54"/>
      <c r="CC14" s="54"/>
      <c r="CD14" s="54"/>
    </row>
    <row r="15" spans="1:82" ht="63">
      <c r="A15" s="47" t="str">
        <f t="shared" si="0"/>
        <v>NEG</v>
      </c>
      <c r="B15" s="32" t="str">
        <f>"R["&amp;H15&amp;"] &lt;= - R["&amp;I15&amp;"]"</f>
        <v>R[3] &lt;= - R[1]</v>
      </c>
      <c r="C15" s="32" t="s">
        <v>242</v>
      </c>
      <c r="D15" s="42" t="str">
        <f t="shared" si="1"/>
        <v>A NEG R3,R1,R2</v>
      </c>
      <c r="E15" s="37"/>
      <c r="F15" s="38" t="s">
        <v>237</v>
      </c>
      <c r="G15" s="38" t="s">
        <v>23</v>
      </c>
      <c r="H15" s="39">
        <v>3</v>
      </c>
      <c r="I15" s="39">
        <v>1</v>
      </c>
      <c r="J15" s="39">
        <v>2</v>
      </c>
      <c r="K15" s="39" t="s">
        <v>231</v>
      </c>
      <c r="L15" s="59" t="s">
        <v>231</v>
      </c>
      <c r="M15" s="32">
        <f t="shared" si="2"/>
        <v>8</v>
      </c>
      <c r="N15" s="64" t="s">
        <v>243</v>
      </c>
      <c r="O15" s="32">
        <f t="shared" si="3"/>
        <v>0</v>
      </c>
      <c r="P15" s="57" t="str">
        <f>P14</f>
        <v>FFFFFFFB</v>
      </c>
      <c r="Q15" s="39">
        <f>Q14</f>
        <v>0</v>
      </c>
      <c r="R15" s="60" t="str">
        <f>DEC2HEX(-K14)</f>
        <v>5</v>
      </c>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44"/>
      <c r="AV15" s="54"/>
      <c r="AW15" s="54"/>
      <c r="AX15" s="54"/>
      <c r="AY15" s="54"/>
      <c r="AZ15" s="54"/>
      <c r="BA15" s="54"/>
      <c r="BB15" s="54"/>
      <c r="BC15" s="54"/>
      <c r="BD15" s="54"/>
      <c r="BE15" s="54"/>
      <c r="BF15" s="54"/>
      <c r="BG15" s="54"/>
      <c r="BH15" s="54"/>
      <c r="BI15" s="54"/>
      <c r="BJ15" s="54"/>
      <c r="BK15" s="54"/>
      <c r="BL15" s="54"/>
      <c r="BM15" s="54"/>
      <c r="BN15" s="54"/>
      <c r="BO15" s="54"/>
      <c r="BP15" s="54"/>
      <c r="BQ15" s="54"/>
      <c r="BR15" s="54"/>
      <c r="BS15" s="54"/>
      <c r="BT15" s="54"/>
      <c r="BU15" s="54"/>
      <c r="BV15" s="54"/>
      <c r="BW15" s="54"/>
      <c r="BX15" s="54"/>
      <c r="BY15" s="54"/>
      <c r="BZ15" s="54"/>
      <c r="CA15" s="54"/>
      <c r="CB15" s="54"/>
      <c r="CC15" s="54"/>
      <c r="CD15" s="54"/>
    </row>
    <row r="16" spans="1:82">
      <c r="A16" s="32" t="str">
        <f t="shared" si="0"/>
        <v>LDU#</v>
      </c>
      <c r="B16" s="32" t="str">
        <f>"R["&amp;H16&amp;"] &lt;= "&amp;K16</f>
        <v>R[1] &lt;= 3</v>
      </c>
      <c r="C16" s="32" t="s">
        <v>231</v>
      </c>
      <c r="D16" s="42" t="str">
        <f t="shared" si="1"/>
        <v>B LDU R1,R0,3</v>
      </c>
      <c r="E16" s="37"/>
      <c r="F16" s="32" t="s">
        <v>233</v>
      </c>
      <c r="G16" s="32" t="str">
        <f>IF(K16&gt;=0,"LDU","LD")</f>
        <v>LDU</v>
      </c>
      <c r="H16" s="39">
        <v>1</v>
      </c>
      <c r="I16" s="39">
        <v>0</v>
      </c>
      <c r="J16" s="39" t="s">
        <v>231</v>
      </c>
      <c r="K16" s="40">
        <v>3</v>
      </c>
      <c r="L16" s="62" t="str">
        <f>RIGHT(DEC2HEX(K16,10),8)</f>
        <v>00000003</v>
      </c>
      <c r="M16" s="32">
        <f t="shared" si="2"/>
        <v>9</v>
      </c>
      <c r="N16" s="56"/>
      <c r="O16" s="32">
        <f t="shared" si="3"/>
        <v>0</v>
      </c>
      <c r="P16" s="53" t="str">
        <f>L16</f>
        <v>00000003</v>
      </c>
      <c r="Q16" s="39"/>
      <c r="R16" s="39"/>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44"/>
      <c r="AV16" s="54"/>
      <c r="AW16" s="54"/>
      <c r="AX16" s="54"/>
      <c r="AY16" s="54"/>
      <c r="AZ16" s="54"/>
      <c r="BA16" s="54"/>
      <c r="BB16" s="54"/>
      <c r="BC16" s="54"/>
      <c r="BD16" s="54"/>
      <c r="BE16" s="54"/>
      <c r="BF16" s="54"/>
      <c r="BG16" s="54"/>
      <c r="BH16" s="54"/>
      <c r="BI16" s="54"/>
      <c r="BJ16" s="54"/>
      <c r="BK16" s="54"/>
      <c r="BL16" s="54"/>
      <c r="BM16" s="54"/>
      <c r="BN16" s="54"/>
      <c r="BO16" s="54"/>
      <c r="BP16" s="54"/>
      <c r="BQ16" s="54"/>
      <c r="BR16" s="54"/>
      <c r="BS16" s="54"/>
      <c r="BT16" s="54"/>
      <c r="BU16" s="54"/>
      <c r="BV16" s="54"/>
      <c r="BW16" s="54"/>
      <c r="BX16" s="54"/>
      <c r="BY16" s="54"/>
      <c r="BZ16" s="54"/>
      <c r="CA16" s="54"/>
      <c r="CB16" s="54"/>
      <c r="CC16" s="54"/>
      <c r="CD16" s="54"/>
    </row>
    <row r="17" spans="1:82">
      <c r="A17" s="51" t="str">
        <f t="shared" si="0"/>
        <v>LDU#</v>
      </c>
      <c r="B17" s="32" t="str">
        <f>"R["&amp;H17&amp;"] &lt;= "&amp;K17</f>
        <v>R[2] &lt;= 9</v>
      </c>
      <c r="C17" s="32" t="s">
        <v>231</v>
      </c>
      <c r="D17" s="42" t="str">
        <f t="shared" si="1"/>
        <v>B LDU R2,R0,9</v>
      </c>
      <c r="E17" s="37"/>
      <c r="F17" s="32" t="s">
        <v>233</v>
      </c>
      <c r="G17" s="32" t="str">
        <f>IF(K17&gt;=0,"LDU","LD")</f>
        <v>LDU</v>
      </c>
      <c r="H17" s="39">
        <v>2</v>
      </c>
      <c r="I17" s="39">
        <v>0</v>
      </c>
      <c r="J17" s="39" t="s">
        <v>231</v>
      </c>
      <c r="K17" s="39">
        <v>9</v>
      </c>
      <c r="L17" s="55" t="str">
        <f>RIGHT(DEC2HEX(K17,10),8)</f>
        <v>00000009</v>
      </c>
      <c r="M17" s="32">
        <f t="shared" si="2"/>
        <v>10</v>
      </c>
      <c r="N17" s="56"/>
      <c r="O17" s="32">
        <f t="shared" si="3"/>
        <v>0</v>
      </c>
      <c r="P17" s="57" t="str">
        <f>P16</f>
        <v>00000003</v>
      </c>
      <c r="Q17" s="58" t="str">
        <f>L17</f>
        <v>00000009</v>
      </c>
      <c r="R17" s="39"/>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44"/>
      <c r="AV17" s="54"/>
      <c r="AW17" s="54"/>
      <c r="AX17" s="54"/>
      <c r="AY17" s="54"/>
      <c r="AZ17" s="54"/>
      <c r="BA17" s="54"/>
      <c r="BB17" s="54"/>
      <c r="BC17" s="54"/>
      <c r="BD17" s="54"/>
      <c r="BE17" s="54"/>
      <c r="BF17" s="54"/>
      <c r="BG17" s="54"/>
      <c r="BH17" s="54"/>
      <c r="BI17" s="54"/>
      <c r="BJ17" s="54"/>
      <c r="BK17" s="54"/>
      <c r="BL17" s="54"/>
      <c r="BM17" s="54"/>
      <c r="BN17" s="54"/>
      <c r="BO17" s="54"/>
      <c r="BP17" s="54"/>
      <c r="BQ17" s="54"/>
      <c r="BR17" s="54"/>
      <c r="BS17" s="54"/>
      <c r="BT17" s="54"/>
      <c r="BU17" s="54"/>
      <c r="BV17" s="54"/>
      <c r="BW17" s="54"/>
      <c r="BX17" s="54"/>
      <c r="BY17" s="54"/>
      <c r="BZ17" s="54"/>
      <c r="CA17" s="54"/>
      <c r="CB17" s="54"/>
      <c r="CC17" s="54"/>
      <c r="CD17" s="54"/>
    </row>
    <row r="18" spans="1:82" ht="31.5">
      <c r="A18" s="38" t="str">
        <f t="shared" si="0"/>
        <v>AND</v>
      </c>
      <c r="B18" s="32" t="str">
        <f>"R["&amp;H18&amp;"] &lt;= R["&amp;I18&amp;"] &amp; R["&amp;J18&amp;"]"</f>
        <v>R[3] &lt;= R[1] &amp; R[2]</v>
      </c>
      <c r="C18" s="32" t="s">
        <v>244</v>
      </c>
      <c r="D18" s="35" t="str">
        <f t="shared" si="1"/>
        <v>A AND R3,R1,R2</v>
      </c>
      <c r="E18" s="65"/>
      <c r="F18" s="30" t="s">
        <v>237</v>
      </c>
      <c r="G18" s="30" t="s">
        <v>17</v>
      </c>
      <c r="H18" s="66">
        <v>3</v>
      </c>
      <c r="I18" s="66">
        <v>1</v>
      </c>
      <c r="J18" s="66">
        <v>2</v>
      </c>
      <c r="K18" s="66" t="s">
        <v>231</v>
      </c>
      <c r="L18" s="59" t="s">
        <v>231</v>
      </c>
      <c r="M18" s="32">
        <f t="shared" si="2"/>
        <v>11</v>
      </c>
      <c r="N18" s="43"/>
      <c r="O18" s="32">
        <f t="shared" si="3"/>
        <v>0</v>
      </c>
      <c r="P18" s="57" t="str">
        <f>P17</f>
        <v>00000003</v>
      </c>
      <c r="Q18" s="39" t="str">
        <f>Q17</f>
        <v>00000009</v>
      </c>
      <c r="R18" s="60" t="e">
        <f ca="1">DEC2HEX(bitwise_and(HEX2DEC(P18),HEX2DEC(Q18)))</f>
        <v>#NAME?</v>
      </c>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44"/>
      <c r="AV18" s="54"/>
      <c r="AW18" s="54"/>
      <c r="AX18" s="54"/>
      <c r="AY18" s="54"/>
      <c r="AZ18" s="54"/>
      <c r="BA18" s="54"/>
      <c r="BB18" s="54"/>
      <c r="BC18" s="54"/>
      <c r="BD18" s="54"/>
      <c r="BE18" s="54"/>
      <c r="BF18" s="54"/>
      <c r="BG18" s="54"/>
      <c r="BH18" s="54"/>
      <c r="BI18" s="54"/>
      <c r="BJ18" s="54"/>
      <c r="BK18" s="54"/>
      <c r="BL18" s="54"/>
      <c r="BM18" s="54"/>
      <c r="BN18" s="54"/>
      <c r="BO18" s="54"/>
      <c r="BP18" s="54"/>
      <c r="BQ18" s="54"/>
      <c r="BR18" s="54"/>
      <c r="BS18" s="54"/>
      <c r="BT18" s="54"/>
      <c r="BU18" s="54"/>
      <c r="BV18" s="54"/>
      <c r="BW18" s="54"/>
      <c r="BX18" s="54"/>
      <c r="BY18" s="54"/>
      <c r="BZ18" s="54"/>
      <c r="CA18" s="54"/>
      <c r="CB18" s="54"/>
      <c r="CC18" s="54"/>
      <c r="CD18" s="54"/>
    </row>
    <row r="19" spans="1:82">
      <c r="A19" s="32" t="str">
        <f t="shared" si="0"/>
        <v>LDU#</v>
      </c>
      <c r="B19" s="32" t="str">
        <f>"R["&amp;H19&amp;"] &lt;= "&amp;K19</f>
        <v>R[1] &lt;= 9</v>
      </c>
      <c r="C19" s="32" t="s">
        <v>231</v>
      </c>
      <c r="D19" s="32" t="str">
        <f t="shared" si="1"/>
        <v>B LDU R1,R0,9</v>
      </c>
      <c r="E19" s="37"/>
      <c r="F19" s="32" t="s">
        <v>233</v>
      </c>
      <c r="G19" s="32" t="str">
        <f>IF(K19&gt;=0,"LDU","LD")</f>
        <v>LDU</v>
      </c>
      <c r="H19" s="39">
        <v>1</v>
      </c>
      <c r="I19" s="39">
        <v>0</v>
      </c>
      <c r="J19" s="39" t="s">
        <v>231</v>
      </c>
      <c r="K19" s="40">
        <v>9</v>
      </c>
      <c r="L19" s="62" t="str">
        <f>RIGHT(DEC2HEX(K19,10),8)</f>
        <v>00000009</v>
      </c>
      <c r="M19" s="32">
        <f t="shared" si="2"/>
        <v>12</v>
      </c>
      <c r="N19" s="56"/>
      <c r="O19" s="32">
        <f t="shared" si="3"/>
        <v>0</v>
      </c>
      <c r="P19" s="53" t="str">
        <f>L19</f>
        <v>00000009</v>
      </c>
      <c r="Q19" s="39"/>
      <c r="R19" s="39"/>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44"/>
      <c r="AV19" s="54"/>
      <c r="AW19" s="54"/>
      <c r="AX19" s="54"/>
      <c r="AY19" s="54"/>
      <c r="AZ19" s="54"/>
      <c r="BA19" s="54"/>
      <c r="BB19" s="54"/>
      <c r="BC19" s="54"/>
      <c r="BD19" s="54"/>
      <c r="BE19" s="54"/>
      <c r="BF19" s="54"/>
      <c r="BG19" s="54"/>
      <c r="BH19" s="54"/>
      <c r="BI19" s="54"/>
      <c r="BJ19" s="54"/>
      <c r="BK19" s="54"/>
      <c r="BL19" s="54"/>
      <c r="BM19" s="54"/>
      <c r="BN19" s="54"/>
      <c r="BO19" s="54"/>
      <c r="BP19" s="54"/>
      <c r="BQ19" s="54"/>
      <c r="BR19" s="54"/>
      <c r="BS19" s="54"/>
      <c r="BT19" s="54"/>
      <c r="BU19" s="54"/>
      <c r="BV19" s="54"/>
      <c r="BW19" s="54"/>
      <c r="BX19" s="54"/>
      <c r="BY19" s="54"/>
      <c r="BZ19" s="54"/>
      <c r="CA19" s="54"/>
      <c r="CB19" s="54"/>
      <c r="CC19" s="54"/>
      <c r="CD19" s="54"/>
    </row>
    <row r="20" spans="1:82">
      <c r="A20" s="51" t="str">
        <f t="shared" si="0"/>
        <v>LDU#</v>
      </c>
      <c r="B20" s="32" t="str">
        <f>"R["&amp;H20&amp;"] &lt;= "&amp;K20</f>
        <v>R[2] &lt;= 5</v>
      </c>
      <c r="C20" s="32" t="s">
        <v>231</v>
      </c>
      <c r="D20" s="32" t="str">
        <f t="shared" si="1"/>
        <v>B LDU R2,R0,5</v>
      </c>
      <c r="E20" s="37"/>
      <c r="F20" s="32" t="s">
        <v>233</v>
      </c>
      <c r="G20" s="32" t="str">
        <f>IF(K20&gt;=0,"LDU","LD")</f>
        <v>LDU</v>
      </c>
      <c r="H20" s="39">
        <v>2</v>
      </c>
      <c r="I20" s="39">
        <v>0</v>
      </c>
      <c r="J20" s="39" t="s">
        <v>231</v>
      </c>
      <c r="K20" s="39">
        <v>5</v>
      </c>
      <c r="L20" s="55" t="str">
        <f>RIGHT(DEC2HEX(K20,10),8)</f>
        <v>00000005</v>
      </c>
      <c r="M20" s="32">
        <f t="shared" si="2"/>
        <v>13</v>
      </c>
      <c r="N20" s="56"/>
      <c r="O20" s="32">
        <f t="shared" si="3"/>
        <v>0</v>
      </c>
      <c r="P20" s="57" t="str">
        <f>P19</f>
        <v>00000009</v>
      </c>
      <c r="Q20" s="58" t="str">
        <f>L20</f>
        <v>00000005</v>
      </c>
      <c r="R20" s="39"/>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44"/>
      <c r="AV20" s="54"/>
      <c r="AW20" s="54"/>
      <c r="AX20" s="54"/>
      <c r="AY20" s="54"/>
      <c r="AZ20" s="54"/>
      <c r="BA20" s="54"/>
      <c r="BB20" s="54"/>
      <c r="BC20" s="54"/>
      <c r="BD20" s="54"/>
      <c r="BE20" s="54"/>
      <c r="BF20" s="54"/>
      <c r="BG20" s="54"/>
      <c r="BH20" s="54"/>
      <c r="BI20" s="54"/>
      <c r="BJ20" s="54"/>
      <c r="BK20" s="54"/>
      <c r="BL20" s="54"/>
      <c r="BM20" s="54"/>
      <c r="BN20" s="54"/>
      <c r="BO20" s="54"/>
      <c r="BP20" s="54"/>
      <c r="BQ20" s="54"/>
      <c r="BR20" s="54"/>
      <c r="BS20" s="54"/>
      <c r="BT20" s="54"/>
      <c r="BU20" s="54"/>
      <c r="BV20" s="54"/>
      <c r="BW20" s="54"/>
      <c r="BX20" s="54"/>
      <c r="BY20" s="54"/>
      <c r="BZ20" s="54"/>
      <c r="CA20" s="54"/>
      <c r="CB20" s="54"/>
      <c r="CC20" s="54"/>
      <c r="CD20" s="54"/>
    </row>
    <row r="21" spans="1:82" ht="31.5">
      <c r="A21" s="38" t="str">
        <f t="shared" si="0"/>
        <v>OR</v>
      </c>
      <c r="B21" s="32" t="str">
        <f>"R["&amp;H21&amp;"] &lt;= R["&amp;I21&amp;"] | R["&amp;J21&amp;"]"</f>
        <v>R[3] &lt;= R[1] | R[2]</v>
      </c>
      <c r="C21" s="32" t="s">
        <v>245</v>
      </c>
      <c r="D21" s="32" t="str">
        <f t="shared" si="1"/>
        <v>A OR R3,R1,R2</v>
      </c>
      <c r="E21" s="37"/>
      <c r="F21" s="38" t="s">
        <v>237</v>
      </c>
      <c r="G21" s="38" t="s">
        <v>20</v>
      </c>
      <c r="H21" s="39">
        <v>3</v>
      </c>
      <c r="I21" s="39">
        <v>1</v>
      </c>
      <c r="J21" s="39">
        <v>2</v>
      </c>
      <c r="K21" s="39" t="s">
        <v>231</v>
      </c>
      <c r="L21" s="59" t="s">
        <v>231</v>
      </c>
      <c r="M21" s="32">
        <f t="shared" si="2"/>
        <v>14</v>
      </c>
      <c r="N21" s="43"/>
      <c r="O21" s="32">
        <f t="shared" si="3"/>
        <v>0</v>
      </c>
      <c r="P21" s="57" t="str">
        <f>P20</f>
        <v>00000009</v>
      </c>
      <c r="Q21" s="39" t="str">
        <f>Q20</f>
        <v>00000005</v>
      </c>
      <c r="R21" s="60" t="e">
        <f ca="1">DEC2HEX(bitwise_or(HEX2DEC(P21),HEX2DEC(Q21)))</f>
        <v>#NAME?</v>
      </c>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44"/>
      <c r="AV21" s="54"/>
      <c r="AW21" s="54"/>
      <c r="AX21" s="54"/>
      <c r="AY21" s="54"/>
      <c r="AZ21" s="54"/>
      <c r="BA21" s="54"/>
      <c r="BB21" s="54"/>
      <c r="BC21" s="54"/>
      <c r="BD21" s="54"/>
      <c r="BE21" s="54"/>
      <c r="BF21" s="54"/>
      <c r="BG21" s="54"/>
      <c r="BH21" s="54"/>
      <c r="BI21" s="54"/>
      <c r="BJ21" s="54"/>
      <c r="BK21" s="54"/>
      <c r="BL21" s="54"/>
      <c r="BM21" s="54"/>
      <c r="BN21" s="54"/>
      <c r="BO21" s="54"/>
      <c r="BP21" s="54"/>
      <c r="BQ21" s="54"/>
      <c r="BR21" s="54"/>
      <c r="BS21" s="54"/>
      <c r="BT21" s="54"/>
      <c r="BU21" s="54"/>
      <c r="BV21" s="54"/>
      <c r="BW21" s="54"/>
      <c r="BX21" s="54"/>
      <c r="BY21" s="54"/>
      <c r="BZ21" s="54"/>
      <c r="CA21" s="54"/>
      <c r="CB21" s="54"/>
      <c r="CC21" s="54"/>
      <c r="CD21" s="54"/>
    </row>
    <row r="22" spans="1:82">
      <c r="A22" s="32" t="str">
        <f t="shared" si="0"/>
        <v>LDU#</v>
      </c>
      <c r="B22" s="32" t="str">
        <f>"R["&amp;H22&amp;"] &lt;= "&amp;K22</f>
        <v>R[1] &lt;= 2</v>
      </c>
      <c r="C22" s="32" t="s">
        <v>231</v>
      </c>
      <c r="D22" s="32" t="str">
        <f t="shared" si="1"/>
        <v>B LDU R1,R0,2</v>
      </c>
      <c r="E22" s="37"/>
      <c r="F22" s="32" t="s">
        <v>233</v>
      </c>
      <c r="G22" s="32" t="str">
        <f>IF(K22&gt;=0,"LDU","LD")</f>
        <v>LDU</v>
      </c>
      <c r="H22" s="39">
        <v>1</v>
      </c>
      <c r="I22" s="39">
        <v>0</v>
      </c>
      <c r="J22" s="39" t="s">
        <v>231</v>
      </c>
      <c r="K22" s="40">
        <v>2</v>
      </c>
      <c r="L22" s="62" t="str">
        <f>RIGHT(DEC2HEX(K22,10),8)</f>
        <v>00000002</v>
      </c>
      <c r="M22" s="32">
        <f t="shared" si="2"/>
        <v>15</v>
      </c>
      <c r="N22" s="56"/>
      <c r="O22" s="32">
        <f t="shared" si="3"/>
        <v>0</v>
      </c>
      <c r="P22" s="53" t="str">
        <f>L22</f>
        <v>00000002</v>
      </c>
      <c r="Q22" s="39"/>
      <c r="R22" s="39"/>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44"/>
      <c r="AV22" s="54"/>
      <c r="AW22" s="54"/>
      <c r="AX22" s="54"/>
      <c r="AY22" s="54"/>
      <c r="AZ22" s="54"/>
      <c r="BA22" s="54"/>
      <c r="BB22" s="54"/>
      <c r="BC22" s="54"/>
      <c r="BD22" s="54"/>
      <c r="BE22" s="54"/>
      <c r="BF22" s="54"/>
      <c r="BG22" s="54"/>
      <c r="BH22" s="54"/>
      <c r="BI22" s="54"/>
      <c r="BJ22" s="54"/>
      <c r="BK22" s="54"/>
      <c r="BL22" s="54"/>
      <c r="BM22" s="54"/>
      <c r="BN22" s="54"/>
      <c r="BO22" s="54"/>
      <c r="BP22" s="54"/>
      <c r="BQ22" s="54"/>
      <c r="BR22" s="54"/>
      <c r="BS22" s="54"/>
      <c r="BT22" s="54"/>
      <c r="BU22" s="54"/>
      <c r="BV22" s="54"/>
      <c r="BW22" s="54"/>
      <c r="BX22" s="54"/>
      <c r="BY22" s="54"/>
      <c r="BZ22" s="54"/>
      <c r="CA22" s="54"/>
      <c r="CB22" s="54"/>
      <c r="CC22" s="54"/>
      <c r="CD22" s="54"/>
    </row>
    <row r="23" spans="1:82">
      <c r="A23" s="51" t="str">
        <f t="shared" si="0"/>
        <v>LDU#</v>
      </c>
      <c r="B23" s="32" t="str">
        <f>"R["&amp;H23&amp;"] &lt;= "&amp;K23</f>
        <v>R[2] &lt;= 9</v>
      </c>
      <c r="C23" s="32" t="s">
        <v>231</v>
      </c>
      <c r="D23" s="32" t="str">
        <f t="shared" si="1"/>
        <v>B LDU R2,R0,9</v>
      </c>
      <c r="E23" s="37"/>
      <c r="F23" s="32" t="s">
        <v>233</v>
      </c>
      <c r="G23" s="32" t="str">
        <f>IF(K23&gt;=0,"LDU","LD")</f>
        <v>LDU</v>
      </c>
      <c r="H23" s="39">
        <v>2</v>
      </c>
      <c r="I23" s="39">
        <v>0</v>
      </c>
      <c r="J23" s="39" t="s">
        <v>231</v>
      </c>
      <c r="K23" s="39">
        <v>9</v>
      </c>
      <c r="L23" s="55" t="str">
        <f>RIGHT(DEC2HEX(K23,10),8)</f>
        <v>00000009</v>
      </c>
      <c r="M23" s="32">
        <f t="shared" si="2"/>
        <v>16</v>
      </c>
      <c r="N23" s="56"/>
      <c r="O23" s="32">
        <f t="shared" si="3"/>
        <v>0</v>
      </c>
      <c r="P23" s="57" t="str">
        <f>P22</f>
        <v>00000002</v>
      </c>
      <c r="Q23" s="58" t="str">
        <f>L23</f>
        <v>00000009</v>
      </c>
      <c r="R23" s="39"/>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44"/>
      <c r="AV23" s="54"/>
      <c r="AW23" s="54"/>
      <c r="AX23" s="54"/>
      <c r="AY23" s="54"/>
      <c r="AZ23" s="54"/>
      <c r="BA23" s="54"/>
      <c r="BB23" s="54"/>
      <c r="BC23" s="54"/>
      <c r="BD23" s="54"/>
      <c r="BE23" s="54"/>
      <c r="BF23" s="54"/>
      <c r="BG23" s="54"/>
      <c r="BH23" s="54"/>
      <c r="BI23" s="54"/>
      <c r="BJ23" s="54"/>
      <c r="BK23" s="54"/>
      <c r="BL23" s="54"/>
      <c r="BM23" s="54"/>
      <c r="BN23" s="54"/>
      <c r="BO23" s="54"/>
      <c r="BP23" s="54"/>
      <c r="BQ23" s="54"/>
      <c r="BR23" s="54"/>
      <c r="BS23" s="54"/>
      <c r="BT23" s="54"/>
      <c r="BU23" s="54"/>
      <c r="BV23" s="54"/>
      <c r="BW23" s="54"/>
      <c r="BX23" s="54"/>
      <c r="BY23" s="54"/>
      <c r="BZ23" s="54"/>
      <c r="CA23" s="54"/>
      <c r="CB23" s="54"/>
      <c r="CC23" s="54"/>
      <c r="CD23" s="54"/>
    </row>
    <row r="24" spans="1:82" ht="31.5">
      <c r="A24" s="38" t="str">
        <f t="shared" si="0"/>
        <v>XOR</v>
      </c>
      <c r="B24" s="32" t="str">
        <f>"R["&amp;H24&amp;"] &lt;= XOR(R["&amp;I24&amp;"] , R["&amp;J24&amp;"])"</f>
        <v>R[3] &lt;= XOR(R[1] , R[2])</v>
      </c>
      <c r="C24" s="32" t="s">
        <v>246</v>
      </c>
      <c r="D24" s="32" t="str">
        <f t="shared" si="1"/>
        <v>A XOR R3,R1,R2</v>
      </c>
      <c r="E24" s="37"/>
      <c r="F24" s="38" t="s">
        <v>237</v>
      </c>
      <c r="G24" s="38" t="s">
        <v>26</v>
      </c>
      <c r="H24" s="39">
        <v>3</v>
      </c>
      <c r="I24" s="39">
        <v>1</v>
      </c>
      <c r="J24" s="39">
        <v>2</v>
      </c>
      <c r="K24" s="39" t="s">
        <v>231</v>
      </c>
      <c r="L24" s="59" t="s">
        <v>231</v>
      </c>
      <c r="M24" s="32">
        <f t="shared" si="2"/>
        <v>17</v>
      </c>
      <c r="N24" s="43"/>
      <c r="O24" s="32">
        <f t="shared" si="3"/>
        <v>0</v>
      </c>
      <c r="P24" s="57" t="str">
        <f>P23</f>
        <v>00000002</v>
      </c>
      <c r="Q24" s="39" t="str">
        <f>Q23</f>
        <v>00000009</v>
      </c>
      <c r="R24" s="60" t="e">
        <f ca="1">DEC2HEX(bitwise_xor(HEX2DEC(P24),HEX2DEC(Q24)))</f>
        <v>#NAME?</v>
      </c>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44"/>
      <c r="AV24" s="54"/>
      <c r="AW24" s="54"/>
      <c r="AX24" s="54"/>
      <c r="AY24" s="54"/>
      <c r="AZ24" s="54"/>
      <c r="BA24" s="54"/>
      <c r="BB24" s="54"/>
      <c r="BC24" s="54"/>
      <c r="BD24" s="54"/>
      <c r="BE24" s="54"/>
      <c r="BF24" s="54"/>
      <c r="BG24" s="54"/>
      <c r="BH24" s="54"/>
      <c r="BI24" s="54"/>
      <c r="BJ24" s="54"/>
      <c r="BK24" s="54"/>
      <c r="BL24" s="54"/>
      <c r="BM24" s="54"/>
      <c r="BN24" s="54"/>
      <c r="BO24" s="54"/>
      <c r="BP24" s="54"/>
      <c r="BQ24" s="54"/>
      <c r="BR24" s="54"/>
      <c r="BS24" s="54"/>
      <c r="BT24" s="54"/>
      <c r="BU24" s="54"/>
      <c r="BV24" s="54"/>
      <c r="BW24" s="54"/>
      <c r="BX24" s="54"/>
      <c r="BY24" s="54"/>
      <c r="BZ24" s="54"/>
      <c r="CA24" s="54"/>
      <c r="CB24" s="54"/>
      <c r="CC24" s="54"/>
      <c r="CD24" s="54"/>
    </row>
    <row r="25" spans="1:82">
      <c r="A25" s="32" t="str">
        <f t="shared" si="0"/>
        <v>LDU#</v>
      </c>
      <c r="B25" s="32" t="str">
        <f>"R["&amp;H25&amp;"] &lt;= "&amp;K25</f>
        <v>R[1] &lt;= 2</v>
      </c>
      <c r="C25" s="32" t="s">
        <v>231</v>
      </c>
      <c r="D25" s="32" t="str">
        <f t="shared" si="1"/>
        <v>B LDU R1,R0,2</v>
      </c>
      <c r="E25" s="37"/>
      <c r="F25" s="32" t="s">
        <v>233</v>
      </c>
      <c r="G25" s="32" t="str">
        <f>IF(K25&gt;=0,"LDU","LD")</f>
        <v>LDU</v>
      </c>
      <c r="H25" s="39">
        <v>1</v>
      </c>
      <c r="I25" s="39">
        <v>0</v>
      </c>
      <c r="J25" s="39" t="s">
        <v>231</v>
      </c>
      <c r="K25" s="40">
        <v>2</v>
      </c>
      <c r="L25" s="62" t="str">
        <f>RIGHT(DEC2HEX(K25,10),8)</f>
        <v>00000002</v>
      </c>
      <c r="M25" s="32">
        <f t="shared" si="2"/>
        <v>18</v>
      </c>
      <c r="N25" s="56"/>
      <c r="O25" s="32">
        <f t="shared" si="3"/>
        <v>0</v>
      </c>
      <c r="P25" s="53" t="str">
        <f>L25</f>
        <v>00000002</v>
      </c>
      <c r="Q25" s="39"/>
      <c r="R25" s="39"/>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44"/>
      <c r="AV25" s="54"/>
      <c r="AW25" s="54"/>
      <c r="AX25" s="54"/>
      <c r="AY25" s="54"/>
      <c r="AZ25" s="54"/>
      <c r="BA25" s="54"/>
      <c r="BB25" s="54"/>
      <c r="BC25" s="54"/>
      <c r="BD25" s="54"/>
      <c r="BE25" s="54"/>
      <c r="BF25" s="54"/>
      <c r="BG25" s="54"/>
      <c r="BH25" s="54"/>
      <c r="BI25" s="54"/>
      <c r="BJ25" s="54"/>
      <c r="BK25" s="54"/>
      <c r="BL25" s="54"/>
      <c r="BM25" s="54"/>
      <c r="BN25" s="54"/>
      <c r="BO25" s="54"/>
      <c r="BP25" s="54"/>
      <c r="BQ25" s="54"/>
      <c r="BR25" s="54"/>
      <c r="BS25" s="54"/>
      <c r="BT25" s="54"/>
      <c r="BU25" s="54"/>
      <c r="BV25" s="54"/>
      <c r="BW25" s="54"/>
      <c r="BX25" s="54"/>
      <c r="BY25" s="54"/>
      <c r="BZ25" s="54"/>
      <c r="CA25" s="54"/>
      <c r="CB25" s="54"/>
      <c r="CC25" s="54"/>
      <c r="CD25" s="54"/>
    </row>
    <row r="26" spans="1:82">
      <c r="A26" s="51" t="str">
        <f t="shared" si="0"/>
        <v>LDU#</v>
      </c>
      <c r="B26" s="32" t="str">
        <f>"R["&amp;H26&amp;"] &lt;= "&amp;K26</f>
        <v>R[2] &lt;= 0</v>
      </c>
      <c r="C26" s="32" t="s">
        <v>231</v>
      </c>
      <c r="D26" s="32" t="str">
        <f t="shared" si="1"/>
        <v>B LDU R2,R0,0</v>
      </c>
      <c r="E26" s="37"/>
      <c r="F26" s="32" t="s">
        <v>233</v>
      </c>
      <c r="G26" s="32" t="str">
        <f>IF(K26&gt;=0,"LDU","LD")</f>
        <v>LDU</v>
      </c>
      <c r="H26" s="39">
        <v>2</v>
      </c>
      <c r="I26" s="39">
        <v>0</v>
      </c>
      <c r="J26" s="39" t="s">
        <v>231</v>
      </c>
      <c r="K26" s="39">
        <v>0</v>
      </c>
      <c r="L26" s="55" t="str">
        <f>RIGHT(DEC2HEX(K26,10),8)</f>
        <v>00000000</v>
      </c>
      <c r="M26" s="32">
        <f t="shared" si="2"/>
        <v>19</v>
      </c>
      <c r="N26" s="56"/>
      <c r="O26" s="32">
        <f t="shared" si="3"/>
        <v>0</v>
      </c>
      <c r="P26" s="57" t="str">
        <f>P25</f>
        <v>00000002</v>
      </c>
      <c r="Q26" s="58" t="str">
        <f>L26</f>
        <v>00000000</v>
      </c>
      <c r="R26" s="39"/>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44"/>
      <c r="AV26" s="27"/>
      <c r="AW26" s="27"/>
      <c r="AX26" s="27"/>
      <c r="AY26" s="27"/>
      <c r="AZ26" s="27"/>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row>
    <row r="27" spans="1:82" ht="78.75">
      <c r="A27" s="38" t="str">
        <f t="shared" si="0"/>
        <v>COMP</v>
      </c>
      <c r="B27" s="32" t="str">
        <f>"R["&amp;H27&amp;"] &lt;= -R["&amp;I27&amp;"] -1"</f>
        <v>R[3] &lt;= -R[1] -1</v>
      </c>
      <c r="C27" s="32" t="s">
        <v>247</v>
      </c>
      <c r="D27" s="32" t="str">
        <f t="shared" si="1"/>
        <v>A COMP R3,R1,R0</v>
      </c>
      <c r="E27" s="37"/>
      <c r="F27" s="38" t="s">
        <v>237</v>
      </c>
      <c r="G27" s="38" t="s">
        <v>29</v>
      </c>
      <c r="H27" s="39">
        <v>3</v>
      </c>
      <c r="I27" s="39">
        <v>1</v>
      </c>
      <c r="J27" s="39">
        <v>0</v>
      </c>
      <c r="K27" s="39" t="s">
        <v>231</v>
      </c>
      <c r="L27" s="59" t="s">
        <v>231</v>
      </c>
      <c r="M27" s="32">
        <f t="shared" si="2"/>
        <v>20</v>
      </c>
      <c r="N27" s="43"/>
      <c r="O27" s="32">
        <f t="shared" si="3"/>
        <v>0</v>
      </c>
      <c r="P27" s="57" t="str">
        <f>P26</f>
        <v>00000002</v>
      </c>
      <c r="Q27" s="39" t="str">
        <f t="shared" ref="Q27:Q50" si="4">Q26</f>
        <v>00000000</v>
      </c>
      <c r="R27" s="60" t="str">
        <f>DEC2HEX(-HEX2DEC(P27)-1)</f>
        <v>FFFFFFFFFD</v>
      </c>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44"/>
      <c r="AV27" s="27"/>
      <c r="AW27" s="27"/>
      <c r="AX27" s="27"/>
      <c r="AY27" s="27"/>
      <c r="AZ27" s="27"/>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c r="BY27" s="27"/>
      <c r="BZ27" s="27"/>
      <c r="CA27" s="27"/>
      <c r="CB27" s="27"/>
      <c r="CC27" s="27"/>
      <c r="CD27" s="27"/>
    </row>
    <row r="28" spans="1:82">
      <c r="A28" s="32" t="str">
        <f t="shared" si="0"/>
        <v>LD#</v>
      </c>
      <c r="B28" s="32" t="str">
        <f>"R["&amp;H28&amp;"] &lt;= "&amp;K28</f>
        <v>R[1] &lt;= -7</v>
      </c>
      <c r="C28" s="32" t="s">
        <v>231</v>
      </c>
      <c r="D28" s="32" t="str">
        <f t="shared" si="1"/>
        <v>B LD R1,R0,-7</v>
      </c>
      <c r="E28" s="37"/>
      <c r="F28" s="32" t="s">
        <v>233</v>
      </c>
      <c r="G28" s="32" t="str">
        <f>IF(K28&gt;=0,"LDU","LD")</f>
        <v>LD</v>
      </c>
      <c r="H28" s="39">
        <v>1</v>
      </c>
      <c r="I28" s="39">
        <v>0</v>
      </c>
      <c r="J28" s="39" t="s">
        <v>231</v>
      </c>
      <c r="K28" s="40">
        <v>-7</v>
      </c>
      <c r="L28" s="62" t="str">
        <f>RIGHT(DEC2HEX(K28,10),8)</f>
        <v>FFFFFFF9</v>
      </c>
      <c r="M28" s="32">
        <f t="shared" si="2"/>
        <v>21</v>
      </c>
      <c r="N28" s="56"/>
      <c r="O28" s="32">
        <f t="shared" si="3"/>
        <v>0</v>
      </c>
      <c r="P28" s="53" t="str">
        <f>L28</f>
        <v>FFFFFFF9</v>
      </c>
      <c r="Q28" s="39" t="str">
        <f t="shared" si="4"/>
        <v>00000000</v>
      </c>
      <c r="R28" s="39"/>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44"/>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c r="BZ28" s="27"/>
      <c r="CA28" s="27"/>
      <c r="CB28" s="27"/>
      <c r="CC28" s="27"/>
      <c r="CD28" s="27"/>
    </row>
    <row r="29" spans="1:82" ht="31.5">
      <c r="A29" s="67" t="str">
        <f t="shared" si="0"/>
        <v>LSL</v>
      </c>
      <c r="B29" s="32" t="str">
        <f>"R["&amp;H29&amp;"] &lt;=   R["&amp;I29&amp;"] &lt;&lt;"</f>
        <v>R[3] &lt;=   R[1] &lt;&lt;</v>
      </c>
      <c r="C29" s="32" t="s">
        <v>248</v>
      </c>
      <c r="D29" s="32" t="str">
        <f t="shared" si="1"/>
        <v>A LSL R3,R1,R0</v>
      </c>
      <c r="E29" s="37"/>
      <c r="F29" s="38" t="s">
        <v>237</v>
      </c>
      <c r="G29" s="38" t="s">
        <v>42</v>
      </c>
      <c r="H29" s="39">
        <v>3</v>
      </c>
      <c r="I29" s="39">
        <v>1</v>
      </c>
      <c r="J29" s="39">
        <v>0</v>
      </c>
      <c r="K29" s="39" t="s">
        <v>231</v>
      </c>
      <c r="L29" s="59" t="s">
        <v>231</v>
      </c>
      <c r="M29" s="32">
        <f t="shared" si="2"/>
        <v>22</v>
      </c>
      <c r="N29" s="43"/>
      <c r="O29" s="32">
        <f t="shared" si="3"/>
        <v>0</v>
      </c>
      <c r="P29" s="57" t="str">
        <f>P28</f>
        <v>FFFFFFF9</v>
      </c>
      <c r="Q29" s="39" t="str">
        <f t="shared" si="4"/>
        <v>00000000</v>
      </c>
      <c r="R29" s="68" t="e">
        <f ca="1">DEC2HEX(logicalshiftleft(ABS(P29),1))</f>
        <v>#NAME?</v>
      </c>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44"/>
      <c r="AV29" s="27"/>
      <c r="AW29" s="27"/>
      <c r="AX29" s="27"/>
      <c r="AY29" s="27"/>
      <c r="AZ29" s="27"/>
      <c r="BA29" s="27"/>
      <c r="BB29" s="27"/>
      <c r="BC29" s="27"/>
      <c r="BD29" s="27"/>
      <c r="BE29" s="27"/>
      <c r="BF29" s="27"/>
      <c r="BG29" s="27"/>
      <c r="BH29" s="27"/>
      <c r="BI29" s="27"/>
      <c r="BJ29" s="27"/>
      <c r="BK29" s="27"/>
      <c r="BL29" s="27"/>
      <c r="BM29" s="27"/>
      <c r="BN29" s="27"/>
      <c r="BO29" s="27"/>
      <c r="BP29" s="27"/>
      <c r="BQ29" s="27"/>
      <c r="BR29" s="27"/>
      <c r="BS29" s="27"/>
      <c r="BT29" s="27"/>
      <c r="BU29" s="27"/>
      <c r="BV29" s="27"/>
      <c r="BW29" s="27"/>
      <c r="BX29" s="27"/>
      <c r="BY29" s="27"/>
      <c r="BZ29" s="27"/>
      <c r="CA29" s="27"/>
      <c r="CB29" s="27"/>
      <c r="CC29" s="27"/>
      <c r="CD29" s="27"/>
    </row>
    <row r="30" spans="1:82">
      <c r="A30" s="32" t="str">
        <f t="shared" si="0"/>
        <v>LD#</v>
      </c>
      <c r="B30" s="32" t="str">
        <f>"R["&amp;H30&amp;"] &lt;= "&amp;K30</f>
        <v>R[1] &lt;= -10</v>
      </c>
      <c r="C30" s="32" t="s">
        <v>231</v>
      </c>
      <c r="D30" s="32" t="str">
        <f t="shared" si="1"/>
        <v>B LD R1,R0,-10</v>
      </c>
      <c r="E30" s="37"/>
      <c r="F30" s="32" t="s">
        <v>233</v>
      </c>
      <c r="G30" s="32" t="str">
        <f>IF(K30&gt;=0,"LDU","LD")</f>
        <v>LD</v>
      </c>
      <c r="H30" s="39">
        <v>1</v>
      </c>
      <c r="I30" s="39">
        <v>0</v>
      </c>
      <c r="J30" s="39" t="s">
        <v>231</v>
      </c>
      <c r="K30" s="40">
        <v>-10</v>
      </c>
      <c r="L30" s="62" t="str">
        <f>RIGHT(DEC2HEX(K30,10),8)</f>
        <v>FFFFFFF6</v>
      </c>
      <c r="M30" s="32">
        <f t="shared" si="2"/>
        <v>23</v>
      </c>
      <c r="N30" s="56"/>
      <c r="O30" s="32">
        <f t="shared" si="3"/>
        <v>0</v>
      </c>
      <c r="P30" s="53" t="str">
        <f>L30</f>
        <v>FFFFFFF6</v>
      </c>
      <c r="Q30" s="39" t="str">
        <f t="shared" si="4"/>
        <v>00000000</v>
      </c>
      <c r="R30" s="39"/>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44"/>
      <c r="AV30" s="27"/>
      <c r="AW30" s="27"/>
      <c r="AX30" s="27"/>
      <c r="AY30" s="27"/>
      <c r="AZ30" s="27"/>
      <c r="BA30" s="27"/>
      <c r="BB30" s="27"/>
      <c r="BC30" s="27"/>
      <c r="BD30" s="27"/>
      <c r="BE30" s="27"/>
      <c r="BF30" s="27"/>
      <c r="BG30" s="27"/>
      <c r="BH30" s="27"/>
      <c r="BI30" s="27"/>
      <c r="BJ30" s="27"/>
      <c r="BK30" s="27"/>
      <c r="BL30" s="27"/>
      <c r="BM30" s="27"/>
      <c r="BN30" s="27"/>
      <c r="BO30" s="27"/>
      <c r="BP30" s="27"/>
      <c r="BQ30" s="27"/>
      <c r="BR30" s="27"/>
      <c r="BS30" s="27"/>
      <c r="BT30" s="27"/>
      <c r="BU30" s="27"/>
      <c r="BV30" s="27"/>
      <c r="BW30" s="27"/>
      <c r="BX30" s="27"/>
      <c r="BY30" s="27"/>
      <c r="BZ30" s="27"/>
      <c r="CA30" s="27"/>
      <c r="CB30" s="27"/>
      <c r="CC30" s="27"/>
      <c r="CD30" s="27"/>
    </row>
    <row r="31" spans="1:82" ht="47.25">
      <c r="A31" s="67" t="str">
        <f t="shared" si="0"/>
        <v>LSR</v>
      </c>
      <c r="B31" s="32" t="str">
        <f>"R["&amp;H31&amp;"] &lt;=  &gt;&gt; R["&amp;I31&amp;"]"</f>
        <v>R[3] &lt;=  &gt;&gt; R[1]</v>
      </c>
      <c r="C31" s="32" t="s">
        <v>249</v>
      </c>
      <c r="D31" s="32" t="str">
        <f t="shared" si="1"/>
        <v>A LSR R3,R1,R2</v>
      </c>
      <c r="E31" s="37"/>
      <c r="F31" s="38" t="s">
        <v>237</v>
      </c>
      <c r="G31" s="38" t="s">
        <v>34</v>
      </c>
      <c r="H31" s="39">
        <v>3</v>
      </c>
      <c r="I31" s="39">
        <v>1</v>
      </c>
      <c r="J31" s="39">
        <v>2</v>
      </c>
      <c r="K31" s="39" t="s">
        <v>231</v>
      </c>
      <c r="L31" s="59" t="s">
        <v>231</v>
      </c>
      <c r="M31" s="32">
        <f t="shared" si="2"/>
        <v>24</v>
      </c>
      <c r="N31" s="43"/>
      <c r="O31" s="32">
        <f t="shared" si="3"/>
        <v>0</v>
      </c>
      <c r="P31" s="57" t="str">
        <f>P30</f>
        <v>FFFFFFF6</v>
      </c>
      <c r="Q31" s="39" t="str">
        <f t="shared" si="4"/>
        <v>00000000</v>
      </c>
      <c r="R31" s="68" t="e">
        <f ca="1">DEC2HEX(logicalshiftright(K30,1))</f>
        <v>#NAME?</v>
      </c>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44"/>
      <c r="AV31" s="27"/>
      <c r="AW31" s="27"/>
      <c r="AX31" s="27"/>
      <c r="AY31" s="27"/>
      <c r="AZ31" s="27"/>
      <c r="BA31" s="27"/>
      <c r="BB31" s="27"/>
      <c r="BC31" s="27"/>
      <c r="BD31" s="27"/>
      <c r="BE31" s="27"/>
      <c r="BF31" s="27"/>
      <c r="BG31" s="27"/>
      <c r="BH31" s="27"/>
      <c r="BI31" s="27"/>
      <c r="BJ31" s="27"/>
      <c r="BK31" s="27"/>
      <c r="BL31" s="27"/>
      <c r="BM31" s="27"/>
      <c r="BN31" s="27"/>
      <c r="BO31" s="27"/>
      <c r="BP31" s="27"/>
      <c r="BQ31" s="27"/>
      <c r="BR31" s="27"/>
      <c r="BS31" s="27"/>
      <c r="BT31" s="27"/>
      <c r="BU31" s="27"/>
      <c r="BV31" s="27"/>
      <c r="BW31" s="27"/>
      <c r="BX31" s="27"/>
      <c r="BY31" s="27"/>
      <c r="BZ31" s="27"/>
      <c r="CA31" s="27"/>
      <c r="CB31" s="27"/>
      <c r="CC31" s="27"/>
      <c r="CD31" s="27"/>
    </row>
    <row r="32" spans="1:82">
      <c r="A32" s="32" t="str">
        <f t="shared" si="0"/>
        <v>LD#</v>
      </c>
      <c r="B32" s="32" t="str">
        <f>"R["&amp;H32&amp;"] &lt;= "&amp;K32</f>
        <v>R[1] &lt;= -7</v>
      </c>
      <c r="C32" s="32" t="s">
        <v>231</v>
      </c>
      <c r="D32" s="32" t="str">
        <f t="shared" si="1"/>
        <v>B LD R1,R0,-7</v>
      </c>
      <c r="E32" s="37"/>
      <c r="F32" s="32" t="s">
        <v>233</v>
      </c>
      <c r="G32" s="32" t="str">
        <f>IF(K32&gt;=0,"LDU","LD")</f>
        <v>LD</v>
      </c>
      <c r="H32" s="39">
        <v>1</v>
      </c>
      <c r="I32" s="39">
        <v>0</v>
      </c>
      <c r="J32" s="39" t="s">
        <v>231</v>
      </c>
      <c r="K32" s="40">
        <v>-7</v>
      </c>
      <c r="L32" s="62" t="str">
        <f>RIGHT(DEC2HEX(K32,10),8)</f>
        <v>FFFFFFF9</v>
      </c>
      <c r="M32" s="32">
        <f t="shared" si="2"/>
        <v>25</v>
      </c>
      <c r="N32" s="56"/>
      <c r="O32" s="32">
        <f t="shared" si="3"/>
        <v>0</v>
      </c>
      <c r="P32" s="53" t="str">
        <f>L32</f>
        <v>FFFFFFF9</v>
      </c>
      <c r="Q32" s="39" t="str">
        <f t="shared" si="4"/>
        <v>00000000</v>
      </c>
      <c r="R32" s="39"/>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44"/>
      <c r="AV32" s="27"/>
      <c r="AW32" s="27"/>
      <c r="AX32" s="27"/>
      <c r="AY32" s="27"/>
      <c r="AZ32" s="27"/>
      <c r="BA32" s="27"/>
      <c r="BB32" s="27"/>
      <c r="BC32" s="27"/>
      <c r="BD32" s="27"/>
      <c r="BE32" s="27"/>
      <c r="BF32" s="27"/>
      <c r="BG32" s="27"/>
      <c r="BH32" s="27"/>
      <c r="BI32" s="27"/>
      <c r="BJ32" s="27"/>
      <c r="BK32" s="27"/>
      <c r="BL32" s="27"/>
      <c r="BM32" s="27"/>
      <c r="BN32" s="27"/>
      <c r="BO32" s="27"/>
      <c r="BP32" s="27"/>
      <c r="BQ32" s="27"/>
      <c r="BR32" s="27"/>
      <c r="BS32" s="27"/>
      <c r="BT32" s="27"/>
      <c r="BU32" s="27"/>
      <c r="BV32" s="27"/>
      <c r="BW32" s="27"/>
      <c r="BX32" s="27"/>
      <c r="BY32" s="27"/>
      <c r="BZ32" s="27"/>
      <c r="CA32" s="27"/>
      <c r="CB32" s="27"/>
      <c r="CC32" s="27"/>
      <c r="CD32" s="27"/>
    </row>
    <row r="33" spans="1:82" ht="47.25">
      <c r="A33" s="67" t="str">
        <f t="shared" si="0"/>
        <v>ASL</v>
      </c>
      <c r="B33" s="32" t="str">
        <f>"R["&amp;H33&amp;"] &lt;=  R["&amp;I33&amp;"]  &lt;&lt;&lt; "</f>
        <v xml:space="preserve">R[3] &lt;=  R[1]  &lt;&lt;&lt; </v>
      </c>
      <c r="C33" s="32" t="s">
        <v>250</v>
      </c>
      <c r="D33" s="32" t="str">
        <f t="shared" si="1"/>
        <v>A ASL R3,R1,R0</v>
      </c>
      <c r="E33" s="37"/>
      <c r="F33" s="38" t="s">
        <v>237</v>
      </c>
      <c r="G33" s="38" t="s">
        <v>44</v>
      </c>
      <c r="H33" s="39">
        <v>3</v>
      </c>
      <c r="I33" s="39">
        <v>1</v>
      </c>
      <c r="J33" s="39">
        <v>0</v>
      </c>
      <c r="K33" s="39" t="s">
        <v>231</v>
      </c>
      <c r="L33" s="59" t="s">
        <v>231</v>
      </c>
      <c r="M33" s="32">
        <f t="shared" si="2"/>
        <v>26</v>
      </c>
      <c r="N33" s="43"/>
      <c r="O33" s="32">
        <f t="shared" si="3"/>
        <v>0</v>
      </c>
      <c r="P33" s="57" t="str">
        <f>P32</f>
        <v>FFFFFFF9</v>
      </c>
      <c r="Q33" s="39" t="str">
        <f t="shared" si="4"/>
        <v>00000000</v>
      </c>
      <c r="R33" s="68" t="e">
        <f ca="1">DEC2HEX(arithmeticalshiftleft(K32,1))</f>
        <v>#NAME?</v>
      </c>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44"/>
      <c r="AV33" s="27"/>
      <c r="AW33" s="27"/>
      <c r="AX33" s="27"/>
      <c r="AY33" s="27"/>
      <c r="AZ33" s="27"/>
      <c r="BA33" s="27"/>
      <c r="BB33" s="27"/>
      <c r="BC33" s="27"/>
      <c r="BD33" s="27"/>
      <c r="BE33" s="27"/>
      <c r="BF33" s="27"/>
      <c r="BG33" s="27"/>
      <c r="BH33" s="27"/>
      <c r="BI33" s="27"/>
      <c r="BJ33" s="27"/>
      <c r="BK33" s="27"/>
      <c r="BL33" s="27"/>
      <c r="BM33" s="27"/>
      <c r="BN33" s="27"/>
      <c r="BO33" s="27"/>
      <c r="BP33" s="27"/>
      <c r="BQ33" s="27"/>
      <c r="BR33" s="27"/>
      <c r="BS33" s="27"/>
      <c r="BT33" s="27"/>
      <c r="BU33" s="27"/>
      <c r="BV33" s="27"/>
      <c r="BW33" s="27"/>
      <c r="BX33" s="27"/>
      <c r="BY33" s="27"/>
      <c r="BZ33" s="27"/>
      <c r="CA33" s="27"/>
      <c r="CB33" s="27"/>
      <c r="CC33" s="27"/>
      <c r="CD33" s="27"/>
    </row>
    <row r="34" spans="1:82">
      <c r="A34" s="32" t="str">
        <f t="shared" si="0"/>
        <v>LD#</v>
      </c>
      <c r="B34" s="32" t="str">
        <f>"R["&amp;H34&amp;"] &lt;= "&amp;K34</f>
        <v>R[1] &lt;= -5</v>
      </c>
      <c r="C34" s="32" t="s">
        <v>231</v>
      </c>
      <c r="D34" s="32" t="str">
        <f t="shared" si="1"/>
        <v>B LD R1,R0,-5</v>
      </c>
      <c r="E34" s="37"/>
      <c r="F34" s="32" t="s">
        <v>233</v>
      </c>
      <c r="G34" s="32" t="str">
        <f>IF(K34&gt;=0,"LDU","LD")</f>
        <v>LD</v>
      </c>
      <c r="H34" s="39">
        <v>1</v>
      </c>
      <c r="I34" s="39">
        <v>0</v>
      </c>
      <c r="J34" s="39" t="s">
        <v>231</v>
      </c>
      <c r="K34" s="40">
        <v>-5</v>
      </c>
      <c r="L34" s="62" t="str">
        <f>RIGHT(DEC2HEX(K34,10),8)</f>
        <v>FFFFFFFB</v>
      </c>
      <c r="M34" s="32">
        <f t="shared" si="2"/>
        <v>27</v>
      </c>
      <c r="N34" s="56"/>
      <c r="O34" s="32">
        <f t="shared" si="3"/>
        <v>0</v>
      </c>
      <c r="P34" s="53" t="str">
        <f>L34</f>
        <v>FFFFFFFB</v>
      </c>
      <c r="Q34" s="39" t="str">
        <f t="shared" si="4"/>
        <v>00000000</v>
      </c>
      <c r="R34" s="39"/>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44"/>
      <c r="AV34" s="27"/>
      <c r="AW34" s="27"/>
      <c r="AX34" s="27"/>
      <c r="AY34" s="27"/>
      <c r="AZ34" s="27"/>
      <c r="BA34" s="27"/>
      <c r="BB34" s="27"/>
      <c r="BC34" s="27"/>
      <c r="BD34" s="27"/>
      <c r="BE34" s="27"/>
      <c r="BF34" s="27"/>
      <c r="BG34" s="27"/>
      <c r="BH34" s="27"/>
      <c r="BI34" s="27"/>
      <c r="BJ34" s="27"/>
      <c r="BK34" s="27"/>
      <c r="BL34" s="27"/>
      <c r="BM34" s="27"/>
      <c r="BN34" s="27"/>
      <c r="BO34" s="27"/>
      <c r="BP34" s="27"/>
      <c r="BQ34" s="27"/>
      <c r="BR34" s="27"/>
      <c r="BS34" s="27"/>
      <c r="BT34" s="27"/>
      <c r="BU34" s="27"/>
      <c r="BV34" s="27"/>
      <c r="BW34" s="27"/>
      <c r="BX34" s="27"/>
      <c r="BY34" s="27"/>
      <c r="BZ34" s="27"/>
      <c r="CA34" s="27"/>
      <c r="CB34" s="27"/>
      <c r="CC34" s="27"/>
      <c r="CD34" s="27"/>
    </row>
    <row r="35" spans="1:82" ht="47.25">
      <c r="A35" s="67" t="str">
        <f t="shared" si="0"/>
        <v>ASR</v>
      </c>
      <c r="B35" s="32" t="str">
        <f>"R["&amp;H35&amp;"] &lt;=  &gt;&gt;&gt; R["&amp;I35&amp;"]"</f>
        <v>R[3] &lt;=  &gt;&gt;&gt; R[1]</v>
      </c>
      <c r="C35" s="32" t="s">
        <v>251</v>
      </c>
      <c r="D35" s="32" t="str">
        <f t="shared" si="1"/>
        <v>A ASR R3,R1,R2</v>
      </c>
      <c r="E35" s="37"/>
      <c r="F35" s="38" t="s">
        <v>237</v>
      </c>
      <c r="G35" s="38" t="s">
        <v>38</v>
      </c>
      <c r="H35" s="39">
        <v>3</v>
      </c>
      <c r="I35" s="39">
        <v>1</v>
      </c>
      <c r="J35" s="39">
        <v>2</v>
      </c>
      <c r="K35" s="39" t="s">
        <v>231</v>
      </c>
      <c r="L35" s="59" t="s">
        <v>231</v>
      </c>
      <c r="M35" s="32">
        <f t="shared" si="2"/>
        <v>28</v>
      </c>
      <c r="N35" s="43"/>
      <c r="O35" s="32">
        <f t="shared" si="3"/>
        <v>0</v>
      </c>
      <c r="P35" s="57" t="str">
        <f>P34</f>
        <v>FFFFFFFB</v>
      </c>
      <c r="Q35" s="39" t="str">
        <f t="shared" si="4"/>
        <v>00000000</v>
      </c>
      <c r="R35" s="68" t="e">
        <f ca="1">DEC2HEX(arithmeticalshiftright(K34,1))</f>
        <v>#NAME?</v>
      </c>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44"/>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c r="BU35" s="27"/>
      <c r="BV35" s="27"/>
      <c r="BW35" s="27"/>
      <c r="BX35" s="27"/>
      <c r="BY35" s="27"/>
      <c r="BZ35" s="27"/>
      <c r="CA35" s="27"/>
      <c r="CB35" s="27"/>
      <c r="CC35" s="27"/>
      <c r="CD35" s="27"/>
    </row>
    <row r="36" spans="1:82">
      <c r="A36" s="32" t="str">
        <f t="shared" si="0"/>
        <v>LDU#</v>
      </c>
      <c r="B36" s="32" t="str">
        <f>"R["&amp;H36&amp;"] &lt;= "&amp;K36</f>
        <v>R[1] &lt;= 7</v>
      </c>
      <c r="C36" s="32" t="s">
        <v>231</v>
      </c>
      <c r="D36" s="32" t="str">
        <f t="shared" si="1"/>
        <v>B LDU R1,R0,7</v>
      </c>
      <c r="E36" s="37"/>
      <c r="F36" s="32" t="s">
        <v>233</v>
      </c>
      <c r="G36" s="32" t="str">
        <f>IF(K36&gt;=0,"LDU","LD")</f>
        <v>LDU</v>
      </c>
      <c r="H36" s="39">
        <v>1</v>
      </c>
      <c r="I36" s="39">
        <v>0</v>
      </c>
      <c r="J36" s="39" t="s">
        <v>231</v>
      </c>
      <c r="K36" s="40">
        <v>7</v>
      </c>
      <c r="L36" s="62" t="str">
        <f>RIGHT(DEC2HEX(K36,10),8)</f>
        <v>00000007</v>
      </c>
      <c r="M36" s="32">
        <f t="shared" si="2"/>
        <v>29</v>
      </c>
      <c r="N36" s="56"/>
      <c r="O36" s="32">
        <f t="shared" si="3"/>
        <v>0</v>
      </c>
      <c r="P36" s="53" t="str">
        <f>L36</f>
        <v>00000007</v>
      </c>
      <c r="Q36" s="39" t="str">
        <f t="shared" si="4"/>
        <v>00000000</v>
      </c>
      <c r="R36" s="39"/>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44"/>
      <c r="AV36" s="27"/>
      <c r="AW36" s="27"/>
      <c r="AX36" s="27"/>
      <c r="AY36" s="27"/>
      <c r="AZ36" s="27"/>
      <c r="BA36" s="27"/>
      <c r="BB36" s="27"/>
      <c r="BC36" s="27"/>
      <c r="BD36" s="27"/>
      <c r="BE36" s="27"/>
      <c r="BF36" s="27"/>
      <c r="BG36" s="27"/>
      <c r="BH36" s="27"/>
      <c r="BI36" s="27"/>
      <c r="BJ36" s="27"/>
      <c r="BK36" s="27"/>
      <c r="BL36" s="27"/>
      <c r="BM36" s="27"/>
      <c r="BN36" s="27"/>
      <c r="BO36" s="27"/>
      <c r="BP36" s="27"/>
      <c r="BQ36" s="27"/>
      <c r="BR36" s="27"/>
      <c r="BS36" s="27"/>
      <c r="BT36" s="27"/>
      <c r="BU36" s="27"/>
      <c r="BV36" s="27"/>
      <c r="BW36" s="27"/>
      <c r="BX36" s="27"/>
      <c r="BY36" s="27"/>
      <c r="BZ36" s="27"/>
      <c r="CA36" s="27"/>
      <c r="CB36" s="27"/>
      <c r="CC36" s="27"/>
      <c r="CD36" s="27"/>
    </row>
    <row r="37" spans="1:82" ht="47.25">
      <c r="A37" s="38" t="str">
        <f t="shared" si="0"/>
        <v>ROL</v>
      </c>
      <c r="B37" s="32" t="str">
        <f>"R["&amp;H37&amp;"] &lt;=  {R["&amp;I37&amp;"]{30:0},CARRY_FLAG}"&amp;CHAR(10)&amp;"CARRY_FLAG &lt;=  R["&amp;I37&amp;"]{31}"</f>
        <v>R[3] &lt;=  {R[1]{30:0},CARRY_FLAG}
CARRY_FLAG &lt;=  R[1]{31}</v>
      </c>
      <c r="C37" s="32" t="s">
        <v>252</v>
      </c>
      <c r="D37" s="42" t="str">
        <f t="shared" si="1"/>
        <v>A ROL R3,R1,R0</v>
      </c>
      <c r="E37" s="37"/>
      <c r="F37" s="38" t="s">
        <v>237</v>
      </c>
      <c r="G37" s="38" t="s">
        <v>52</v>
      </c>
      <c r="H37" s="39">
        <v>3</v>
      </c>
      <c r="I37" s="39">
        <v>1</v>
      </c>
      <c r="J37" s="39">
        <v>0</v>
      </c>
      <c r="K37" s="39" t="s">
        <v>231</v>
      </c>
      <c r="L37" s="59" t="s">
        <v>231</v>
      </c>
      <c r="M37" s="32">
        <f t="shared" si="2"/>
        <v>30</v>
      </c>
      <c r="N37" s="43"/>
      <c r="O37" s="32">
        <f t="shared" si="3"/>
        <v>0</v>
      </c>
      <c r="P37" s="57" t="str">
        <f>P36</f>
        <v>00000007</v>
      </c>
      <c r="Q37" s="39" t="str">
        <f t="shared" si="4"/>
        <v>00000000</v>
      </c>
      <c r="R37" s="60" t="e">
        <f ca="1">DEC2HEX(logicalshiftleft(P37,1))&amp;" | "&amp;DEC2HEX(2^0+logicalshiftleft(P37,1))</f>
        <v>#NAME?</v>
      </c>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44"/>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row>
    <row r="38" spans="1:82">
      <c r="A38" s="32" t="str">
        <f t="shared" si="0"/>
        <v>LDU#</v>
      </c>
      <c r="B38" s="32" t="str">
        <f>"R["&amp;H38&amp;"] &lt;= "&amp;K38</f>
        <v>R[1] &lt;= 7</v>
      </c>
      <c r="C38" s="32" t="s">
        <v>231</v>
      </c>
      <c r="D38" s="32" t="str">
        <f t="shared" si="1"/>
        <v>B LDU R1,R0,7</v>
      </c>
      <c r="E38" s="37"/>
      <c r="F38" s="32" t="s">
        <v>233</v>
      </c>
      <c r="G38" s="32" t="str">
        <f>IF(K38&gt;=0,"LDU","LD")</f>
        <v>LDU</v>
      </c>
      <c r="H38" s="39">
        <v>1</v>
      </c>
      <c r="I38" s="39">
        <v>0</v>
      </c>
      <c r="J38" s="39" t="s">
        <v>231</v>
      </c>
      <c r="K38" s="40">
        <v>7</v>
      </c>
      <c r="L38" s="62" t="str">
        <f>RIGHT(DEC2HEX(K38,10),8)</f>
        <v>00000007</v>
      </c>
      <c r="M38" s="32">
        <f t="shared" si="2"/>
        <v>31</v>
      </c>
      <c r="N38" s="56"/>
      <c r="O38" s="32">
        <f t="shared" si="3"/>
        <v>0</v>
      </c>
      <c r="P38" s="53" t="str">
        <f>L38</f>
        <v>00000007</v>
      </c>
      <c r="Q38" s="39" t="str">
        <f t="shared" si="4"/>
        <v>00000000</v>
      </c>
      <c r="R38" s="39"/>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c r="AU38" s="44"/>
      <c r="AV38" s="27"/>
      <c r="AW38" s="27"/>
      <c r="AX38" s="27"/>
      <c r="AY38" s="27"/>
      <c r="AZ38" s="27"/>
      <c r="BA38" s="27"/>
      <c r="BB38" s="27"/>
      <c r="BC38" s="27"/>
      <c r="BD38" s="27"/>
      <c r="BE38" s="27"/>
      <c r="BF38" s="27"/>
      <c r="BG38" s="27"/>
      <c r="BH38" s="27"/>
      <c r="BI38" s="27"/>
      <c r="BJ38" s="27"/>
      <c r="BK38" s="27"/>
      <c r="BL38" s="27"/>
      <c r="BM38" s="27"/>
      <c r="BN38" s="27"/>
      <c r="BO38" s="27"/>
      <c r="BP38" s="27"/>
      <c r="BQ38" s="27"/>
      <c r="BR38" s="27"/>
      <c r="BS38" s="27"/>
      <c r="BT38" s="27"/>
      <c r="BU38" s="27"/>
      <c r="BV38" s="27"/>
      <c r="BW38" s="27"/>
      <c r="BX38" s="27"/>
      <c r="BY38" s="27"/>
      <c r="BZ38" s="27"/>
      <c r="CA38" s="27"/>
      <c r="CB38" s="27"/>
      <c r="CC38" s="27"/>
      <c r="CD38" s="27"/>
    </row>
    <row r="39" spans="1:82" ht="47.25">
      <c r="A39" s="30" t="str">
        <f t="shared" ref="A39:A60" si="5">IF(AND(F39="B",IF(OR(G39="LD",G39="LDU",G39="ADD",G39="SUB",G39="AND",G39="OR",G39="XOR"),1,0)),CONCATENATE(G39,"#"),G39)</f>
        <v>ROR</v>
      </c>
      <c r="B39" s="34" t="str">
        <f>"R["&amp;H39&amp;"] &lt;=  {CARRY_FLAG,R["&amp;I39&amp;"]{31:1}}"&amp;CHAR(10)&amp;"CARRY_FLAG &lt;=  R["&amp;I39&amp;"]{30}"</f>
        <v>R[3] &lt;=  {CARRY_FLAG,R[1]{31:1}}
CARRY_FLAG &lt;=  R[1]{30}</v>
      </c>
      <c r="C39" s="34" t="s">
        <v>253</v>
      </c>
      <c r="D39" s="32" t="str">
        <f t="shared" ref="D39:D60" si="6">IF(F39="A",CONCATENATE(F39," ",G39," R",H39,",R",I39,",R",J39),IF(F39="B",CONCATENATE(F39," ",G39," R",H39,",R",I39,",",K39),CONCATENATE(F39," ",G39," ",K39)))</f>
        <v>A ROR R3,R1,R0</v>
      </c>
      <c r="E39" s="37"/>
      <c r="F39" s="38" t="s">
        <v>237</v>
      </c>
      <c r="G39" s="38" t="s">
        <v>48</v>
      </c>
      <c r="H39" s="39">
        <v>3</v>
      </c>
      <c r="I39" s="39">
        <v>1</v>
      </c>
      <c r="J39" s="39">
        <v>0</v>
      </c>
      <c r="K39" s="39" t="s">
        <v>231</v>
      </c>
      <c r="L39" s="59" t="s">
        <v>231</v>
      </c>
      <c r="M39" s="32">
        <f t="shared" si="2"/>
        <v>32</v>
      </c>
      <c r="N39" s="69" t="s">
        <v>254</v>
      </c>
      <c r="O39" s="32">
        <f t="shared" si="3"/>
        <v>0</v>
      </c>
      <c r="P39" s="57" t="str">
        <f>P38</f>
        <v>00000007</v>
      </c>
      <c r="Q39" s="39" t="str">
        <f t="shared" si="4"/>
        <v>00000000</v>
      </c>
      <c r="R39" s="60" t="e">
        <f ca="1">DEC2HEX(logicalshiftright(P39,1))&amp;" | "&amp;DEC2HEX(2^31+logicalshiftright(P39,1))</f>
        <v>#NAME?</v>
      </c>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44"/>
      <c r="AV39" s="27"/>
      <c r="AW39" s="27"/>
      <c r="AX39" s="27"/>
      <c r="AY39" s="27"/>
      <c r="AZ39" s="27"/>
      <c r="BA39" s="27"/>
      <c r="BB39" s="27"/>
      <c r="BC39" s="27"/>
      <c r="BD39" s="27"/>
      <c r="BE39" s="27"/>
      <c r="BF39" s="27"/>
      <c r="BG39" s="27"/>
      <c r="BH39" s="27"/>
      <c r="BI39" s="27"/>
      <c r="BJ39" s="27"/>
      <c r="BK39" s="27"/>
      <c r="BL39" s="27"/>
      <c r="BM39" s="27"/>
      <c r="BN39" s="27"/>
      <c r="BO39" s="27"/>
      <c r="BP39" s="27"/>
      <c r="BQ39" s="27"/>
      <c r="BR39" s="27"/>
      <c r="BS39" s="27"/>
      <c r="BT39" s="27"/>
      <c r="BU39" s="27"/>
      <c r="BV39" s="27"/>
      <c r="BW39" s="27"/>
      <c r="BX39" s="27"/>
      <c r="BY39" s="27"/>
      <c r="BZ39" s="27"/>
      <c r="CA39" s="27"/>
      <c r="CB39" s="27"/>
      <c r="CC39" s="27"/>
      <c r="CD39" s="27"/>
    </row>
    <row r="40" spans="1:82">
      <c r="A40" s="32" t="str">
        <f t="shared" si="5"/>
        <v>LDU#</v>
      </c>
      <c r="B40" s="32" t="str">
        <f>"R["&amp;H40&amp;"] &lt;= "&amp;K40</f>
        <v>R[1] &lt;= 1</v>
      </c>
      <c r="C40" s="32" t="s">
        <v>231</v>
      </c>
      <c r="D40" s="32" t="str">
        <f t="shared" si="6"/>
        <v>B LDU R1,R0,1</v>
      </c>
      <c r="E40" s="37"/>
      <c r="F40" s="32" t="s">
        <v>233</v>
      </c>
      <c r="G40" s="32" t="str">
        <f>IF(K40&gt;=0,"LDU","LD")</f>
        <v>LDU</v>
      </c>
      <c r="H40" s="39">
        <v>1</v>
      </c>
      <c r="I40" s="39">
        <v>0</v>
      </c>
      <c r="J40" s="39" t="s">
        <v>231</v>
      </c>
      <c r="K40" s="40">
        <v>1</v>
      </c>
      <c r="L40" s="62" t="str">
        <f>RIGHT(DEC2HEX(K40,10),8)</f>
        <v>00000001</v>
      </c>
      <c r="M40" s="32">
        <f t="shared" ref="M40:M60" si="7">M39+1</f>
        <v>33</v>
      </c>
      <c r="N40" s="56"/>
      <c r="O40" s="32">
        <f t="shared" ref="O40:O67" si="8">O39</f>
        <v>0</v>
      </c>
      <c r="P40" s="53" t="str">
        <f>L40</f>
        <v>00000001</v>
      </c>
      <c r="Q40" s="39" t="str">
        <f t="shared" si="4"/>
        <v>00000000</v>
      </c>
      <c r="R40" s="39"/>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44"/>
      <c r="AV40" s="27"/>
      <c r="AW40" s="27"/>
      <c r="AX40" s="27"/>
      <c r="AY40" s="27"/>
      <c r="AZ40" s="27"/>
      <c r="BA40" s="27"/>
      <c r="BB40" s="27"/>
      <c r="BC40" s="27"/>
      <c r="BD40" s="27"/>
      <c r="BE40" s="27"/>
      <c r="BF40" s="27"/>
      <c r="BG40" s="27"/>
      <c r="BH40" s="27"/>
      <c r="BI40" s="27"/>
      <c r="BJ40" s="27"/>
      <c r="BK40" s="27"/>
      <c r="BL40" s="27"/>
      <c r="BM40" s="27"/>
      <c r="BN40" s="27"/>
      <c r="BO40" s="27"/>
      <c r="BP40" s="27"/>
      <c r="BQ40" s="27"/>
      <c r="BR40" s="27"/>
      <c r="BS40" s="27"/>
      <c r="BT40" s="27"/>
      <c r="BU40" s="27"/>
      <c r="BV40" s="27"/>
      <c r="BW40" s="27"/>
      <c r="BX40" s="27"/>
      <c r="BY40" s="27"/>
      <c r="BZ40" s="27"/>
      <c r="CA40" s="27"/>
      <c r="CB40" s="27"/>
      <c r="CC40" s="27"/>
      <c r="CD40" s="27"/>
    </row>
    <row r="41" spans="1:82" ht="126">
      <c r="A41" s="47" t="str">
        <f t="shared" si="5"/>
        <v>ADD#</v>
      </c>
      <c r="B41" s="32" t="str">
        <f>"R["&amp;H41&amp;"] &lt;= R["&amp;I41&amp;"] + "&amp;K41</f>
        <v>R[3] &lt;= R[1] + 4</v>
      </c>
      <c r="C41" s="32" t="s">
        <v>255</v>
      </c>
      <c r="D41" s="32" t="str">
        <f t="shared" si="6"/>
        <v>B ADD R3,R1,4</v>
      </c>
      <c r="E41" s="37"/>
      <c r="F41" s="61" t="s">
        <v>233</v>
      </c>
      <c r="G41" s="38" t="s">
        <v>11</v>
      </c>
      <c r="H41" s="39">
        <v>3</v>
      </c>
      <c r="I41" s="39">
        <v>1</v>
      </c>
      <c r="J41" s="39" t="s">
        <v>231</v>
      </c>
      <c r="K41" s="39">
        <v>4</v>
      </c>
      <c r="L41" s="59"/>
      <c r="M41" s="32">
        <f t="shared" si="7"/>
        <v>34</v>
      </c>
      <c r="N41" s="56"/>
      <c r="O41" s="32">
        <f t="shared" si="8"/>
        <v>0</v>
      </c>
      <c r="P41" s="57" t="str">
        <f>P40</f>
        <v>00000001</v>
      </c>
      <c r="Q41" s="39" t="str">
        <f t="shared" si="4"/>
        <v>00000000</v>
      </c>
      <c r="R41" s="60" t="str">
        <f>DEC2HEX(K40+K41)</f>
        <v>5</v>
      </c>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44"/>
      <c r="AV41" s="27"/>
      <c r="AW41" s="27"/>
      <c r="AX41" s="27"/>
      <c r="AY41" s="27"/>
      <c r="AZ41" s="27"/>
      <c r="BA41" s="27"/>
      <c r="BB41" s="27"/>
      <c r="BC41" s="27"/>
      <c r="BD41" s="27"/>
      <c r="BE41" s="27"/>
      <c r="BF41" s="27"/>
      <c r="BG41" s="27"/>
      <c r="BH41" s="27"/>
      <c r="BI41" s="27"/>
      <c r="BJ41" s="27"/>
      <c r="BK41" s="27"/>
      <c r="BL41" s="27"/>
      <c r="BM41" s="27"/>
      <c r="BN41" s="27"/>
      <c r="BO41" s="27"/>
      <c r="BP41" s="27"/>
      <c r="BQ41" s="27"/>
      <c r="BR41" s="27"/>
      <c r="BS41" s="27"/>
      <c r="BT41" s="27"/>
      <c r="BU41" s="27"/>
      <c r="BV41" s="27"/>
      <c r="BW41" s="27"/>
      <c r="BX41" s="27"/>
      <c r="BY41" s="27"/>
      <c r="BZ41" s="27"/>
      <c r="CA41" s="27"/>
      <c r="CB41" s="27"/>
      <c r="CC41" s="27"/>
      <c r="CD41" s="27"/>
    </row>
    <row r="42" spans="1:82">
      <c r="A42" s="51" t="str">
        <f t="shared" si="5"/>
        <v>LD#</v>
      </c>
      <c r="B42" s="51" t="str">
        <f>"R["&amp;H42&amp;"] &lt;= "&amp;K42</f>
        <v>R[1] &lt;= -3</v>
      </c>
      <c r="C42" s="51" t="s">
        <v>231</v>
      </c>
      <c r="D42" s="70" t="str">
        <f t="shared" si="6"/>
        <v>B LD R1,R0,-3</v>
      </c>
      <c r="E42" s="45"/>
      <c r="F42" s="51" t="s">
        <v>233</v>
      </c>
      <c r="G42" s="32" t="str">
        <f>IF(K42&gt;=0,"LDU","LD")</f>
        <v>LD</v>
      </c>
      <c r="H42" s="48">
        <v>1</v>
      </c>
      <c r="I42" s="48">
        <v>0</v>
      </c>
      <c r="J42" s="48" t="s">
        <v>231</v>
      </c>
      <c r="K42" s="49">
        <v>-3</v>
      </c>
      <c r="L42" s="50" t="str">
        <f t="shared" ref="L42:L55" si="9">RIGHT(DEC2HEX(K42,10),8)</f>
        <v>FFFFFFFD</v>
      </c>
      <c r="M42" s="51">
        <f t="shared" si="7"/>
        <v>35</v>
      </c>
      <c r="N42" s="52"/>
      <c r="O42" s="51">
        <f t="shared" si="8"/>
        <v>0</v>
      </c>
      <c r="P42" s="71" t="str">
        <f>L42</f>
        <v>FFFFFFFD</v>
      </c>
      <c r="Q42" s="39" t="str">
        <f t="shared" si="4"/>
        <v>00000000</v>
      </c>
      <c r="R42" s="48"/>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44"/>
      <c r="AV42" s="27"/>
      <c r="AW42" s="27"/>
      <c r="AX42" s="27"/>
      <c r="AY42" s="27"/>
      <c r="AZ42" s="27"/>
      <c r="BA42" s="27"/>
      <c r="BB42" s="27"/>
      <c r="BC42" s="27"/>
      <c r="BD42" s="27"/>
      <c r="BE42" s="27"/>
      <c r="BF42" s="27"/>
      <c r="BG42" s="27"/>
      <c r="BH42" s="27"/>
      <c r="BI42" s="27"/>
      <c r="BJ42" s="27"/>
      <c r="BK42" s="27"/>
      <c r="BL42" s="27"/>
      <c r="BM42" s="27"/>
      <c r="BN42" s="27"/>
      <c r="BO42" s="27"/>
      <c r="BP42" s="27"/>
      <c r="BQ42" s="27"/>
      <c r="BR42" s="27"/>
      <c r="BS42" s="27"/>
      <c r="BT42" s="27"/>
      <c r="BU42" s="27"/>
      <c r="BV42" s="27"/>
      <c r="BW42" s="27"/>
      <c r="BX42" s="27"/>
      <c r="BY42" s="27"/>
      <c r="BZ42" s="27"/>
      <c r="CA42" s="27"/>
      <c r="CB42" s="27"/>
      <c r="CC42" s="27"/>
      <c r="CD42" s="27"/>
    </row>
    <row r="43" spans="1:82" ht="31.5">
      <c r="A43" s="47" t="str">
        <f t="shared" si="5"/>
        <v>SUB#</v>
      </c>
      <c r="B43" s="32" t="str">
        <f>"R["&amp;H43&amp;"] &lt;= R["&amp;I43&amp;"] -  "&amp;K43</f>
        <v>R[3] &lt;= R[1] -  -3</v>
      </c>
      <c r="C43" s="34" t="s">
        <v>240</v>
      </c>
      <c r="D43" s="35" t="str">
        <f t="shared" si="6"/>
        <v>B SUB R3,R1,-3</v>
      </c>
      <c r="E43" s="65"/>
      <c r="F43" s="72" t="s">
        <v>233</v>
      </c>
      <c r="G43" s="30" t="s">
        <v>14</v>
      </c>
      <c r="H43" s="66">
        <v>3</v>
      </c>
      <c r="I43" s="66">
        <v>1</v>
      </c>
      <c r="J43" s="66" t="s">
        <v>231</v>
      </c>
      <c r="K43" s="66">
        <v>-3</v>
      </c>
      <c r="L43" s="73" t="str">
        <f t="shared" si="9"/>
        <v>FFFFFFFD</v>
      </c>
      <c r="M43" s="34">
        <f t="shared" si="7"/>
        <v>36</v>
      </c>
      <c r="N43" s="64" t="s">
        <v>241</v>
      </c>
      <c r="O43" s="34">
        <f t="shared" si="8"/>
        <v>0</v>
      </c>
      <c r="P43" s="74" t="str">
        <f>P42</f>
        <v>FFFFFFFD</v>
      </c>
      <c r="Q43" s="39" t="str">
        <f t="shared" si="4"/>
        <v>00000000</v>
      </c>
      <c r="R43" s="75" t="str">
        <f>DEC2HEX(K42-K43)</f>
        <v>0</v>
      </c>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44"/>
      <c r="AV43" s="27"/>
      <c r="AW43" s="27"/>
      <c r="AX43" s="27"/>
      <c r="AY43" s="27"/>
      <c r="AZ43" s="27"/>
      <c r="BA43" s="27"/>
      <c r="BB43" s="27"/>
      <c r="BC43" s="27"/>
      <c r="BD43" s="27"/>
      <c r="BE43" s="27"/>
      <c r="BF43" s="27"/>
      <c r="BG43" s="27"/>
      <c r="BH43" s="27"/>
      <c r="BI43" s="27"/>
      <c r="BJ43" s="27"/>
      <c r="BK43" s="27"/>
      <c r="BL43" s="27"/>
      <c r="BM43" s="27"/>
      <c r="BN43" s="27"/>
      <c r="BO43" s="27"/>
      <c r="BP43" s="27"/>
      <c r="BQ43" s="27"/>
      <c r="BR43" s="27"/>
      <c r="BS43" s="27"/>
      <c r="BT43" s="27"/>
      <c r="BU43" s="27"/>
      <c r="BV43" s="27"/>
      <c r="BW43" s="27"/>
      <c r="BX43" s="27"/>
      <c r="BY43" s="27"/>
      <c r="BZ43" s="27"/>
      <c r="CA43" s="27"/>
      <c r="CB43" s="27"/>
      <c r="CC43" s="27"/>
      <c r="CD43" s="27"/>
    </row>
    <row r="44" spans="1:82">
      <c r="A44" s="32" t="str">
        <f t="shared" si="5"/>
        <v>LDU#</v>
      </c>
      <c r="B44" s="41" t="str">
        <f>"R["&amp;H44&amp;"] &lt;= "&amp;K44</f>
        <v>R[1] &lt;= 15</v>
      </c>
      <c r="C44" s="32" t="s">
        <v>231</v>
      </c>
      <c r="D44" s="32" t="str">
        <f t="shared" si="6"/>
        <v>B LDU R1,R0,15</v>
      </c>
      <c r="E44" s="37"/>
      <c r="F44" s="32" t="s">
        <v>233</v>
      </c>
      <c r="G44" s="32" t="str">
        <f>IF(K44&gt;=0,"LDU","LD")</f>
        <v>LDU</v>
      </c>
      <c r="H44" s="39">
        <v>1</v>
      </c>
      <c r="I44" s="39">
        <v>0</v>
      </c>
      <c r="J44" s="39" t="s">
        <v>231</v>
      </c>
      <c r="K44" s="40">
        <v>15</v>
      </c>
      <c r="L44" s="62" t="str">
        <f t="shared" si="9"/>
        <v>0000000F</v>
      </c>
      <c r="M44" s="32">
        <f t="shared" si="7"/>
        <v>37</v>
      </c>
      <c r="N44" s="56"/>
      <c r="O44" s="32">
        <f t="shared" si="8"/>
        <v>0</v>
      </c>
      <c r="P44" s="53" t="str">
        <f>L44</f>
        <v>0000000F</v>
      </c>
      <c r="Q44" s="39" t="str">
        <f t="shared" si="4"/>
        <v>00000000</v>
      </c>
      <c r="R44" s="39"/>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c r="AU44" s="44"/>
      <c r="AV44" s="27"/>
      <c r="AW44" s="27"/>
      <c r="AX44" s="27"/>
      <c r="AY44" s="27"/>
      <c r="AZ44" s="27"/>
      <c r="BA44" s="27"/>
      <c r="BB44" s="27"/>
      <c r="BC44" s="27"/>
      <c r="BD44" s="27"/>
      <c r="BE44" s="27"/>
      <c r="BF44" s="27"/>
      <c r="BG44" s="27"/>
      <c r="BH44" s="27"/>
      <c r="BI44" s="27"/>
      <c r="BJ44" s="27"/>
      <c r="BK44" s="27"/>
      <c r="BL44" s="27"/>
      <c r="BM44" s="27"/>
      <c r="BN44" s="27"/>
      <c r="BO44" s="27"/>
      <c r="BP44" s="27"/>
      <c r="BQ44" s="27"/>
      <c r="BR44" s="27"/>
      <c r="BS44" s="27"/>
      <c r="BT44" s="27"/>
      <c r="BU44" s="27"/>
      <c r="BV44" s="27"/>
      <c r="BW44" s="27"/>
      <c r="BX44" s="27"/>
      <c r="BY44" s="27"/>
      <c r="BZ44" s="27"/>
      <c r="CA44" s="27"/>
      <c r="CB44" s="27"/>
      <c r="CC44" s="27"/>
      <c r="CD44" s="27"/>
    </row>
    <row r="45" spans="1:82" ht="31.5">
      <c r="A45" s="38" t="str">
        <f t="shared" si="5"/>
        <v>AND#</v>
      </c>
      <c r="B45" s="32" t="str">
        <f>"R["&amp;H45&amp;"] &lt;= R["&amp;I45&amp;"] &amp; "&amp;K45</f>
        <v>R[3] &lt;= R[1] &amp; 45</v>
      </c>
      <c r="C45" s="32" t="s">
        <v>244</v>
      </c>
      <c r="D45" s="32" t="str">
        <f t="shared" si="6"/>
        <v>B AND R3,R1,45</v>
      </c>
      <c r="E45" s="37"/>
      <c r="F45" s="61" t="s">
        <v>233</v>
      </c>
      <c r="G45" s="38" t="s">
        <v>17</v>
      </c>
      <c r="H45" s="39">
        <v>3</v>
      </c>
      <c r="I45" s="39">
        <v>1</v>
      </c>
      <c r="J45" s="39" t="s">
        <v>231</v>
      </c>
      <c r="K45" s="39">
        <v>45</v>
      </c>
      <c r="L45" s="59" t="str">
        <f t="shared" si="9"/>
        <v>0000002D</v>
      </c>
      <c r="M45" s="32">
        <f t="shared" si="7"/>
        <v>38</v>
      </c>
      <c r="N45" s="56"/>
      <c r="O45" s="32">
        <f t="shared" si="8"/>
        <v>0</v>
      </c>
      <c r="P45" s="57" t="str">
        <f>P44</f>
        <v>0000000F</v>
      </c>
      <c r="Q45" s="39" t="str">
        <f t="shared" si="4"/>
        <v>00000000</v>
      </c>
      <c r="R45" s="60" t="e">
        <f ca="1">DEC2HEX(bitwise_and(K44,K45))</f>
        <v>#NAME?</v>
      </c>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44"/>
      <c r="AV45" s="27"/>
      <c r="AW45" s="27"/>
      <c r="AX45" s="27"/>
      <c r="AY45" s="27"/>
      <c r="AZ45" s="27"/>
      <c r="BA45" s="27"/>
      <c r="BB45" s="27"/>
      <c r="BC45" s="27"/>
      <c r="BD45" s="27"/>
      <c r="BE45" s="27"/>
      <c r="BF45" s="27"/>
      <c r="BG45" s="27"/>
      <c r="BH45" s="27"/>
      <c r="BI45" s="27"/>
      <c r="BJ45" s="27"/>
      <c r="BK45" s="27"/>
      <c r="BL45" s="27"/>
      <c r="BM45" s="27"/>
      <c r="BN45" s="27"/>
      <c r="BO45" s="27"/>
      <c r="BP45" s="27"/>
      <c r="BQ45" s="27"/>
      <c r="BR45" s="27"/>
      <c r="BS45" s="27"/>
      <c r="BT45" s="27"/>
      <c r="BU45" s="27"/>
      <c r="BV45" s="27"/>
      <c r="BW45" s="27"/>
      <c r="BX45" s="27"/>
      <c r="BY45" s="27"/>
      <c r="BZ45" s="27"/>
      <c r="CA45" s="27"/>
      <c r="CB45" s="27"/>
      <c r="CC45" s="27"/>
      <c r="CD45" s="27"/>
    </row>
    <row r="46" spans="1:82">
      <c r="A46" s="32" t="str">
        <f t="shared" si="5"/>
        <v>LDU#</v>
      </c>
      <c r="B46" s="32" t="str">
        <f>"R["&amp;H46&amp;"] &lt;= "&amp;K46</f>
        <v>R[1] &lt;= 9</v>
      </c>
      <c r="C46" s="51" t="s">
        <v>231</v>
      </c>
      <c r="D46" s="32" t="str">
        <f t="shared" si="6"/>
        <v>B LDU R1,R0,9</v>
      </c>
      <c r="E46" s="37"/>
      <c r="F46" s="32" t="s">
        <v>233</v>
      </c>
      <c r="G46" s="32" t="str">
        <f>IF(K46&gt;=0,"LDU","LD")</f>
        <v>LDU</v>
      </c>
      <c r="H46" s="39">
        <v>1</v>
      </c>
      <c r="I46" s="39">
        <v>0</v>
      </c>
      <c r="J46" s="39" t="s">
        <v>231</v>
      </c>
      <c r="K46" s="40">
        <v>9</v>
      </c>
      <c r="L46" s="62" t="str">
        <f t="shared" si="9"/>
        <v>00000009</v>
      </c>
      <c r="M46" s="32">
        <f t="shared" si="7"/>
        <v>39</v>
      </c>
      <c r="N46" s="56"/>
      <c r="O46" s="32">
        <f t="shared" si="8"/>
        <v>0</v>
      </c>
      <c r="P46" s="53" t="str">
        <f>L46</f>
        <v>00000009</v>
      </c>
      <c r="Q46" s="39" t="str">
        <f t="shared" si="4"/>
        <v>00000000</v>
      </c>
      <c r="R46" s="39"/>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44"/>
      <c r="AV46" s="27"/>
      <c r="AW46" s="27"/>
      <c r="AX46" s="27"/>
      <c r="AY46" s="27"/>
      <c r="AZ46" s="27"/>
      <c r="BA46" s="27"/>
      <c r="BB46" s="27"/>
      <c r="BC46" s="27"/>
      <c r="BD46" s="27"/>
      <c r="BE46" s="27"/>
      <c r="BF46" s="27"/>
      <c r="BG46" s="27"/>
      <c r="BH46" s="27"/>
      <c r="BI46" s="27"/>
      <c r="BJ46" s="27"/>
      <c r="BK46" s="27"/>
      <c r="BL46" s="27"/>
      <c r="BM46" s="27"/>
      <c r="BN46" s="27"/>
      <c r="BO46" s="27"/>
      <c r="BP46" s="27"/>
      <c r="BQ46" s="27"/>
      <c r="BR46" s="27"/>
      <c r="BS46" s="27"/>
      <c r="BT46" s="27"/>
      <c r="BU46" s="27"/>
      <c r="BV46" s="27"/>
      <c r="BW46" s="27"/>
      <c r="BX46" s="27"/>
      <c r="BY46" s="27"/>
      <c r="BZ46" s="27"/>
      <c r="CA46" s="27"/>
      <c r="CB46" s="27"/>
      <c r="CC46" s="27"/>
      <c r="CD46" s="27"/>
    </row>
    <row r="47" spans="1:82" ht="31.5">
      <c r="A47" s="30" t="str">
        <f t="shared" si="5"/>
        <v>OR#</v>
      </c>
      <c r="B47" s="32" t="str">
        <f>"R["&amp;H47&amp;"] &lt;= R["&amp;I47&amp;"] | "&amp;K47</f>
        <v>R[3] &lt;= R[1] | 3</v>
      </c>
      <c r="C47" s="34" t="s">
        <v>245</v>
      </c>
      <c r="D47" s="32" t="str">
        <f t="shared" si="6"/>
        <v>B OR R3,R1,3</v>
      </c>
      <c r="E47" s="65"/>
      <c r="F47" s="72" t="s">
        <v>233</v>
      </c>
      <c r="G47" s="30" t="s">
        <v>20</v>
      </c>
      <c r="H47" s="66">
        <v>3</v>
      </c>
      <c r="I47" s="66">
        <v>1</v>
      </c>
      <c r="J47" s="66" t="s">
        <v>231</v>
      </c>
      <c r="K47" s="66">
        <v>3</v>
      </c>
      <c r="L47" s="73" t="str">
        <f t="shared" si="9"/>
        <v>00000003</v>
      </c>
      <c r="M47" s="34">
        <f t="shared" si="7"/>
        <v>40</v>
      </c>
      <c r="N47" s="43"/>
      <c r="O47" s="34">
        <f t="shared" si="8"/>
        <v>0</v>
      </c>
      <c r="P47" s="74" t="str">
        <f>P46</f>
        <v>00000009</v>
      </c>
      <c r="Q47" s="66" t="str">
        <f t="shared" si="4"/>
        <v>00000000</v>
      </c>
      <c r="R47" s="75" t="e">
        <f ca="1">DEC2HEX(bitwise_or(K46,K47))</f>
        <v>#NAME?</v>
      </c>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44"/>
      <c r="AV47" s="27"/>
      <c r="AW47" s="27"/>
      <c r="AX47" s="27"/>
      <c r="AY47" s="27"/>
      <c r="AZ47" s="27"/>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c r="BZ47" s="27"/>
      <c r="CA47" s="27"/>
      <c r="CB47" s="27"/>
      <c r="CC47" s="27"/>
      <c r="CD47" s="27"/>
    </row>
    <row r="48" spans="1:82">
      <c r="A48" s="34" t="str">
        <f t="shared" si="5"/>
        <v>LDU#</v>
      </c>
      <c r="B48" s="34" t="str">
        <f>"R["&amp;H48&amp;"] &lt;= "&amp;K48</f>
        <v>R[1] &lt;= 2</v>
      </c>
      <c r="C48" s="34" t="s">
        <v>231</v>
      </c>
      <c r="D48" s="33" t="str">
        <f t="shared" si="6"/>
        <v>B LDU R1,R0,2</v>
      </c>
      <c r="E48" s="65"/>
      <c r="F48" s="34" t="s">
        <v>233</v>
      </c>
      <c r="G48" s="34" t="str">
        <f>IF(K48&gt;=0,"LDU","LD")</f>
        <v>LDU</v>
      </c>
      <c r="H48" s="66">
        <v>1</v>
      </c>
      <c r="I48" s="66">
        <v>0</v>
      </c>
      <c r="J48" s="66" t="s">
        <v>231</v>
      </c>
      <c r="K48" s="76">
        <v>2</v>
      </c>
      <c r="L48" s="77" t="str">
        <f t="shared" si="9"/>
        <v>00000002</v>
      </c>
      <c r="M48" s="34">
        <f t="shared" si="7"/>
        <v>41</v>
      </c>
      <c r="N48" s="33"/>
      <c r="O48" s="34">
        <f t="shared" si="8"/>
        <v>0</v>
      </c>
      <c r="P48" s="78" t="str">
        <f>L48</f>
        <v>00000002</v>
      </c>
      <c r="Q48" s="66" t="str">
        <f t="shared" si="4"/>
        <v>00000000</v>
      </c>
      <c r="R48" s="6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44"/>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c r="BV48" s="27"/>
      <c r="BW48" s="27"/>
      <c r="BX48" s="27"/>
      <c r="BY48" s="27"/>
      <c r="BZ48" s="27"/>
      <c r="CA48" s="27"/>
      <c r="CB48" s="27"/>
      <c r="CC48" s="27"/>
      <c r="CD48" s="27"/>
    </row>
    <row r="49" spans="1:82" ht="31.5">
      <c r="A49" s="79" t="str">
        <f t="shared" si="5"/>
        <v>XOR#</v>
      </c>
      <c r="B49" s="80" t="str">
        <f>"R["&amp;H49&amp;"] &lt;= XOR(R["&amp;I49&amp;"] , "&amp;K49&amp;")"</f>
        <v>R[3] &lt;= XOR(R[1] , 12)</v>
      </c>
      <c r="C49" s="81" t="s">
        <v>246</v>
      </c>
      <c r="D49" s="80" t="str">
        <f t="shared" si="6"/>
        <v>B XOR R3,R1,12</v>
      </c>
      <c r="E49" s="82"/>
      <c r="F49" s="83" t="s">
        <v>233</v>
      </c>
      <c r="G49" s="79" t="s">
        <v>26</v>
      </c>
      <c r="H49" s="84">
        <v>3</v>
      </c>
      <c r="I49" s="84">
        <v>1</v>
      </c>
      <c r="J49" s="84" t="s">
        <v>231</v>
      </c>
      <c r="K49" s="84">
        <v>12</v>
      </c>
      <c r="L49" s="84" t="str">
        <f t="shared" si="9"/>
        <v>0000000C</v>
      </c>
      <c r="M49" s="80">
        <f t="shared" si="7"/>
        <v>42</v>
      </c>
      <c r="N49" s="81"/>
      <c r="O49" s="80">
        <f t="shared" si="8"/>
        <v>0</v>
      </c>
      <c r="P49" s="84" t="str">
        <f>P48</f>
        <v>00000002</v>
      </c>
      <c r="Q49" s="84" t="str">
        <f t="shared" si="4"/>
        <v>00000000</v>
      </c>
      <c r="R49" s="85" t="e">
        <f ca="1">DEC2HEX(bitwise_xor(K48,K49))</f>
        <v>#NAME?</v>
      </c>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44"/>
      <c r="AV49" s="27"/>
      <c r="AW49" s="27"/>
      <c r="AX49" s="27"/>
      <c r="AY49" s="27"/>
      <c r="AZ49" s="27"/>
      <c r="BA49" s="27"/>
      <c r="BB49" s="27"/>
      <c r="BC49" s="27"/>
      <c r="BD49" s="27"/>
      <c r="BE49" s="27"/>
      <c r="BF49" s="27"/>
      <c r="BG49" s="27"/>
      <c r="BH49" s="27"/>
      <c r="BI49" s="27"/>
      <c r="BJ49" s="27"/>
      <c r="BK49" s="27"/>
      <c r="BL49" s="27"/>
      <c r="BM49" s="27"/>
      <c r="BN49" s="27"/>
      <c r="BO49" s="27"/>
      <c r="BP49" s="27"/>
      <c r="BQ49" s="27"/>
      <c r="BR49" s="27"/>
      <c r="BS49" s="27"/>
      <c r="BT49" s="27"/>
      <c r="BU49" s="27"/>
      <c r="BV49" s="27"/>
      <c r="BW49" s="27"/>
      <c r="BX49" s="27"/>
      <c r="BY49" s="27"/>
      <c r="BZ49" s="27"/>
      <c r="CA49" s="27"/>
      <c r="CB49" s="27"/>
      <c r="CC49" s="27"/>
      <c r="CD49" s="27"/>
    </row>
    <row r="50" spans="1:82" ht="31.5">
      <c r="A50" s="38" t="str">
        <f t="shared" si="5"/>
        <v>STA</v>
      </c>
      <c r="B50" s="32" t="str">
        <f>"MEM["&amp;K50&amp;"] &lt;= R["&amp;H50&amp;"]"</f>
        <v>MEM[120] &lt;= R[3]</v>
      </c>
      <c r="C50" s="41" t="s">
        <v>256</v>
      </c>
      <c r="D50" s="32" t="str">
        <f t="shared" si="6"/>
        <v>B STA R3,R0,120</v>
      </c>
      <c r="E50" s="37"/>
      <c r="F50" s="61" t="s">
        <v>233</v>
      </c>
      <c r="G50" s="38" t="s">
        <v>142</v>
      </c>
      <c r="H50" s="39">
        <v>3</v>
      </c>
      <c r="I50" s="39">
        <v>0</v>
      </c>
      <c r="J50" s="39" t="s">
        <v>231</v>
      </c>
      <c r="K50" s="40">
        <v>120</v>
      </c>
      <c r="L50" s="86" t="str">
        <f t="shared" si="9"/>
        <v>00000078</v>
      </c>
      <c r="M50" s="32">
        <f t="shared" si="7"/>
        <v>43</v>
      </c>
      <c r="N50" s="41"/>
      <c r="O50" s="32">
        <f t="shared" si="8"/>
        <v>0</v>
      </c>
      <c r="P50" s="39" t="str">
        <f>P49</f>
        <v>00000002</v>
      </c>
      <c r="Q50" s="39" t="str">
        <f t="shared" si="4"/>
        <v>00000000</v>
      </c>
      <c r="R50" s="39" t="e">
        <f t="shared" ref="R50:R55" ca="1" si="10">R49</f>
        <v>#NAME?</v>
      </c>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44"/>
      <c r="AV50" s="27"/>
      <c r="AW50" s="27"/>
      <c r="AX50" s="27"/>
      <c r="AY50" s="27"/>
      <c r="AZ50" s="27"/>
      <c r="BA50" s="27"/>
      <c r="BB50" s="27"/>
      <c r="BC50" s="27"/>
      <c r="BD50" s="27"/>
      <c r="BE50" s="27"/>
      <c r="BF50" s="27"/>
      <c r="BG50" s="27"/>
      <c r="BH50" s="27"/>
      <c r="BI50" s="27"/>
      <c r="BJ50" s="27"/>
      <c r="BK50" s="27"/>
      <c r="BL50" s="27"/>
      <c r="BM50" s="27"/>
      <c r="BN50" s="27"/>
      <c r="BO50" s="27"/>
      <c r="BP50" s="27"/>
      <c r="BQ50" s="27"/>
      <c r="BR50" s="27"/>
      <c r="BS50" s="27"/>
      <c r="BT50" s="27"/>
      <c r="BU50" s="27"/>
      <c r="BV50" s="27"/>
      <c r="BW50" s="27"/>
      <c r="BX50" s="27"/>
      <c r="BY50" s="27"/>
      <c r="BZ50" s="27"/>
      <c r="CA50" s="27"/>
      <c r="CB50" s="27"/>
      <c r="CC50" s="27"/>
      <c r="CD50" s="27"/>
    </row>
    <row r="51" spans="1:82" ht="31.5">
      <c r="A51" s="38" t="str">
        <f t="shared" si="5"/>
        <v>LDA</v>
      </c>
      <c r="B51" s="32" t="str">
        <f>"R["&amp;H51&amp;"] &lt;= MEM["&amp;K51&amp;"] "</f>
        <v xml:space="preserve">R[1] &lt;= MEM[120] </v>
      </c>
      <c r="C51" s="41" t="s">
        <v>257</v>
      </c>
      <c r="D51" s="32" t="str">
        <f t="shared" si="6"/>
        <v>B LDA R1,R0,120</v>
      </c>
      <c r="E51" s="37"/>
      <c r="F51" s="61" t="s">
        <v>233</v>
      </c>
      <c r="G51" s="38" t="s">
        <v>137</v>
      </c>
      <c r="H51" s="39">
        <v>1</v>
      </c>
      <c r="I51" s="39">
        <v>0</v>
      </c>
      <c r="J51" s="39" t="s">
        <v>231</v>
      </c>
      <c r="K51" s="40">
        <v>120</v>
      </c>
      <c r="L51" s="86" t="str">
        <f t="shared" si="9"/>
        <v>00000078</v>
      </c>
      <c r="M51" s="32">
        <f t="shared" si="7"/>
        <v>44</v>
      </c>
      <c r="N51" s="41"/>
      <c r="O51" s="32">
        <f t="shared" si="8"/>
        <v>0</v>
      </c>
      <c r="P51" s="39" t="str">
        <f>P50</f>
        <v>00000002</v>
      </c>
      <c r="Q51" s="60" t="e">
        <f ca="1">R51</f>
        <v>#NAME?</v>
      </c>
      <c r="R51" s="39" t="e">
        <f t="shared" ca="1" si="10"/>
        <v>#NAME?</v>
      </c>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44"/>
      <c r="AV51" s="27"/>
      <c r="AW51" s="27"/>
      <c r="AX51" s="27"/>
      <c r="AY51" s="27"/>
      <c r="AZ51" s="27"/>
      <c r="BA51" s="27"/>
      <c r="BB51" s="27"/>
      <c r="BC51" s="27"/>
      <c r="BD51" s="27"/>
      <c r="BE51" s="27"/>
      <c r="BF51" s="27"/>
      <c r="BG51" s="27"/>
      <c r="BH51" s="27"/>
      <c r="BI51" s="27"/>
      <c r="BJ51" s="27"/>
      <c r="BK51" s="27"/>
      <c r="BL51" s="27"/>
      <c r="BM51" s="27"/>
      <c r="BN51" s="27"/>
      <c r="BO51" s="27"/>
      <c r="BP51" s="27"/>
      <c r="BQ51" s="27"/>
      <c r="BR51" s="27"/>
      <c r="BS51" s="27"/>
      <c r="BT51" s="27"/>
      <c r="BU51" s="27"/>
      <c r="BV51" s="27"/>
      <c r="BW51" s="27"/>
      <c r="BX51" s="27"/>
      <c r="BY51" s="27"/>
      <c r="BZ51" s="27"/>
      <c r="CA51" s="27"/>
      <c r="CB51" s="27"/>
      <c r="CC51" s="27"/>
      <c r="CD51" s="27"/>
    </row>
    <row r="52" spans="1:82" ht="31.5">
      <c r="A52" s="30" t="str">
        <f t="shared" si="5"/>
        <v>STIX</v>
      </c>
      <c r="B52" s="34" t="str">
        <f>"EA &lt;= (R["&amp;I52&amp;"] + "&amp;K52&amp;")"&amp;CHAR(10)&amp;"MEM["&amp;H52&amp;"] &lt;= R[EA]"</f>
        <v>EA &lt;= (R[1] + 118)
MEM[3] &lt;= R[EA]</v>
      </c>
      <c r="C52" s="33" t="s">
        <v>258</v>
      </c>
      <c r="D52" s="32" t="str">
        <f t="shared" si="6"/>
        <v>B STIX R3,R1,118</v>
      </c>
      <c r="E52" s="37"/>
      <c r="F52" s="61" t="s">
        <v>233</v>
      </c>
      <c r="G52" s="38" t="s">
        <v>152</v>
      </c>
      <c r="H52" s="39">
        <v>3</v>
      </c>
      <c r="I52" s="39">
        <v>1</v>
      </c>
      <c r="J52" s="39" t="s">
        <v>231</v>
      </c>
      <c r="K52" s="40">
        <v>118</v>
      </c>
      <c r="L52" s="86" t="str">
        <f t="shared" si="9"/>
        <v>00000076</v>
      </c>
      <c r="M52" s="32">
        <f t="shared" si="7"/>
        <v>45</v>
      </c>
      <c r="N52" s="41"/>
      <c r="O52" s="32">
        <f t="shared" si="8"/>
        <v>0</v>
      </c>
      <c r="P52" s="39" t="str">
        <f>P51</f>
        <v>00000002</v>
      </c>
      <c r="Q52" s="39" t="e">
        <f t="shared" ref="Q52:Q58" ca="1" si="11">Q51</f>
        <v>#NAME?</v>
      </c>
      <c r="R52" s="39" t="e">
        <f t="shared" ca="1" si="10"/>
        <v>#NAME?</v>
      </c>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44"/>
      <c r="AV52" s="27"/>
      <c r="AW52" s="27"/>
      <c r="AX52" s="27"/>
      <c r="AY52" s="27"/>
      <c r="AZ52" s="27"/>
      <c r="BA52" s="27"/>
      <c r="BB52" s="27"/>
      <c r="BC52" s="27"/>
      <c r="BD52" s="27"/>
      <c r="BE52" s="27"/>
      <c r="BF52" s="27"/>
      <c r="BG52" s="27"/>
      <c r="BH52" s="27"/>
      <c r="BI52" s="27"/>
      <c r="BJ52" s="27"/>
      <c r="BK52" s="27"/>
      <c r="BL52" s="27"/>
      <c r="BM52" s="27"/>
      <c r="BN52" s="27"/>
      <c r="BO52" s="27"/>
      <c r="BP52" s="27"/>
      <c r="BQ52" s="27"/>
      <c r="BR52" s="27"/>
      <c r="BS52" s="27"/>
      <c r="BT52" s="27"/>
      <c r="BU52" s="27"/>
      <c r="BV52" s="27"/>
      <c r="BW52" s="27"/>
      <c r="BX52" s="27"/>
      <c r="BY52" s="27"/>
      <c r="BZ52" s="27"/>
      <c r="CA52" s="27"/>
      <c r="CB52" s="27"/>
      <c r="CC52" s="27"/>
      <c r="CD52" s="27"/>
    </row>
    <row r="53" spans="1:82">
      <c r="A53" s="32" t="str">
        <f t="shared" si="5"/>
        <v>LDU#</v>
      </c>
      <c r="B53" s="32" t="str">
        <f>"R["&amp;H53&amp;"] &lt;= "&amp;K53</f>
        <v>R[1] &lt;= 1</v>
      </c>
      <c r="C53" s="41" t="s">
        <v>231</v>
      </c>
      <c r="D53" s="32" t="str">
        <f t="shared" si="6"/>
        <v>B LDU R1,R0,1</v>
      </c>
      <c r="E53" s="37"/>
      <c r="F53" s="32" t="s">
        <v>233</v>
      </c>
      <c r="G53" s="32" t="str">
        <f>IF(K53&gt;=0,"LDU","LD")</f>
        <v>LDU</v>
      </c>
      <c r="H53" s="39">
        <v>1</v>
      </c>
      <c r="I53" s="39">
        <v>0</v>
      </c>
      <c r="J53" s="39" t="s">
        <v>231</v>
      </c>
      <c r="K53" s="39">
        <v>1</v>
      </c>
      <c r="L53" s="87" t="str">
        <f t="shared" si="9"/>
        <v>00000001</v>
      </c>
      <c r="M53" s="32">
        <f t="shared" si="7"/>
        <v>46</v>
      </c>
      <c r="N53" s="41"/>
      <c r="O53" s="32">
        <f t="shared" si="8"/>
        <v>0</v>
      </c>
      <c r="P53" s="88" t="str">
        <f>L53</f>
        <v>00000001</v>
      </c>
      <c r="Q53" s="39" t="e">
        <f t="shared" ca="1" si="11"/>
        <v>#NAME?</v>
      </c>
      <c r="R53" s="39" t="e">
        <f t="shared" ca="1" si="10"/>
        <v>#NAME?</v>
      </c>
      <c r="S53" s="89"/>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44"/>
      <c r="AV53" s="27"/>
      <c r="AW53" s="27"/>
      <c r="AX53" s="27"/>
      <c r="AY53" s="27"/>
      <c r="AZ53" s="27"/>
      <c r="BA53" s="27"/>
      <c r="BB53" s="27"/>
      <c r="BC53" s="27"/>
      <c r="BD53" s="27"/>
      <c r="BE53" s="27"/>
      <c r="BF53" s="27"/>
      <c r="BG53" s="27"/>
      <c r="BH53" s="27"/>
      <c r="BI53" s="27"/>
      <c r="BJ53" s="27"/>
      <c r="BK53" s="27"/>
      <c r="BL53" s="27"/>
      <c r="BM53" s="27"/>
      <c r="BN53" s="27"/>
      <c r="BO53" s="27"/>
      <c r="BP53" s="27"/>
      <c r="BQ53" s="27"/>
      <c r="BR53" s="27"/>
      <c r="BS53" s="27"/>
      <c r="BT53" s="27"/>
      <c r="BU53" s="27"/>
      <c r="BV53" s="27"/>
      <c r="BW53" s="27"/>
      <c r="BX53" s="27"/>
      <c r="BY53" s="27"/>
      <c r="BZ53" s="27"/>
      <c r="CA53" s="27"/>
      <c r="CB53" s="27"/>
      <c r="CC53" s="27"/>
      <c r="CD53" s="27"/>
    </row>
    <row r="54" spans="1:82" ht="31.5">
      <c r="A54" s="47" t="str">
        <f t="shared" si="5"/>
        <v>LDIX</v>
      </c>
      <c r="B54" s="51" t="str">
        <f>"EA &lt;= (R["&amp;I54&amp;"] + "&amp;K54&amp;")"&amp;CHAR(10)&amp;"R["&amp;H54&amp;"] &lt;= MEM[EA]"</f>
        <v>EA &lt;= (R[1] + 119)
R[1] &lt;= MEM[EA]</v>
      </c>
      <c r="C54" s="90" t="s">
        <v>259</v>
      </c>
      <c r="D54" s="32" t="str">
        <f t="shared" si="6"/>
        <v>B LDIX R1,R1,119</v>
      </c>
      <c r="E54" s="37"/>
      <c r="F54" s="61" t="s">
        <v>233</v>
      </c>
      <c r="G54" s="38" t="s">
        <v>147</v>
      </c>
      <c r="H54" s="39">
        <v>1</v>
      </c>
      <c r="I54" s="39">
        <v>1</v>
      </c>
      <c r="J54" s="39" t="s">
        <v>231</v>
      </c>
      <c r="K54" s="40">
        <v>119</v>
      </c>
      <c r="L54" s="86" t="str">
        <f t="shared" si="9"/>
        <v>00000077</v>
      </c>
      <c r="M54" s="32">
        <f t="shared" si="7"/>
        <v>47</v>
      </c>
      <c r="N54" s="41"/>
      <c r="O54" s="32">
        <f t="shared" si="8"/>
        <v>0</v>
      </c>
      <c r="P54" s="60" t="e">
        <f ca="1">R52</f>
        <v>#NAME?</v>
      </c>
      <c r="Q54" s="39" t="e">
        <f t="shared" ca="1" si="11"/>
        <v>#NAME?</v>
      </c>
      <c r="R54" s="39" t="e">
        <f t="shared" ca="1" si="10"/>
        <v>#NAME?</v>
      </c>
      <c r="S54" s="89"/>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44"/>
      <c r="AV54" s="27"/>
      <c r="AW54" s="27"/>
      <c r="AX54" s="27"/>
      <c r="AY54" s="27"/>
      <c r="AZ54" s="27"/>
      <c r="BA54" s="27"/>
      <c r="BB54" s="27"/>
      <c r="BC54" s="27"/>
      <c r="BD54" s="27"/>
      <c r="BE54" s="27"/>
      <c r="BF54" s="27"/>
      <c r="BG54" s="27"/>
      <c r="BH54" s="27"/>
      <c r="BI54" s="27"/>
      <c r="BJ54" s="27"/>
      <c r="BK54" s="27"/>
      <c r="BL54" s="27"/>
      <c r="BM54" s="27"/>
      <c r="BN54" s="27"/>
      <c r="BO54" s="27"/>
      <c r="BP54" s="27"/>
      <c r="BQ54" s="27"/>
      <c r="BR54" s="27"/>
      <c r="BS54" s="27"/>
      <c r="BT54" s="27"/>
      <c r="BU54" s="27"/>
      <c r="BV54" s="27"/>
      <c r="BW54" s="27"/>
      <c r="BX54" s="27"/>
      <c r="BY54" s="27"/>
      <c r="BZ54" s="27"/>
      <c r="CA54" s="27"/>
      <c r="CB54" s="27"/>
      <c r="CC54" s="27"/>
      <c r="CD54" s="27"/>
    </row>
    <row r="55" spans="1:82">
      <c r="A55" s="32" t="str">
        <f t="shared" si="5"/>
        <v>LDU#</v>
      </c>
      <c r="B55" s="32" t="str">
        <f>"R["&amp;H55&amp;"] &lt;= "&amp;K55</f>
        <v>R[1] &lt;= 50</v>
      </c>
      <c r="C55" s="41" t="s">
        <v>231</v>
      </c>
      <c r="D55" s="32" t="str">
        <f t="shared" si="6"/>
        <v>B LDU R1,R0,50</v>
      </c>
      <c r="E55" s="37"/>
      <c r="F55" s="32" t="s">
        <v>233</v>
      </c>
      <c r="G55" s="32" t="str">
        <f>IF(K55&gt;=0,"LDU","LD")</f>
        <v>LDU</v>
      </c>
      <c r="H55" s="39">
        <v>1</v>
      </c>
      <c r="I55" s="39">
        <v>0</v>
      </c>
      <c r="J55" s="39" t="s">
        <v>231</v>
      </c>
      <c r="K55" s="39">
        <v>50</v>
      </c>
      <c r="L55" s="87" t="str">
        <f t="shared" si="9"/>
        <v>00000032</v>
      </c>
      <c r="M55" s="32">
        <f t="shared" si="7"/>
        <v>48</v>
      </c>
      <c r="N55" s="41"/>
      <c r="O55" s="32">
        <f t="shared" si="8"/>
        <v>0</v>
      </c>
      <c r="P55" s="88" t="str">
        <f>L55</f>
        <v>00000032</v>
      </c>
      <c r="Q55" s="39" t="e">
        <f t="shared" ca="1" si="11"/>
        <v>#NAME?</v>
      </c>
      <c r="R55" s="39" t="e">
        <f t="shared" ca="1" si="10"/>
        <v>#NAME?</v>
      </c>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44"/>
      <c r="AV55" s="27"/>
      <c r="AW55" s="27"/>
      <c r="AX55" s="27"/>
      <c r="AY55" s="27"/>
      <c r="AZ55" s="27"/>
      <c r="BA55" s="27"/>
      <c r="BB55" s="27"/>
      <c r="BC55" s="27"/>
      <c r="BD55" s="27"/>
      <c r="BE55" s="27"/>
      <c r="BF55" s="27"/>
      <c r="BG55" s="27"/>
      <c r="BH55" s="27"/>
      <c r="BI55" s="27"/>
      <c r="BJ55" s="27"/>
      <c r="BK55" s="27"/>
      <c r="BL55" s="27"/>
      <c r="BM55" s="27"/>
      <c r="BN55" s="27"/>
      <c r="BO55" s="27"/>
      <c r="BP55" s="27"/>
      <c r="BQ55" s="27"/>
      <c r="BR55" s="27"/>
      <c r="BS55" s="27"/>
      <c r="BT55" s="27"/>
      <c r="BU55" s="27"/>
      <c r="BV55" s="27"/>
      <c r="BW55" s="27"/>
      <c r="BX55" s="27"/>
      <c r="BY55" s="27"/>
      <c r="BZ55" s="27"/>
      <c r="CA55" s="27"/>
      <c r="CB55" s="27"/>
      <c r="CC55" s="27"/>
      <c r="CD55" s="27"/>
    </row>
    <row r="56" spans="1:82" ht="31.5">
      <c r="A56" s="38" t="str">
        <f t="shared" si="5"/>
        <v>MOVE</v>
      </c>
      <c r="B56" s="32" t="str">
        <f>"R["&amp;H56&amp;"] &lt;= R["&amp;I56&amp;"]"</f>
        <v>R[3] &lt;= R[1]</v>
      </c>
      <c r="C56" s="41" t="s">
        <v>260</v>
      </c>
      <c r="D56" s="32" t="str">
        <f t="shared" si="6"/>
        <v>A MOVE R3,R1,R2</v>
      </c>
      <c r="E56" s="37"/>
      <c r="F56" s="38" t="s">
        <v>237</v>
      </c>
      <c r="G56" s="38" t="s">
        <v>57</v>
      </c>
      <c r="H56" s="39">
        <v>3</v>
      </c>
      <c r="I56" s="39">
        <v>1</v>
      </c>
      <c r="J56" s="39">
        <v>2</v>
      </c>
      <c r="K56" s="39" t="s">
        <v>231</v>
      </c>
      <c r="L56" s="91" t="s">
        <v>231</v>
      </c>
      <c r="M56" s="32">
        <f t="shared" si="7"/>
        <v>49</v>
      </c>
      <c r="N56" s="41"/>
      <c r="O56" s="32">
        <f t="shared" si="8"/>
        <v>0</v>
      </c>
      <c r="P56" s="39" t="str">
        <f>P55</f>
        <v>00000032</v>
      </c>
      <c r="Q56" s="39" t="e">
        <f t="shared" ca="1" si="11"/>
        <v>#NAME?</v>
      </c>
      <c r="R56" s="60" t="str">
        <f>P56</f>
        <v>00000032</v>
      </c>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44"/>
      <c r="AV56" s="27"/>
      <c r="AW56" s="27"/>
      <c r="AX56" s="27"/>
      <c r="AY56" s="27"/>
      <c r="AZ56" s="27"/>
      <c r="BA56" s="27"/>
      <c r="BB56" s="27"/>
      <c r="BC56" s="27"/>
      <c r="BD56" s="27"/>
      <c r="BE56" s="27"/>
      <c r="BF56" s="27"/>
      <c r="BG56" s="27"/>
      <c r="BH56" s="27"/>
      <c r="BI56" s="27"/>
      <c r="BJ56" s="27"/>
      <c r="BK56" s="27"/>
      <c r="BL56" s="27"/>
      <c r="BM56" s="27"/>
      <c r="BN56" s="27"/>
      <c r="BO56" s="27"/>
      <c r="BP56" s="27"/>
      <c r="BQ56" s="27"/>
      <c r="BR56" s="27"/>
      <c r="BS56" s="27"/>
      <c r="BT56" s="27"/>
      <c r="BU56" s="27"/>
      <c r="BV56" s="27"/>
      <c r="BW56" s="27"/>
      <c r="BX56" s="27"/>
      <c r="BY56" s="27"/>
      <c r="BZ56" s="27"/>
      <c r="CA56" s="27"/>
      <c r="CB56" s="27"/>
      <c r="CC56" s="27"/>
      <c r="CD56" s="27"/>
    </row>
    <row r="57" spans="1:82">
      <c r="A57" s="32" t="str">
        <f t="shared" si="5"/>
        <v>LDU#</v>
      </c>
      <c r="B57" s="32" t="str">
        <f>"R["&amp;H57&amp;"] &lt;= "&amp;K57</f>
        <v>R[1] &lt;= 106</v>
      </c>
      <c r="C57" s="41" t="s">
        <v>231</v>
      </c>
      <c r="D57" s="32" t="str">
        <f t="shared" si="6"/>
        <v>B LDU R1,R0,106</v>
      </c>
      <c r="E57" s="37"/>
      <c r="F57" s="32" t="s">
        <v>233</v>
      </c>
      <c r="G57" s="32" t="str">
        <f>IF(K57&gt;=0,"LDU","LD")</f>
        <v>LDU</v>
      </c>
      <c r="H57" s="39">
        <v>1</v>
      </c>
      <c r="I57" s="39">
        <v>0</v>
      </c>
      <c r="J57" s="39" t="s">
        <v>231</v>
      </c>
      <c r="K57" s="39">
        <v>106</v>
      </c>
      <c r="L57" s="87" t="str">
        <f>RIGHT(DEC2HEX(K57,10),8)</f>
        <v>0000006A</v>
      </c>
      <c r="M57" s="32">
        <f t="shared" si="7"/>
        <v>50</v>
      </c>
      <c r="N57" s="41"/>
      <c r="O57" s="32">
        <f t="shared" si="8"/>
        <v>0</v>
      </c>
      <c r="P57" s="88" t="str">
        <f>L57</f>
        <v>0000006A</v>
      </c>
      <c r="Q57" s="39" t="e">
        <f t="shared" ca="1" si="11"/>
        <v>#NAME?</v>
      </c>
      <c r="R57" s="39" t="str">
        <f>R56</f>
        <v>00000032</v>
      </c>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44"/>
      <c r="AV57" s="27"/>
      <c r="AW57" s="27"/>
      <c r="AX57" s="27"/>
      <c r="AY57" s="27"/>
      <c r="AZ57" s="27"/>
      <c r="BA57" s="27"/>
      <c r="BB57" s="27"/>
      <c r="BC57" s="27"/>
      <c r="BD57" s="27"/>
      <c r="BE57" s="27"/>
      <c r="BF57" s="27"/>
      <c r="BG57" s="27"/>
      <c r="BH57" s="27"/>
      <c r="BI57" s="27"/>
      <c r="BJ57" s="27"/>
      <c r="BK57" s="27"/>
      <c r="BL57" s="27"/>
      <c r="BM57" s="27"/>
      <c r="BN57" s="27"/>
      <c r="BO57" s="27"/>
      <c r="BP57" s="27"/>
      <c r="BQ57" s="27"/>
      <c r="BR57" s="27"/>
      <c r="BS57" s="27"/>
      <c r="BT57" s="27"/>
      <c r="BU57" s="27"/>
      <c r="BV57" s="27"/>
      <c r="BW57" s="27"/>
      <c r="BX57" s="27"/>
      <c r="BY57" s="27"/>
      <c r="BZ57" s="27"/>
      <c r="CA57" s="27"/>
      <c r="CB57" s="27"/>
      <c r="CC57" s="27"/>
      <c r="CD57" s="27"/>
    </row>
    <row r="58" spans="1:82" ht="31.5">
      <c r="A58" s="38" t="str">
        <f t="shared" si="5"/>
        <v>LBI</v>
      </c>
      <c r="B58" s="51" t="e">
        <f ca="1">"EA &lt;= (R["&amp;I58&amp;"] + R["&amp;J58&amp;"])="&amp;HEX2DEC(Q58)+HEX2DEC(P58)&amp;CHAR(10)&amp;"R["&amp;H58&amp;"] &lt;= MEM[EA]"</f>
        <v>#NAME?</v>
      </c>
      <c r="C58" s="41" t="s">
        <v>261</v>
      </c>
      <c r="D58" s="32" t="str">
        <f t="shared" si="6"/>
        <v>A LBI R3,R1,R2</v>
      </c>
      <c r="E58" s="37"/>
      <c r="F58" s="38" t="s">
        <v>237</v>
      </c>
      <c r="G58" s="38" t="s">
        <v>61</v>
      </c>
      <c r="H58" s="39">
        <v>3</v>
      </c>
      <c r="I58" s="39">
        <v>1</v>
      </c>
      <c r="J58" s="39">
        <v>2</v>
      </c>
      <c r="K58" s="39" t="s">
        <v>231</v>
      </c>
      <c r="L58" s="91" t="s">
        <v>231</v>
      </c>
      <c r="M58" s="32">
        <f t="shared" si="7"/>
        <v>51</v>
      </c>
      <c r="N58" s="41"/>
      <c r="O58" s="32">
        <f t="shared" si="8"/>
        <v>0</v>
      </c>
      <c r="P58" s="39" t="str">
        <f>P57</f>
        <v>0000006A</v>
      </c>
      <c r="Q58" s="39" t="e">
        <f t="shared" ca="1" si="11"/>
        <v>#NAME?</v>
      </c>
      <c r="R58" s="60" t="e">
        <f ca="1">P54</f>
        <v>#NAME?</v>
      </c>
      <c r="S58" s="36"/>
      <c r="T58" s="92"/>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44"/>
      <c r="AV58" s="27"/>
      <c r="AW58" s="27"/>
      <c r="AX58" s="27"/>
      <c r="AY58" s="27"/>
      <c r="AZ58" s="27"/>
      <c r="BA58" s="27"/>
      <c r="BB58" s="27"/>
      <c r="BC58" s="27"/>
      <c r="BD58" s="27"/>
      <c r="BE58" s="27"/>
      <c r="BF58" s="27"/>
      <c r="BG58" s="27"/>
      <c r="BH58" s="27"/>
      <c r="BI58" s="27"/>
      <c r="BJ58" s="27"/>
      <c r="BK58" s="27"/>
      <c r="BL58" s="27"/>
      <c r="BM58" s="27"/>
      <c r="BN58" s="27"/>
      <c r="BO58" s="27"/>
      <c r="BP58" s="27"/>
      <c r="BQ58" s="27"/>
      <c r="BR58" s="27"/>
      <c r="BS58" s="27"/>
      <c r="BT58" s="27"/>
      <c r="BU58" s="27"/>
      <c r="BV58" s="27"/>
      <c r="BW58" s="27"/>
      <c r="BX58" s="27"/>
      <c r="BY58" s="27"/>
      <c r="BZ58" s="27"/>
      <c r="CA58" s="27"/>
      <c r="CB58" s="27"/>
      <c r="CC58" s="27"/>
      <c r="CD58" s="27"/>
    </row>
    <row r="59" spans="1:82">
      <c r="A59" s="32" t="str">
        <f t="shared" si="5"/>
        <v>LDU#</v>
      </c>
      <c r="B59" s="32" t="str">
        <f>"R["&amp;H59&amp;"] &lt;= "&amp;K59</f>
        <v>R[2] &lt;= 120</v>
      </c>
      <c r="C59" s="41" t="s">
        <v>231</v>
      </c>
      <c r="D59" s="32" t="str">
        <f t="shared" si="6"/>
        <v>B LDU R2,R0,120</v>
      </c>
      <c r="E59" s="37"/>
      <c r="F59" s="32" t="s">
        <v>233</v>
      </c>
      <c r="G59" s="32" t="str">
        <f>IF(K59&gt;=0,"LDU","LD")</f>
        <v>LDU</v>
      </c>
      <c r="H59" s="39">
        <v>2</v>
      </c>
      <c r="I59" s="39">
        <v>0</v>
      </c>
      <c r="J59" s="39" t="s">
        <v>231</v>
      </c>
      <c r="K59" s="39">
        <v>120</v>
      </c>
      <c r="L59" s="87" t="str">
        <f>RIGHT(DEC2HEX(K59,10),8)</f>
        <v>00000078</v>
      </c>
      <c r="M59" s="32">
        <f t="shared" si="7"/>
        <v>52</v>
      </c>
      <c r="N59" s="41"/>
      <c r="O59" s="32">
        <f t="shared" si="8"/>
        <v>0</v>
      </c>
      <c r="P59" s="39" t="str">
        <f>P58</f>
        <v>0000006A</v>
      </c>
      <c r="Q59" s="39" t="str">
        <f>L59</f>
        <v>00000078</v>
      </c>
      <c r="R59" s="39" t="e">
        <f ca="1">R58</f>
        <v>#NAME?</v>
      </c>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44"/>
      <c r="AV59" s="27"/>
      <c r="AW59" s="27"/>
      <c r="AX59" s="27"/>
      <c r="AY59" s="27"/>
      <c r="AZ59" s="27"/>
      <c r="BA59" s="27"/>
      <c r="BB59" s="27"/>
      <c r="BC59" s="27"/>
      <c r="BD59" s="27"/>
      <c r="BE59" s="27"/>
      <c r="BF59" s="27"/>
      <c r="BG59" s="27"/>
      <c r="BH59" s="27"/>
      <c r="BI59" s="27"/>
      <c r="BJ59" s="27"/>
      <c r="BK59" s="27"/>
      <c r="BL59" s="27"/>
      <c r="BM59" s="27"/>
      <c r="BN59" s="27"/>
      <c r="BO59" s="27"/>
      <c r="BP59" s="27"/>
      <c r="BQ59" s="27"/>
      <c r="BR59" s="27"/>
      <c r="BS59" s="27"/>
      <c r="BT59" s="27"/>
      <c r="BU59" s="27"/>
      <c r="BV59" s="27"/>
      <c r="BW59" s="27"/>
      <c r="BX59" s="27"/>
      <c r="BY59" s="27"/>
      <c r="BZ59" s="27"/>
      <c r="CA59" s="27"/>
      <c r="CB59" s="27"/>
      <c r="CC59" s="27"/>
      <c r="CD59" s="27"/>
    </row>
    <row r="60" spans="1:82" ht="33" thickTop="1" thickBot="1">
      <c r="A60" s="38" t="str">
        <f t="shared" si="5"/>
        <v>LDRi</v>
      </c>
      <c r="B60" s="51" t="str">
        <f>"EA &lt;= (R["&amp;J60&amp;"])"&amp;CHAR(10)&amp;"R["&amp;H60&amp;"] &lt;= MEM[EA]"</f>
        <v>EA &lt;= (R[2])
R[1] &lt;= MEM[EA]</v>
      </c>
      <c r="C60" s="41" t="s">
        <v>262</v>
      </c>
      <c r="D60" s="32" t="str">
        <f t="shared" si="6"/>
        <v>A LDRi R1,R1,R2</v>
      </c>
      <c r="E60" s="37"/>
      <c r="F60" s="38" t="s">
        <v>237</v>
      </c>
      <c r="G60" s="38" t="s">
        <v>65</v>
      </c>
      <c r="H60" s="39">
        <v>1</v>
      </c>
      <c r="I60" s="39">
        <v>1</v>
      </c>
      <c r="J60" s="39">
        <v>2</v>
      </c>
      <c r="K60" s="39" t="s">
        <v>231</v>
      </c>
      <c r="L60" s="91" t="s">
        <v>231</v>
      </c>
      <c r="M60" s="32">
        <f t="shared" si="7"/>
        <v>53</v>
      </c>
      <c r="N60" s="41"/>
      <c r="O60" s="32">
        <f t="shared" si="8"/>
        <v>0</v>
      </c>
      <c r="P60" s="60" t="e">
        <f ca="1">R58</f>
        <v>#NAME?</v>
      </c>
      <c r="Q60" s="39" t="str">
        <f>Q59</f>
        <v>00000078</v>
      </c>
      <c r="R60" s="39" t="e">
        <f ca="1">R59</f>
        <v>#NAME?</v>
      </c>
      <c r="S60" s="36"/>
      <c r="T60" s="92"/>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44"/>
      <c r="AV60" s="27"/>
      <c r="AW60" s="27"/>
      <c r="AX60" s="27"/>
      <c r="AY60" s="27"/>
      <c r="AZ60" s="27"/>
      <c r="BA60" s="27"/>
      <c r="BB60" s="27"/>
      <c r="BC60" s="27"/>
      <c r="BD60" s="27"/>
      <c r="BE60" s="27"/>
      <c r="BF60" s="27"/>
      <c r="BG60" s="27"/>
      <c r="BH60" s="27"/>
      <c r="BI60" s="27"/>
      <c r="BJ60" s="27"/>
      <c r="BK60" s="27"/>
      <c r="BL60" s="27"/>
      <c r="BM60" s="27"/>
      <c r="BN60" s="27"/>
      <c r="BO60" s="27"/>
      <c r="BP60" s="27"/>
      <c r="BQ60" s="27"/>
      <c r="BR60" s="27"/>
      <c r="BS60" s="27"/>
      <c r="BT60" s="27"/>
      <c r="BU60" s="27"/>
      <c r="BV60" s="27"/>
      <c r="BW60" s="27"/>
      <c r="BX60" s="27"/>
      <c r="BY60" s="27"/>
      <c r="BZ60" s="27"/>
      <c r="CA60" s="27"/>
      <c r="CB60" s="27"/>
      <c r="CC60" s="27"/>
      <c r="CD60" s="27"/>
    </row>
    <row r="61" spans="1:82" ht="17.25" thickTop="1" thickBot="1">
      <c r="A61" s="32"/>
      <c r="B61" s="51"/>
      <c r="C61" s="41"/>
      <c r="D61" s="32"/>
      <c r="E61" s="37"/>
      <c r="F61" s="32"/>
      <c r="G61" s="32"/>
      <c r="H61" s="39"/>
      <c r="I61" s="39"/>
      <c r="J61" s="39"/>
      <c r="K61" s="39"/>
      <c r="L61" s="91"/>
      <c r="M61" s="32" t="e">
        <f>#REF!+1</f>
        <v>#REF!</v>
      </c>
      <c r="N61" s="41"/>
      <c r="O61" s="32" t="e">
        <f>#REF!</f>
        <v>#REF!</v>
      </c>
      <c r="P61" s="39"/>
      <c r="Q61" s="39"/>
      <c r="R61" s="39"/>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44"/>
      <c r="AV61" s="27"/>
      <c r="AW61" s="27"/>
      <c r="AX61" s="27"/>
      <c r="AY61" s="27"/>
      <c r="AZ61" s="27"/>
      <c r="BA61" s="27"/>
      <c r="BB61" s="27"/>
      <c r="BC61" s="27"/>
      <c r="BD61" s="27"/>
      <c r="BE61" s="27"/>
      <c r="BF61" s="27"/>
      <c r="BG61" s="27"/>
      <c r="BH61" s="27"/>
      <c r="BI61" s="27"/>
      <c r="BJ61" s="27"/>
      <c r="BK61" s="27"/>
      <c r="BL61" s="27"/>
      <c r="BM61" s="27"/>
      <c r="BN61" s="27"/>
      <c r="BO61" s="27"/>
      <c r="BP61" s="27"/>
      <c r="BQ61" s="27"/>
      <c r="BR61" s="27"/>
      <c r="BS61" s="27"/>
      <c r="BT61" s="27"/>
      <c r="BU61" s="27"/>
      <c r="BV61" s="27"/>
      <c r="BW61" s="27"/>
      <c r="BX61" s="27"/>
      <c r="BY61" s="27"/>
      <c r="BZ61" s="27"/>
      <c r="CA61" s="27"/>
      <c r="CB61" s="27"/>
      <c r="CC61" s="27"/>
      <c r="CD61" s="27"/>
    </row>
    <row r="62" spans="1:82">
      <c r="A62" s="32"/>
      <c r="B62" s="32"/>
      <c r="C62" s="41"/>
      <c r="D62" s="32"/>
      <c r="E62" s="37"/>
      <c r="F62" s="39"/>
      <c r="G62" s="39"/>
      <c r="H62" s="39"/>
      <c r="I62" s="39"/>
      <c r="J62" s="32"/>
      <c r="K62" s="32"/>
      <c r="L62" s="32"/>
      <c r="M62" s="32" t="e">
        <f>M61+1</f>
        <v>#REF!</v>
      </c>
      <c r="N62" s="41"/>
      <c r="O62" s="32" t="e">
        <f t="shared" si="8"/>
        <v>#REF!</v>
      </c>
      <c r="P62" s="32"/>
      <c r="Q62" s="32"/>
      <c r="R62" s="9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44"/>
      <c r="AV62" s="27"/>
      <c r="AW62" s="27"/>
      <c r="AX62" s="27"/>
      <c r="AY62" s="27"/>
      <c r="AZ62" s="27"/>
      <c r="BA62" s="27"/>
      <c r="BB62" s="27"/>
      <c r="BC62" s="27"/>
      <c r="BD62" s="27"/>
      <c r="BE62" s="27"/>
      <c r="BF62" s="27"/>
      <c r="BG62" s="27"/>
      <c r="BH62" s="27"/>
      <c r="BI62" s="27"/>
      <c r="BJ62" s="27"/>
      <c r="BK62" s="27"/>
      <c r="BL62" s="27"/>
      <c r="BM62" s="27"/>
      <c r="BN62" s="27"/>
      <c r="BO62" s="27"/>
      <c r="BP62" s="27"/>
      <c r="BQ62" s="27"/>
      <c r="BR62" s="27"/>
      <c r="BS62" s="27"/>
      <c r="BT62" s="27"/>
      <c r="BU62" s="27"/>
      <c r="BV62" s="27"/>
      <c r="BW62" s="27"/>
      <c r="BX62" s="27"/>
      <c r="BY62" s="27"/>
      <c r="BZ62" s="27"/>
      <c r="CA62" s="27"/>
      <c r="CB62" s="27"/>
      <c r="CC62" s="27"/>
      <c r="CD62" s="27"/>
    </row>
    <row r="63" spans="1:82">
      <c r="A63" s="32" t="str">
        <f>IF(AND(F63="B",IF(OR(G63="LD",G63="LDU",G63="ADD",G63="SUB",G63="AND",G63="OR",G63="XOR"),1,0)),CONCATENATE(G63,"#"),G63)</f>
        <v>LDU#</v>
      </c>
      <c r="B63" s="32" t="str">
        <f>"R["&amp;H63&amp;"] &lt;= "&amp;K63</f>
        <v>R[1] &lt;= 32</v>
      </c>
      <c r="C63" s="41" t="s">
        <v>231</v>
      </c>
      <c r="D63" s="51" t="str">
        <f>IF(F63="A",CONCATENATE(F63," ",G63," R",H63,",R",I63,",R",J63),IF(F63="B",CONCATENATE(F63," ",G63," R",H63,",R",I63,",",K63),CONCATENATE(F63," ",G63," ",K63)))</f>
        <v>B LDU R1,R0,32</v>
      </c>
      <c r="E63" s="45"/>
      <c r="F63" s="51" t="s">
        <v>233</v>
      </c>
      <c r="G63" s="51" t="str">
        <f>IF(K63&gt;=0,"LDU","LD")</f>
        <v>LDU</v>
      </c>
      <c r="H63" s="48">
        <v>1</v>
      </c>
      <c r="I63" s="48">
        <v>0</v>
      </c>
      <c r="J63" s="48" t="s">
        <v>231</v>
      </c>
      <c r="K63" s="48">
        <v>32</v>
      </c>
      <c r="L63" s="97" t="str">
        <f>RIGHT(DEC2HEX(K63,10),8)</f>
        <v>00000020</v>
      </c>
      <c r="M63" s="51" t="e">
        <f>M62+1</f>
        <v>#REF!</v>
      </c>
      <c r="N63" s="90"/>
      <c r="O63" s="51" t="e">
        <f t="shared" si="8"/>
        <v>#REF!</v>
      </c>
      <c r="P63" s="48" t="str">
        <f>L63</f>
        <v>00000020</v>
      </c>
      <c r="Q63" s="48" t="str">
        <f>L63</f>
        <v>00000020</v>
      </c>
      <c r="R63" s="48">
        <f>R62</f>
        <v>0</v>
      </c>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44"/>
      <c r="AV63" s="27"/>
      <c r="AW63" s="27"/>
      <c r="AX63" s="27"/>
      <c r="AY63" s="27"/>
      <c r="AZ63" s="27"/>
      <c r="BA63" s="27"/>
      <c r="BB63" s="27"/>
      <c r="BC63" s="27"/>
      <c r="BD63" s="27"/>
      <c r="BE63" s="27"/>
      <c r="BF63" s="27"/>
      <c r="BG63" s="27"/>
      <c r="BH63" s="27"/>
      <c r="BI63" s="27"/>
      <c r="BJ63" s="27"/>
      <c r="BK63" s="27"/>
      <c r="BL63" s="27"/>
      <c r="BM63" s="27"/>
      <c r="BN63" s="27"/>
      <c r="BO63" s="27"/>
      <c r="BP63" s="27"/>
      <c r="BQ63" s="27"/>
      <c r="BR63" s="27"/>
      <c r="BS63" s="27"/>
      <c r="BT63" s="27"/>
      <c r="BU63" s="27"/>
      <c r="BV63" s="27"/>
      <c r="BW63" s="27"/>
      <c r="BX63" s="27"/>
      <c r="BY63" s="27"/>
      <c r="BZ63" s="27"/>
      <c r="CA63" s="27"/>
      <c r="CB63" s="27"/>
      <c r="CC63" s="27"/>
      <c r="CD63" s="27"/>
    </row>
    <row r="64" spans="1:82" ht="31.5">
      <c r="A64" s="47" t="str">
        <f>IF(AND(F64="B",IF(OR(G64="LD",G64="LDU",G64="ADD",G64="SUB",G64="AND",G64="OR",G64="XOR"),1,0)),CONCATENATE(G64,"#"),G64)</f>
        <v>JMP</v>
      </c>
      <c r="B64" s="51" t="str">
        <f>"PC &lt;= R["&amp;I64&amp;"] "</f>
        <v xml:space="preserve">PC &lt;= R[1] </v>
      </c>
      <c r="C64" s="90" t="s">
        <v>263</v>
      </c>
      <c r="D64" s="34" t="str">
        <f>IF(F64="A",CONCATENATE(F64," ",G64," R",H64,",R",I64,",R",J64),IF(F64="B",CONCATENATE(F64," ",G64," R",H64,",R",I64,",",K64),CONCATENATE(F64," ",G64," ",K64)))</f>
        <v>A JMP R1,R1,R0</v>
      </c>
      <c r="E64" s="65"/>
      <c r="F64" s="30" t="s">
        <v>237</v>
      </c>
      <c r="G64" s="30" t="s">
        <v>86</v>
      </c>
      <c r="H64" s="66">
        <v>1</v>
      </c>
      <c r="I64" s="66">
        <v>1</v>
      </c>
      <c r="J64" s="66">
        <v>0</v>
      </c>
      <c r="K64" s="76" t="s">
        <v>231</v>
      </c>
      <c r="L64" s="94" t="s">
        <v>231</v>
      </c>
      <c r="M64" s="95" t="str">
        <f>"MEM["&amp;I64&amp;"]"</f>
        <v>MEM[1]</v>
      </c>
      <c r="N64" s="33"/>
      <c r="O64" s="34" t="e">
        <f t="shared" si="8"/>
        <v>#REF!</v>
      </c>
      <c r="P64" s="66" t="str">
        <f>P63</f>
        <v>00000020</v>
      </c>
      <c r="Q64" s="66" t="str">
        <f>Q63</f>
        <v>00000020</v>
      </c>
      <c r="R64" s="66">
        <f>R63</f>
        <v>0</v>
      </c>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44"/>
      <c r="AV64" s="27"/>
      <c r="AW64" s="27"/>
      <c r="AX64" s="27"/>
      <c r="AY64" s="27"/>
      <c r="AZ64" s="27"/>
      <c r="BA64" s="27"/>
      <c r="BB64" s="27"/>
      <c r="BC64" s="27"/>
      <c r="BD64" s="27"/>
      <c r="BE64" s="27"/>
      <c r="BF64" s="27"/>
      <c r="BG64" s="27"/>
      <c r="BH64" s="27"/>
      <c r="BI64" s="27"/>
      <c r="BJ64" s="27"/>
      <c r="BK64" s="27"/>
      <c r="BL64" s="27"/>
      <c r="BM64" s="27"/>
      <c r="BN64" s="27"/>
      <c r="BO64" s="27"/>
      <c r="BP64" s="27"/>
      <c r="BQ64" s="27"/>
      <c r="BR64" s="27"/>
      <c r="BS64" s="27"/>
      <c r="BT64" s="27"/>
      <c r="BU64" s="27"/>
      <c r="BV64" s="27"/>
      <c r="BW64" s="27"/>
      <c r="BX64" s="27"/>
      <c r="BY64" s="27"/>
      <c r="BZ64" s="27"/>
      <c r="CA64" s="27"/>
      <c r="CB64" s="27"/>
      <c r="CC64" s="27"/>
      <c r="CD64" s="27"/>
    </row>
    <row r="65" spans="1:82">
      <c r="A65" s="32"/>
      <c r="B65" s="32"/>
      <c r="C65" s="41"/>
      <c r="D65" s="32"/>
      <c r="E65" s="37"/>
      <c r="F65" s="39"/>
      <c r="G65" s="39"/>
      <c r="H65" s="39"/>
      <c r="I65" s="39"/>
      <c r="J65" s="32"/>
      <c r="K65" s="32"/>
      <c r="L65" s="32"/>
      <c r="M65" s="32" t="e">
        <f>M64+1</f>
        <v>#VALUE!</v>
      </c>
      <c r="N65" s="41"/>
      <c r="O65" s="32" t="e">
        <f t="shared" si="8"/>
        <v>#REF!</v>
      </c>
      <c r="P65" s="32"/>
      <c r="Q65" s="32"/>
      <c r="R65" s="9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44"/>
      <c r="AV65" s="27"/>
      <c r="AW65" s="27"/>
      <c r="AX65" s="27"/>
      <c r="AY65" s="27"/>
      <c r="AZ65" s="27"/>
      <c r="BA65" s="27"/>
      <c r="BB65" s="27"/>
      <c r="BC65" s="27"/>
      <c r="BD65" s="27"/>
      <c r="BE65" s="27"/>
      <c r="BF65" s="27"/>
      <c r="BG65" s="27"/>
      <c r="BH65" s="27"/>
      <c r="BI65" s="27"/>
      <c r="BJ65" s="27"/>
      <c r="BK65" s="27"/>
      <c r="BL65" s="27"/>
      <c r="BM65" s="27"/>
      <c r="BN65" s="27"/>
      <c r="BO65" s="27"/>
      <c r="BP65" s="27"/>
      <c r="BQ65" s="27"/>
      <c r="BR65" s="27"/>
      <c r="BS65" s="27"/>
      <c r="BT65" s="27"/>
      <c r="BU65" s="27"/>
      <c r="BV65" s="27"/>
      <c r="BW65" s="27"/>
      <c r="BX65" s="27"/>
      <c r="BY65" s="27"/>
      <c r="BZ65" s="27"/>
      <c r="CA65" s="27"/>
      <c r="CB65" s="27"/>
      <c r="CC65" s="27"/>
      <c r="CD65" s="27"/>
    </row>
    <row r="66" spans="1:82">
      <c r="A66" s="32"/>
      <c r="B66" s="32"/>
      <c r="C66" s="41"/>
      <c r="D66" s="34"/>
      <c r="E66" s="65"/>
      <c r="F66" s="34"/>
      <c r="G66" s="34"/>
      <c r="H66" s="66"/>
      <c r="I66" s="66"/>
      <c r="J66" s="66"/>
      <c r="K66" s="66"/>
      <c r="L66" s="94"/>
      <c r="M66" s="34" t="e">
        <f>M65+1</f>
        <v>#VALUE!</v>
      </c>
      <c r="N66" s="33"/>
      <c r="O66" s="34" t="e">
        <f t="shared" si="8"/>
        <v>#REF!</v>
      </c>
      <c r="P66" s="66"/>
      <c r="Q66" s="66"/>
      <c r="R66" s="6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c r="AU66" s="44"/>
      <c r="AV66" s="27"/>
      <c r="AW66" s="27"/>
      <c r="AX66" s="27"/>
      <c r="AY66" s="27"/>
      <c r="AZ66" s="27"/>
      <c r="BA66" s="27"/>
      <c r="BB66" s="27"/>
      <c r="BC66" s="27"/>
      <c r="BD66" s="27"/>
      <c r="BE66" s="27"/>
      <c r="BF66" s="27"/>
      <c r="BG66" s="27"/>
      <c r="BH66" s="27"/>
      <c r="BI66" s="27"/>
      <c r="BJ66" s="27"/>
      <c r="BK66" s="27"/>
      <c r="BL66" s="27"/>
      <c r="BM66" s="27"/>
      <c r="BN66" s="27"/>
      <c r="BO66" s="27"/>
      <c r="BP66" s="27"/>
      <c r="BQ66" s="27"/>
      <c r="BR66" s="27"/>
      <c r="BS66" s="27"/>
      <c r="BT66" s="27"/>
      <c r="BU66" s="27"/>
      <c r="BV66" s="27"/>
      <c r="BW66" s="27"/>
      <c r="BX66" s="27"/>
      <c r="BY66" s="27"/>
      <c r="BZ66" s="27"/>
      <c r="CA66" s="27"/>
      <c r="CB66" s="27"/>
      <c r="CC66" s="27"/>
      <c r="CD66" s="27"/>
    </row>
    <row r="67" spans="1:82" ht="62.25" customHeight="1">
      <c r="A67" s="47" t="str">
        <f>IF(AND(F67="B",IF(OR(G67="LD",G67="LDU",G67="ADD",G67="SUB",G67="AND",G67="OR",G67="XOR"),1,0)),CONCATENATE(G67,"#"),G67)</f>
        <v>JSR</v>
      </c>
      <c r="B67" s="51" t="str">
        <f>"R["&amp;H67&amp;"] &lt;= [PC] //R[30]=LINK"&amp;CHAR(10)&amp;"PC &lt;= R["&amp;I67&amp;"]"</f>
        <v>R[30] &lt;= [PC] //R[30]=LINK
PC &lt;= R[1]</v>
      </c>
      <c r="C67" s="90" t="s">
        <v>264</v>
      </c>
      <c r="D67" s="32" t="str">
        <f>IF(F67="A",CONCATENATE(F67," ",G67," R",H67,",R",I67,",R",J67),IF(F67="B",CONCATENATE(F67," ",G67," R",H67,",R",I67,",",K67),CONCATENATE(F67," ",G67," ",K67)))</f>
        <v>A JSR R30,R1,R0</v>
      </c>
      <c r="E67" s="37"/>
      <c r="F67" s="38" t="s">
        <v>237</v>
      </c>
      <c r="G67" s="38" t="s">
        <v>91</v>
      </c>
      <c r="H67" s="39">
        <v>30</v>
      </c>
      <c r="I67" s="39">
        <v>1</v>
      </c>
      <c r="J67" s="39">
        <v>0</v>
      </c>
      <c r="K67" s="40" t="s">
        <v>231</v>
      </c>
      <c r="L67" s="91" t="s">
        <v>231</v>
      </c>
      <c r="M67" s="60" t="str">
        <f>"R["&amp;I67&amp;"]"</f>
        <v>R[1]</v>
      </c>
      <c r="N67" s="41"/>
      <c r="O67" s="32" t="e">
        <f t="shared" si="8"/>
        <v>#REF!</v>
      </c>
      <c r="P67" s="39">
        <f t="shared" ref="P67:R68" si="12">P66</f>
        <v>0</v>
      </c>
      <c r="Q67" s="39">
        <f t="shared" si="12"/>
        <v>0</v>
      </c>
      <c r="R67" s="39">
        <f t="shared" si="12"/>
        <v>0</v>
      </c>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44"/>
      <c r="AV67" s="27"/>
      <c r="AW67" s="27"/>
      <c r="AX67" s="27"/>
      <c r="AY67" s="27"/>
      <c r="AZ67" s="27"/>
      <c r="BA67" s="27"/>
      <c r="BB67" s="27"/>
      <c r="BC67" s="27"/>
      <c r="BD67" s="27"/>
      <c r="BE67" s="27"/>
      <c r="BF67" s="27"/>
      <c r="BG67" s="27"/>
      <c r="BH67" s="27"/>
      <c r="BI67" s="27"/>
      <c r="BJ67" s="27"/>
      <c r="BK67" s="27"/>
      <c r="BL67" s="27"/>
      <c r="BM67" s="27"/>
      <c r="BN67" s="27"/>
      <c r="BO67" s="27"/>
      <c r="BP67" s="27"/>
      <c r="BQ67" s="27"/>
      <c r="BR67" s="27"/>
      <c r="BS67" s="27"/>
      <c r="BT67" s="27"/>
      <c r="BU67" s="27"/>
      <c r="BV67" s="27"/>
      <c r="BW67" s="27"/>
      <c r="BX67" s="27"/>
      <c r="BY67" s="27"/>
      <c r="BZ67" s="27"/>
      <c r="CA67" s="27"/>
      <c r="CB67" s="27"/>
      <c r="CC67" s="27"/>
      <c r="CD67" s="27"/>
    </row>
    <row r="68" spans="1:82" ht="31.5">
      <c r="A68" s="47" t="str">
        <f>IF(AND(F68="B",IF(OR(G68="LD",G68="LDU",G68="ADD",G68="SUB",G68="AND",G68="OR",G68="XOR"),1,0)),CONCATENATE(G68,"#"),G68)</f>
        <v>RTS</v>
      </c>
      <c r="B68" s="51" t="str">
        <f>"PC &lt;= R["&amp;I68&amp;"]  //R[30]=LINK"</f>
        <v>PC &lt;= R[30]  //R[30]=LINK</v>
      </c>
      <c r="C68" s="90" t="s">
        <v>265</v>
      </c>
      <c r="D68" s="98" t="str">
        <f>IF(F68="A",CONCATENATE(F68," ",G68," R",H68,",R",I68,",R",J68),IF(F68="B",CONCATENATE(F68," ",G68," R",H68,",R",I68,",",K68),CONCATENATE(F68," ",G68," ",K68)))</f>
        <v>A RTS R1,R30,R0</v>
      </c>
      <c r="E68" s="99"/>
      <c r="F68" s="100" t="s">
        <v>237</v>
      </c>
      <c r="G68" s="100" t="s">
        <v>96</v>
      </c>
      <c r="H68" s="101">
        <v>1</v>
      </c>
      <c r="I68" s="101">
        <v>30</v>
      </c>
      <c r="J68" s="101">
        <v>0</v>
      </c>
      <c r="K68" s="102" t="s">
        <v>231</v>
      </c>
      <c r="L68" s="103" t="s">
        <v>231</v>
      </c>
      <c r="M68" s="104" t="str">
        <f>"R["&amp;I68&amp;"]"</f>
        <v>R[30]</v>
      </c>
      <c r="N68" s="93"/>
      <c r="O68" s="98" t="e">
        <f t="shared" ref="O68:O80" si="13">O67</f>
        <v>#REF!</v>
      </c>
      <c r="P68" s="101">
        <f t="shared" si="12"/>
        <v>0</v>
      </c>
      <c r="Q68" s="101">
        <f t="shared" si="12"/>
        <v>0</v>
      </c>
      <c r="R68" s="101">
        <f t="shared" si="12"/>
        <v>0</v>
      </c>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44"/>
      <c r="AV68" s="27"/>
      <c r="AW68" s="27"/>
      <c r="AX68" s="27"/>
      <c r="AY68" s="27"/>
      <c r="AZ68" s="27"/>
      <c r="BA68" s="27"/>
      <c r="BB68" s="27"/>
      <c r="BC68" s="27"/>
      <c r="BD68" s="27"/>
      <c r="BE68" s="27"/>
      <c r="BF68" s="27"/>
      <c r="BG68" s="27"/>
      <c r="BH68" s="27"/>
      <c r="BI68" s="27"/>
      <c r="BJ68" s="27"/>
      <c r="BK68" s="27"/>
      <c r="BL68" s="27"/>
      <c r="BM68" s="27"/>
      <c r="BN68" s="27"/>
      <c r="BO68" s="27"/>
      <c r="BP68" s="27"/>
      <c r="BQ68" s="27"/>
      <c r="BR68" s="27"/>
      <c r="BS68" s="27"/>
      <c r="BT68" s="27"/>
      <c r="BU68" s="27"/>
      <c r="BV68" s="27"/>
      <c r="BW68" s="27"/>
      <c r="BX68" s="27"/>
      <c r="BY68" s="27"/>
      <c r="BZ68" s="27"/>
      <c r="CA68" s="27"/>
      <c r="CB68" s="27"/>
      <c r="CC68" s="27"/>
      <c r="CD68" s="27"/>
    </row>
    <row r="69" spans="1:82">
      <c r="A69" s="32"/>
      <c r="B69" s="32"/>
      <c r="C69" s="41"/>
      <c r="D69" s="32"/>
      <c r="E69" s="37"/>
      <c r="F69" s="39"/>
      <c r="G69" s="39"/>
      <c r="H69" s="39"/>
      <c r="I69" s="39"/>
      <c r="J69" s="32"/>
      <c r="K69" s="32"/>
      <c r="L69" s="32"/>
      <c r="M69" s="32" t="e">
        <f>M68+1</f>
        <v>#VALUE!</v>
      </c>
      <c r="N69" s="41"/>
      <c r="O69" s="32" t="e">
        <f t="shared" si="13"/>
        <v>#REF!</v>
      </c>
      <c r="P69" s="32"/>
      <c r="Q69" s="32"/>
      <c r="R69" s="9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44"/>
      <c r="AV69" s="27"/>
      <c r="AW69" s="27"/>
      <c r="AX69" s="27"/>
      <c r="AY69" s="27"/>
      <c r="AZ69" s="27"/>
      <c r="BA69" s="27"/>
      <c r="BB69" s="27"/>
      <c r="BC69" s="27"/>
      <c r="BD69" s="27"/>
      <c r="BE69" s="27"/>
      <c r="BF69" s="27"/>
      <c r="BG69" s="27"/>
      <c r="BH69" s="27"/>
      <c r="BI69" s="27"/>
      <c r="BJ69" s="27"/>
      <c r="BK69" s="27"/>
      <c r="BL69" s="27"/>
      <c r="BM69" s="27"/>
      <c r="BN69" s="27"/>
      <c r="BO69" s="27"/>
      <c r="BP69" s="27"/>
      <c r="BQ69" s="27"/>
      <c r="BR69" s="27"/>
      <c r="BS69" s="27"/>
      <c r="BT69" s="27"/>
      <c r="BU69" s="27"/>
      <c r="BV69" s="27"/>
      <c r="BW69" s="27"/>
      <c r="BX69" s="27"/>
      <c r="BY69" s="27"/>
      <c r="BZ69" s="27"/>
      <c r="CA69" s="27"/>
      <c r="CB69" s="27"/>
      <c r="CC69" s="27"/>
      <c r="CD69" s="27"/>
    </row>
    <row r="70" spans="1:82">
      <c r="A70" s="32"/>
      <c r="B70" s="32"/>
      <c r="C70" s="41"/>
      <c r="D70" s="32"/>
      <c r="E70" s="37"/>
      <c r="F70" s="39"/>
      <c r="G70" s="39"/>
      <c r="H70" s="39"/>
      <c r="I70" s="39"/>
      <c r="J70" s="32"/>
      <c r="K70" s="32"/>
      <c r="L70" s="32"/>
      <c r="M70" s="32" t="e">
        <f>M69+1</f>
        <v>#VALUE!</v>
      </c>
      <c r="N70" s="41"/>
      <c r="O70" s="32" t="e">
        <f t="shared" si="13"/>
        <v>#REF!</v>
      </c>
      <c r="P70" s="32"/>
      <c r="Q70" s="32"/>
      <c r="R70" s="9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44"/>
      <c r="AV70" s="27"/>
      <c r="AW70" s="27"/>
      <c r="AX70" s="27"/>
      <c r="AY70" s="27"/>
      <c r="AZ70" s="27"/>
      <c r="BA70" s="27"/>
      <c r="BB70" s="27"/>
      <c r="BC70" s="27"/>
      <c r="BD70" s="27"/>
      <c r="BE70" s="27"/>
      <c r="BF70" s="27"/>
      <c r="BG70" s="27"/>
      <c r="BH70" s="27"/>
      <c r="BI70" s="27"/>
      <c r="BJ70" s="27"/>
      <c r="BK70" s="27"/>
      <c r="BL70" s="27"/>
      <c r="BM70" s="27"/>
      <c r="BN70" s="27"/>
      <c r="BO70" s="27"/>
      <c r="BP70" s="27"/>
      <c r="BQ70" s="27"/>
      <c r="BR70" s="27"/>
      <c r="BS70" s="27"/>
      <c r="BT70" s="27"/>
      <c r="BU70" s="27"/>
      <c r="BV70" s="27"/>
      <c r="BW70" s="27"/>
      <c r="BX70" s="27"/>
      <c r="BY70" s="27"/>
      <c r="BZ70" s="27"/>
      <c r="CA70" s="27"/>
      <c r="CB70" s="27"/>
      <c r="CC70" s="27"/>
      <c r="CD70" s="27"/>
    </row>
    <row r="71" spans="1:82" ht="47.25">
      <c r="A71" s="47" t="str">
        <f>IF(AND(F71="B",IF(OR(G71="LD",G71="LDU",G71="ADD",G71="SUB",G71="AND",G71="OR",G71="XOR"),1,0)),CONCATENATE(G71,"#"),G71)</f>
        <v>BEQ</v>
      </c>
      <c r="B71" s="51" t="str">
        <f>"if (R["&amp;H71&amp;"]=R["&amp;I71&amp;"])"&amp;CHAR(10)&amp;"EA&lt;= "&amp;K71&amp;""&amp;CHAR(10)&amp;"PC &lt;= MEM[EA]"</f>
        <v>if (R[1]=R[2])
EA&lt;= 117
PC &lt;= MEM[EA]</v>
      </c>
      <c r="C71" s="90" t="s">
        <v>266</v>
      </c>
      <c r="D71" s="51" t="str">
        <f>IF(F71="A",CONCATENATE(F71," ",G71," R",H71,",R",I71,",R",J71),IF(F71="B",CONCATENATE(F71," ",G71," R",H71,",R",I71,",",K71),CONCATENATE(F71," ",G71," ",K71)))</f>
        <v>B BEQ R1,R2,117</v>
      </c>
      <c r="E71" s="45"/>
      <c r="F71" s="46" t="s">
        <v>233</v>
      </c>
      <c r="G71" s="47" t="s">
        <v>122</v>
      </c>
      <c r="H71" s="48">
        <v>1</v>
      </c>
      <c r="I71" s="48">
        <v>2</v>
      </c>
      <c r="J71" s="48" t="s">
        <v>231</v>
      </c>
      <c r="K71" s="49">
        <v>117</v>
      </c>
      <c r="L71" s="105" t="str">
        <f>RIGHT(DEC2HEX(K71,10),8)</f>
        <v>00000075</v>
      </c>
      <c r="M71" s="95" t="str">
        <f>"MEM["&amp;I71&amp;"]"</f>
        <v>MEM[2]</v>
      </c>
      <c r="N71" s="90"/>
      <c r="O71" s="51" t="e">
        <f t="shared" si="13"/>
        <v>#REF!</v>
      </c>
      <c r="P71" s="48">
        <f>R69</f>
        <v>0</v>
      </c>
      <c r="Q71" s="48">
        <f t="shared" ref="Q71:R73" si="14">Q70</f>
        <v>0</v>
      </c>
      <c r="R71" s="48">
        <f t="shared" si="14"/>
        <v>0</v>
      </c>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44"/>
      <c r="AV71" s="27"/>
      <c r="AW71" s="27"/>
      <c r="AX71" s="27"/>
      <c r="AY71" s="27"/>
      <c r="AZ71" s="27"/>
      <c r="BA71" s="27"/>
      <c r="BB71" s="27"/>
      <c r="BC71" s="27"/>
      <c r="BD71" s="27"/>
      <c r="BE71" s="27"/>
      <c r="BF71" s="27"/>
      <c r="BG71" s="27"/>
      <c r="BH71" s="27"/>
      <c r="BI71" s="27"/>
      <c r="BJ71" s="27"/>
      <c r="BK71" s="27"/>
      <c r="BL71" s="27"/>
      <c r="BM71" s="27"/>
      <c r="BN71" s="27"/>
      <c r="BO71" s="27"/>
      <c r="BP71" s="27"/>
      <c r="BQ71" s="27"/>
      <c r="BR71" s="27"/>
      <c r="BS71" s="27"/>
      <c r="BT71" s="27"/>
      <c r="BU71" s="27"/>
      <c r="BV71" s="27"/>
      <c r="BW71" s="27"/>
      <c r="BX71" s="27"/>
      <c r="BY71" s="27"/>
      <c r="BZ71" s="27"/>
      <c r="CA71" s="27"/>
      <c r="CB71" s="27"/>
      <c r="CC71" s="27"/>
      <c r="CD71" s="27"/>
    </row>
    <row r="72" spans="1:82" ht="47.25">
      <c r="A72" s="47" t="str">
        <f>IF(AND(F72="B",IF(OR(G72="LD",G72="LDU",G72="ADD",G72="SUB",G72="AND",G72="OR",G72="XOR"),1,0)),CONCATENATE(G72,"#"),G72)</f>
        <v>BNE</v>
      </c>
      <c r="B72" s="51" t="str">
        <f>"if (NOT(R["&amp;H72&amp;"]=R["&amp;I72&amp;"]))"&amp;CHAR(10)&amp;"EA&lt;= "&amp;K72&amp;CHAR(10)&amp;"PC &lt;= MEM[EA]"</f>
        <v>if (NOT(R[1]=R[2]))
EA&lt;= 118
PC &lt;= MEM[EA]</v>
      </c>
      <c r="C72" s="90" t="s">
        <v>267</v>
      </c>
      <c r="D72" s="32" t="str">
        <f>IF(F72="A",CONCATENATE(F72," ",G72," R",H72,",R",I72,",R",J72),IF(F72="B",CONCATENATE(F72," ",G72," R",H72,",R",I72,",",K72),CONCATENATE(F72," ",G72," ",K72)))</f>
        <v>B BNE R1,R2,118</v>
      </c>
      <c r="E72" s="37"/>
      <c r="F72" s="61" t="s">
        <v>233</v>
      </c>
      <c r="G72" s="38" t="s">
        <v>127</v>
      </c>
      <c r="H72" s="39">
        <v>1</v>
      </c>
      <c r="I72" s="39">
        <v>2</v>
      </c>
      <c r="J72" s="39" t="s">
        <v>231</v>
      </c>
      <c r="K72" s="40">
        <v>118</v>
      </c>
      <c r="L72" s="86" t="str">
        <f>RIGHT(DEC2HEX(K72,10),8)</f>
        <v>00000076</v>
      </c>
      <c r="M72" s="60" t="str">
        <f>"MEM["&amp;I72&amp;"]"</f>
        <v>MEM[2]</v>
      </c>
      <c r="N72" s="41"/>
      <c r="O72" s="32" t="e">
        <f t="shared" si="13"/>
        <v>#REF!</v>
      </c>
      <c r="P72" s="39">
        <f>R70</f>
        <v>0</v>
      </c>
      <c r="Q72" s="39">
        <f t="shared" si="14"/>
        <v>0</v>
      </c>
      <c r="R72" s="39">
        <f t="shared" si="14"/>
        <v>0</v>
      </c>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44"/>
      <c r="AV72" s="27"/>
      <c r="AW72" s="27"/>
      <c r="AX72" s="27"/>
      <c r="AY72" s="27"/>
      <c r="AZ72" s="27"/>
      <c r="BA72" s="27"/>
      <c r="BB72" s="27"/>
      <c r="BC72" s="27"/>
      <c r="BD72" s="27"/>
      <c r="BE72" s="27"/>
      <c r="BF72" s="27"/>
      <c r="BG72" s="27"/>
      <c r="BH72" s="27"/>
      <c r="BI72" s="27"/>
      <c r="BJ72" s="27"/>
      <c r="BK72" s="27"/>
      <c r="BL72" s="27"/>
      <c r="BM72" s="27"/>
      <c r="BN72" s="27"/>
      <c r="BO72" s="27"/>
      <c r="BP72" s="27"/>
      <c r="BQ72" s="27"/>
      <c r="BR72" s="27"/>
      <c r="BS72" s="27"/>
      <c r="BT72" s="27"/>
      <c r="BU72" s="27"/>
      <c r="BV72" s="27"/>
      <c r="BW72" s="27"/>
      <c r="BX72" s="27"/>
      <c r="BY72" s="27"/>
      <c r="BZ72" s="27"/>
      <c r="CA72" s="27"/>
      <c r="CB72" s="27"/>
      <c r="CC72" s="27"/>
      <c r="CD72" s="27"/>
    </row>
    <row r="73" spans="1:82" ht="47.25">
      <c r="A73" s="47" t="str">
        <f>IF(AND(F73="B",IF(OR(G73="LD",G73="LDU",G73="ADD",G73="SUB",G73="AND",G73="OR",G73="XOR"),1,0)),CONCATENATE(G73,"#"),G73)</f>
        <v>BLT</v>
      </c>
      <c r="B73" s="51" t="str">
        <f>"if (R["&amp;H73&amp;"]&lt;R["&amp;I73&amp;"])"&amp;CHAR(10)&amp;"EA&lt;= "&amp;K73&amp;""&amp;CHAR(10)&amp;"PC &lt;= MEM[EA]"</f>
        <v>if (R[1]&lt;R[2])
EA&lt;= 119
PC &lt;= MEM[EA]</v>
      </c>
      <c r="C73" s="90" t="s">
        <v>268</v>
      </c>
      <c r="D73" s="34" t="str">
        <f>IF(F73="A",CONCATENATE(F73," ",G73," R",H73,",R",I73,",R",J73),IF(F73="B",CONCATENATE(F73," ",G73," R",H73,",R",I73,",",K73),CONCATENATE(F73," ",G73," ",K73)))</f>
        <v>B BLT R1,R2,119</v>
      </c>
      <c r="E73" s="65"/>
      <c r="F73" s="72" t="s">
        <v>233</v>
      </c>
      <c r="G73" s="30" t="s">
        <v>131</v>
      </c>
      <c r="H73" s="66">
        <v>1</v>
      </c>
      <c r="I73" s="66">
        <v>2</v>
      </c>
      <c r="J73" s="66" t="s">
        <v>231</v>
      </c>
      <c r="K73" s="76">
        <v>119</v>
      </c>
      <c r="L73" s="77" t="str">
        <f>RIGHT(DEC2HEX(K73,10),8)</f>
        <v>00000077</v>
      </c>
      <c r="M73" s="75" t="str">
        <f>"MEM["&amp;I73&amp;"]"</f>
        <v>MEM[2]</v>
      </c>
      <c r="N73" s="33"/>
      <c r="O73" s="34" t="e">
        <f t="shared" si="13"/>
        <v>#REF!</v>
      </c>
      <c r="P73" s="66">
        <f>R71</f>
        <v>0</v>
      </c>
      <c r="Q73" s="66">
        <f t="shared" si="14"/>
        <v>0</v>
      </c>
      <c r="R73" s="66">
        <f t="shared" si="14"/>
        <v>0</v>
      </c>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44"/>
      <c r="AV73" s="27"/>
      <c r="AW73" s="27"/>
      <c r="AX73" s="27"/>
      <c r="AY73" s="27"/>
      <c r="AZ73" s="27"/>
      <c r="BA73" s="27"/>
      <c r="BB73" s="27"/>
      <c r="BC73" s="27"/>
      <c r="BD73" s="27"/>
      <c r="BE73" s="27"/>
      <c r="BF73" s="27"/>
      <c r="BG73" s="27"/>
      <c r="BH73" s="27"/>
      <c r="BI73" s="27"/>
      <c r="BJ73" s="27"/>
      <c r="BK73" s="27"/>
      <c r="BL73" s="27"/>
      <c r="BM73" s="27"/>
      <c r="BN73" s="27"/>
      <c r="BO73" s="27"/>
      <c r="BP73" s="27"/>
      <c r="BQ73" s="27"/>
      <c r="BR73" s="27"/>
      <c r="BS73" s="27"/>
      <c r="BT73" s="27"/>
      <c r="BU73" s="27"/>
      <c r="BV73" s="27"/>
      <c r="BW73" s="27"/>
      <c r="BX73" s="27"/>
      <c r="BY73" s="27"/>
      <c r="BZ73" s="27"/>
      <c r="CA73" s="27"/>
      <c r="CB73" s="27"/>
      <c r="CC73" s="27"/>
      <c r="CD73" s="27"/>
    </row>
    <row r="74" spans="1:82">
      <c r="A74" s="32"/>
      <c r="B74" s="32"/>
      <c r="C74" s="41"/>
      <c r="D74" s="32"/>
      <c r="E74" s="37"/>
      <c r="F74" s="39"/>
      <c r="G74" s="39"/>
      <c r="H74" s="39"/>
      <c r="I74" s="39"/>
      <c r="J74" s="32"/>
      <c r="K74" s="32"/>
      <c r="L74" s="32"/>
      <c r="M74" s="32" t="e">
        <f>M73+1</f>
        <v>#VALUE!</v>
      </c>
      <c r="N74" s="41"/>
      <c r="O74" s="32" t="e">
        <f t="shared" si="13"/>
        <v>#REF!</v>
      </c>
      <c r="P74" s="32"/>
      <c r="Q74" s="32"/>
      <c r="R74" s="9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44"/>
      <c r="AV74" s="27"/>
      <c r="AW74" s="27"/>
      <c r="AX74" s="27"/>
      <c r="AY74" s="27"/>
      <c r="AZ74" s="27"/>
      <c r="BA74" s="27"/>
      <c r="BB74" s="27"/>
      <c r="BC74" s="27"/>
      <c r="BD74" s="27"/>
      <c r="BE74" s="27"/>
      <c r="BF74" s="27"/>
      <c r="BG74" s="27"/>
      <c r="BH74" s="27"/>
      <c r="BI74" s="27"/>
      <c r="BJ74" s="27"/>
      <c r="BK74" s="27"/>
      <c r="BL74" s="27"/>
      <c r="BM74" s="27"/>
      <c r="BN74" s="27"/>
      <c r="BO74" s="27"/>
      <c r="BP74" s="27"/>
      <c r="BQ74" s="27"/>
      <c r="BR74" s="27"/>
      <c r="BS74" s="27"/>
      <c r="BT74" s="27"/>
      <c r="BU74" s="27"/>
      <c r="BV74" s="27"/>
      <c r="BW74" s="27"/>
      <c r="BX74" s="27"/>
      <c r="BY74" s="27"/>
      <c r="BZ74" s="27"/>
      <c r="CA74" s="27"/>
      <c r="CB74" s="27"/>
      <c r="CC74" s="27"/>
      <c r="CD74" s="27"/>
    </row>
    <row r="75" spans="1:82">
      <c r="A75" s="32"/>
      <c r="B75" s="32"/>
      <c r="C75" s="41"/>
      <c r="D75" s="32"/>
      <c r="E75" s="37"/>
      <c r="F75" s="39"/>
      <c r="G75" s="39"/>
      <c r="H75" s="39"/>
      <c r="I75" s="39"/>
      <c r="J75" s="32"/>
      <c r="K75" s="32"/>
      <c r="L75" s="32"/>
      <c r="M75" s="32" t="e">
        <f>M74+1</f>
        <v>#VALUE!</v>
      </c>
      <c r="N75" s="41"/>
      <c r="O75" s="32" t="e">
        <f t="shared" si="13"/>
        <v>#REF!</v>
      </c>
      <c r="P75" s="32"/>
      <c r="Q75" s="32"/>
      <c r="R75" s="9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c r="AT75" s="36"/>
      <c r="AU75" s="44"/>
      <c r="AV75" s="27"/>
      <c r="AW75" s="27"/>
      <c r="AX75" s="27"/>
      <c r="AY75" s="27"/>
      <c r="AZ75" s="27"/>
      <c r="BA75" s="27"/>
      <c r="BB75" s="27"/>
      <c r="BC75" s="27"/>
      <c r="BD75" s="27"/>
      <c r="BE75" s="27"/>
      <c r="BF75" s="27"/>
      <c r="BG75" s="27"/>
      <c r="BH75" s="27"/>
      <c r="BI75" s="27"/>
      <c r="BJ75" s="27"/>
      <c r="BK75" s="27"/>
      <c r="BL75" s="27"/>
      <c r="BM75" s="27"/>
      <c r="BN75" s="27"/>
      <c r="BO75" s="27"/>
      <c r="BP75" s="27"/>
      <c r="BQ75" s="27"/>
      <c r="BR75" s="27"/>
      <c r="BS75" s="27"/>
      <c r="BT75" s="27"/>
      <c r="BU75" s="27"/>
      <c r="BV75" s="27"/>
      <c r="BW75" s="27"/>
      <c r="BX75" s="27"/>
      <c r="BY75" s="27"/>
      <c r="BZ75" s="27"/>
      <c r="CA75" s="27"/>
      <c r="CB75" s="27"/>
      <c r="CC75" s="27"/>
      <c r="CD75" s="27"/>
    </row>
    <row r="76" spans="1:82">
      <c r="A76" s="32"/>
      <c r="B76" s="32"/>
      <c r="C76" s="41"/>
      <c r="D76" s="32"/>
      <c r="E76" s="37"/>
      <c r="F76" s="39"/>
      <c r="G76" s="39"/>
      <c r="H76" s="39"/>
      <c r="I76" s="39"/>
      <c r="J76" s="32"/>
      <c r="K76" s="32"/>
      <c r="L76" s="32"/>
      <c r="M76" s="32" t="e">
        <f>M75+1</f>
        <v>#VALUE!</v>
      </c>
      <c r="N76" s="41"/>
      <c r="O76" s="32" t="e">
        <f t="shared" si="13"/>
        <v>#REF!</v>
      </c>
      <c r="P76" s="32"/>
      <c r="Q76" s="32"/>
      <c r="R76" s="9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c r="AT76" s="36"/>
      <c r="AU76" s="44"/>
      <c r="AV76" s="27"/>
      <c r="AW76" s="27"/>
      <c r="AX76" s="27"/>
      <c r="AY76" s="27"/>
      <c r="AZ76" s="27"/>
      <c r="BA76" s="27"/>
      <c r="BB76" s="27"/>
      <c r="BC76" s="27"/>
      <c r="BD76" s="27"/>
      <c r="BE76" s="27"/>
      <c r="BF76" s="27"/>
      <c r="BG76" s="27"/>
      <c r="BH76" s="27"/>
      <c r="BI76" s="27"/>
      <c r="BJ76" s="27"/>
      <c r="BK76" s="27"/>
      <c r="BL76" s="27"/>
      <c r="BM76" s="27"/>
      <c r="BN76" s="27"/>
      <c r="BO76" s="27"/>
      <c r="BP76" s="27"/>
      <c r="BQ76" s="27"/>
      <c r="BR76" s="27"/>
      <c r="BS76" s="27"/>
      <c r="BT76" s="27"/>
      <c r="BU76" s="27"/>
      <c r="BV76" s="27"/>
      <c r="BW76" s="27"/>
      <c r="BX76" s="27"/>
      <c r="BY76" s="27"/>
      <c r="BZ76" s="27"/>
      <c r="CA76" s="27"/>
      <c r="CB76" s="27"/>
      <c r="CC76" s="27"/>
      <c r="CD76" s="27"/>
    </row>
    <row r="77" spans="1:82" ht="31.5">
      <c r="A77" s="47" t="str">
        <f>IF(AND(F77="B",IF(OR(G77="LD",G77="LDU",G77="ADD",G77="SUB",G77="AND",G77="OR",G77="XOR"),1,0)),CONCATENATE(G77,"#"),G77)</f>
        <v>BRA</v>
      </c>
      <c r="B77" s="51" t="str">
        <f>"EA&lt;= "&amp;K77&amp;CHAR(10)&amp;"PC &lt;= MEM[EA]"</f>
        <v>EA&lt;= 110
PC &lt;= MEM[EA]</v>
      </c>
      <c r="C77" s="90" t="s">
        <v>266</v>
      </c>
      <c r="D77" s="32" t="str">
        <f>IF(F77="A",CONCATENATE(F77," ",G77," R",H77,",R",I77,",R",J77),IF(F77="B",CONCATENATE(F77," ",G77," R",H77,",R",I77,",",K77),CONCATENATE(F77," ",G77," ",K77)))</f>
        <v>C BRA 110</v>
      </c>
      <c r="E77" s="37"/>
      <c r="F77" s="106" t="s">
        <v>269</v>
      </c>
      <c r="G77" s="38" t="s">
        <v>159</v>
      </c>
      <c r="H77" s="39" t="s">
        <v>231</v>
      </c>
      <c r="I77" s="39" t="s">
        <v>231</v>
      </c>
      <c r="J77" s="39" t="s">
        <v>231</v>
      </c>
      <c r="K77" s="40">
        <v>110</v>
      </c>
      <c r="L77" s="86" t="str">
        <f>RIGHT(DEC2HEX(K77,10),8)</f>
        <v>0000006E</v>
      </c>
      <c r="M77" s="60" t="str">
        <f>"MEM["&amp;K77&amp;"]"</f>
        <v>MEM[110]</v>
      </c>
      <c r="N77" s="41"/>
      <c r="O77" s="32" t="e">
        <f t="shared" si="13"/>
        <v>#REF!</v>
      </c>
      <c r="P77" s="39">
        <f>R75</f>
        <v>0</v>
      </c>
      <c r="Q77" s="39">
        <f>Q76</f>
        <v>0</v>
      </c>
      <c r="R77" s="39">
        <f>R76</f>
        <v>0</v>
      </c>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c r="AU77" s="44"/>
      <c r="AV77" s="27"/>
      <c r="AW77" s="27"/>
      <c r="AX77" s="27"/>
      <c r="AY77" s="27"/>
      <c r="AZ77" s="27"/>
      <c r="BA77" s="27"/>
      <c r="BB77" s="27"/>
      <c r="BC77" s="27"/>
      <c r="BD77" s="27"/>
      <c r="BE77" s="27"/>
      <c r="BF77" s="27"/>
      <c r="BG77" s="27"/>
      <c r="BH77" s="27"/>
      <c r="BI77" s="27"/>
      <c r="BJ77" s="27"/>
      <c r="BK77" s="27"/>
      <c r="BL77" s="27"/>
      <c r="BM77" s="27"/>
      <c r="BN77" s="27"/>
      <c r="BO77" s="27"/>
      <c r="BP77" s="27"/>
      <c r="BQ77" s="27"/>
      <c r="BR77" s="27"/>
      <c r="BS77" s="27"/>
      <c r="BT77" s="27"/>
      <c r="BU77" s="27"/>
      <c r="BV77" s="27"/>
      <c r="BW77" s="27"/>
      <c r="BX77" s="27"/>
      <c r="BY77" s="27"/>
      <c r="BZ77" s="27"/>
      <c r="CA77" s="27"/>
      <c r="CB77" s="27"/>
      <c r="CC77" s="27"/>
      <c r="CD77" s="27"/>
    </row>
    <row r="78" spans="1:82" ht="47.25">
      <c r="A78" s="47" t="str">
        <f>IF(AND(F78="B",IF(OR(G78="LD",G78="LDU",G78="ADD",G78="SUB",G78="AND",G78="OR",G78="XOR"),1,0)),CONCATENATE(G78,"#"),G78)</f>
        <v>BSR</v>
      </c>
      <c r="B78" s="51" t="str">
        <f>"if (R["&amp;H78&amp;"]&lt;R["&amp;I78&amp;"])"&amp;CHAR(10)&amp;"EA&lt;= "&amp;K78&amp;""&amp;CHAR(10)&amp;"PC &lt;= MEM[EA]"</f>
        <v>if (R[-]&lt;R[-])
EA&lt;= 111
PC &lt;= MEM[EA]</v>
      </c>
      <c r="C78" s="90" t="s">
        <v>266</v>
      </c>
      <c r="D78" s="32" t="str">
        <f>IF(F78="A",CONCATENATE(F78," ",G78," R",H78,",R",I78,",R",J78),IF(F78="B",CONCATENATE(F78," ",G78," R",H78,",R",I78,",",K78),CONCATENATE(F78," ",G78," ",K78)))</f>
        <v>C BSR 111</v>
      </c>
      <c r="E78" s="37"/>
      <c r="F78" s="106" t="s">
        <v>269</v>
      </c>
      <c r="G78" s="38" t="s">
        <v>164</v>
      </c>
      <c r="H78" s="39" t="s">
        <v>231</v>
      </c>
      <c r="I78" s="39" t="s">
        <v>231</v>
      </c>
      <c r="J78" s="39" t="s">
        <v>231</v>
      </c>
      <c r="K78" s="40">
        <v>111</v>
      </c>
      <c r="L78" s="86" t="str">
        <f>RIGHT(DEC2HEX(K78,10),8)</f>
        <v>0000006F</v>
      </c>
      <c r="M78" s="60" t="str">
        <f>"MEM["&amp;K78&amp;"]"</f>
        <v>MEM[111]</v>
      </c>
      <c r="N78" s="41"/>
      <c r="O78" s="32" t="e">
        <f t="shared" si="13"/>
        <v>#REF!</v>
      </c>
      <c r="P78" s="39">
        <f>R76</f>
        <v>0</v>
      </c>
      <c r="Q78" s="39">
        <f>Q77</f>
        <v>0</v>
      </c>
      <c r="R78" s="39">
        <f>R77</f>
        <v>0</v>
      </c>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c r="AT78" s="36"/>
      <c r="AU78" s="44"/>
      <c r="AV78" s="27"/>
      <c r="AW78" s="27"/>
      <c r="AX78" s="27"/>
      <c r="AY78" s="27"/>
      <c r="AZ78" s="27"/>
      <c r="BA78" s="27"/>
      <c r="BB78" s="27"/>
      <c r="BC78" s="27"/>
      <c r="BD78" s="27"/>
      <c r="BE78" s="27"/>
      <c r="BF78" s="27"/>
      <c r="BG78" s="27"/>
      <c r="BH78" s="27"/>
      <c r="BI78" s="27"/>
      <c r="BJ78" s="27"/>
      <c r="BK78" s="27"/>
      <c r="BL78" s="27"/>
      <c r="BM78" s="27"/>
      <c r="BN78" s="27"/>
      <c r="BO78" s="27"/>
      <c r="BP78" s="27"/>
      <c r="BQ78" s="27"/>
      <c r="BR78" s="27"/>
      <c r="BS78" s="27"/>
      <c r="BT78" s="27"/>
      <c r="BU78" s="27"/>
      <c r="BV78" s="27"/>
      <c r="BW78" s="27"/>
      <c r="BX78" s="27"/>
      <c r="BY78" s="27"/>
      <c r="BZ78" s="27"/>
      <c r="CA78" s="27"/>
      <c r="CB78" s="27"/>
      <c r="CC78" s="27"/>
      <c r="CD78" s="27"/>
    </row>
    <row r="79" spans="1:82">
      <c r="A79" s="32"/>
      <c r="B79" s="32"/>
      <c r="C79" s="32"/>
      <c r="D79" s="32"/>
      <c r="E79" s="37"/>
      <c r="F79" s="39"/>
      <c r="G79" s="39"/>
      <c r="H79" s="39"/>
      <c r="I79" s="39"/>
      <c r="J79" s="32"/>
      <c r="K79" s="32"/>
      <c r="L79" s="41"/>
      <c r="M79" s="32" t="e">
        <f>M78+1</f>
        <v>#VALUE!</v>
      </c>
      <c r="N79" s="56"/>
      <c r="O79" s="32" t="e">
        <f t="shared" si="13"/>
        <v>#REF!</v>
      </c>
      <c r="P79" s="42"/>
      <c r="Q79" s="32"/>
      <c r="R79" s="9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44"/>
      <c r="AV79" s="27"/>
      <c r="AW79" s="27"/>
      <c r="AX79" s="27"/>
      <c r="AY79" s="27"/>
      <c r="AZ79" s="27"/>
      <c r="BA79" s="27"/>
      <c r="BB79" s="27"/>
      <c r="BC79" s="27"/>
      <c r="BD79" s="27"/>
      <c r="BE79" s="27"/>
      <c r="BF79" s="27"/>
      <c r="BG79" s="27"/>
      <c r="BH79" s="27"/>
      <c r="BI79" s="27"/>
      <c r="BJ79" s="27"/>
      <c r="BK79" s="27"/>
      <c r="BL79" s="27"/>
      <c r="BM79" s="27"/>
      <c r="BN79" s="27"/>
      <c r="BO79" s="27"/>
      <c r="BP79" s="27"/>
      <c r="BQ79" s="27"/>
      <c r="BR79" s="27"/>
      <c r="BS79" s="27"/>
      <c r="BT79" s="27"/>
      <c r="BU79" s="27"/>
      <c r="BV79" s="27"/>
      <c r="BW79" s="27"/>
      <c r="BX79" s="27"/>
      <c r="BY79" s="27"/>
      <c r="BZ79" s="27"/>
      <c r="CA79" s="27"/>
      <c r="CB79" s="27"/>
      <c r="CC79" s="27"/>
      <c r="CD79" s="27"/>
    </row>
    <row r="80" spans="1:82">
      <c r="A80" s="32"/>
      <c r="B80" s="32"/>
      <c r="C80" s="32"/>
      <c r="D80" s="32"/>
      <c r="E80" s="37"/>
      <c r="F80" s="39"/>
      <c r="G80" s="39"/>
      <c r="H80" s="39"/>
      <c r="I80" s="39"/>
      <c r="J80" s="32"/>
      <c r="K80" s="32"/>
      <c r="L80" s="41"/>
      <c r="M80" s="32" t="e">
        <f>M79+1</f>
        <v>#VALUE!</v>
      </c>
      <c r="N80" s="56"/>
      <c r="O80" s="32" t="e">
        <f t="shared" si="13"/>
        <v>#REF!</v>
      </c>
      <c r="P80" s="42"/>
      <c r="Q80" s="32"/>
      <c r="R80" s="96"/>
      <c r="S80" s="52"/>
      <c r="T80" s="52"/>
      <c r="U80" s="52"/>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c r="AU80" s="70"/>
      <c r="AV80" s="27"/>
      <c r="AW80" s="27"/>
      <c r="AX80" s="27"/>
      <c r="AY80" s="27"/>
      <c r="AZ80" s="27"/>
      <c r="BA80" s="27"/>
      <c r="BB80" s="27"/>
      <c r="BC80" s="27"/>
      <c r="BD80" s="27"/>
      <c r="BE80" s="27"/>
      <c r="BF80" s="27"/>
      <c r="BG80" s="27"/>
      <c r="BH80" s="27"/>
      <c r="BI80" s="27"/>
      <c r="BJ80" s="27"/>
      <c r="BK80" s="27"/>
      <c r="BL80" s="27"/>
      <c r="BM80" s="27"/>
      <c r="BN80" s="27"/>
      <c r="BO80" s="27"/>
      <c r="BP80" s="27"/>
      <c r="BQ80" s="27"/>
      <c r="BR80" s="27"/>
      <c r="BS80" s="27"/>
      <c r="BT80" s="27"/>
      <c r="BU80" s="27"/>
      <c r="BV80" s="27"/>
      <c r="BW80" s="27"/>
      <c r="BX80" s="27"/>
      <c r="BY80" s="27"/>
      <c r="BZ80" s="27"/>
      <c r="CA80" s="27"/>
      <c r="CB80" s="27"/>
      <c r="CC80" s="27"/>
      <c r="CD80" s="27"/>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16"/>
  <sheetViews>
    <sheetView tabSelected="1" topLeftCell="A37" zoomScale="85" zoomScaleNormal="85" workbookViewId="0">
      <selection activeCell="B67" sqref="B67"/>
    </sheetView>
  </sheetViews>
  <sheetFormatPr defaultRowHeight="15.75"/>
  <cols>
    <col min="1" max="1" width="22.25" style="112"/>
    <col min="2" max="2" width="36.875" style="112"/>
    <col min="3" max="3" width="34.75" style="112"/>
    <col min="4" max="4" width="9.875" style="112"/>
    <col min="5" max="5" width="13.125" style="112"/>
    <col min="6" max="6" width="9.75" style="112"/>
    <col min="7" max="7" width="7.75" style="112"/>
    <col min="8" max="8" width="9.875" style="112"/>
    <col min="9" max="9" width="13.125" style="112"/>
    <col min="10" max="10" width="3.25" style="112"/>
    <col min="11" max="11" width="5.75" style="112"/>
    <col min="12" max="12" width="10.125" style="112" bestFit="1" customWidth="1"/>
    <col min="13" max="13" width="13.125" style="112"/>
    <col min="14" max="14" width="3.25" style="112"/>
    <col min="15" max="15" width="5.75" style="112"/>
    <col min="16" max="16" width="9.125" style="112"/>
    <col min="17" max="17" width="13.125" style="112"/>
    <col min="18" max="18" width="3.25" style="112"/>
    <col min="19" max="19" width="5.75" style="113"/>
    <col min="20" max="20" width="9.125" style="112"/>
    <col min="21" max="21" width="13.125" style="112"/>
    <col min="22" max="22" width="3.25" style="112"/>
    <col min="23" max="23" width="5.75" style="112"/>
    <col min="24" max="24" width="9.125" style="112"/>
    <col min="25" max="25" width="13" style="112"/>
    <col min="26" max="26" width="3.25" style="112"/>
    <col min="27" max="27" width="5.75" style="112"/>
    <col min="28" max="28" width="9.125" style="112"/>
    <col min="29" max="29" width="13.125" style="112"/>
    <col min="30" max="30" width="3.25" style="112"/>
    <col min="31" max="31" width="5.75" style="112"/>
    <col min="32" max="32" width="25.625" style="112" bestFit="1" customWidth="1"/>
    <col min="33" max="33" width="9.375" style="112"/>
    <col min="34" max="34" width="13.125" style="112"/>
    <col min="35" max="35" width="3.625" style="112"/>
    <col min="36" max="36" width="5.75" style="112"/>
    <col min="37" max="37" width="2.5" style="112"/>
    <col min="38" max="1025" width="9" style="112"/>
  </cols>
  <sheetData>
    <row r="1" spans="1:36" s="114" customFormat="1">
      <c r="A1" s="180" t="s">
        <v>376</v>
      </c>
      <c r="H1" s="112"/>
      <c r="I1" s="112"/>
      <c r="J1" s="112"/>
      <c r="K1" s="112"/>
      <c r="S1" s="113"/>
    </row>
    <row r="2" spans="1:36" s="116" customFormat="1" ht="18.75">
      <c r="A2" s="115"/>
      <c r="B2" s="8" t="s">
        <v>377</v>
      </c>
      <c r="C2" s="8"/>
      <c r="D2" s="7" t="s">
        <v>378</v>
      </c>
      <c r="E2" s="7"/>
      <c r="F2" s="7"/>
      <c r="G2" s="7"/>
      <c r="H2" s="6" t="s">
        <v>379</v>
      </c>
      <c r="I2" s="6"/>
      <c r="J2" s="6"/>
      <c r="K2" s="6"/>
      <c r="L2" s="7" t="s">
        <v>380</v>
      </c>
      <c r="M2" s="7"/>
      <c r="N2" s="7"/>
      <c r="O2" s="7"/>
      <c r="P2" s="6" t="s">
        <v>381</v>
      </c>
      <c r="Q2" s="6"/>
      <c r="R2" s="6"/>
      <c r="S2" s="6"/>
      <c r="T2" s="7" t="s">
        <v>382</v>
      </c>
      <c r="U2" s="7"/>
      <c r="V2" s="7"/>
      <c r="W2" s="7"/>
      <c r="X2" s="6" t="s">
        <v>383</v>
      </c>
      <c r="Y2" s="6"/>
      <c r="Z2" s="6"/>
      <c r="AA2" s="6"/>
      <c r="AB2" s="7" t="s">
        <v>384</v>
      </c>
      <c r="AC2" s="7"/>
      <c r="AD2" s="7"/>
      <c r="AE2" s="7"/>
      <c r="AF2" s="115"/>
      <c r="AG2" s="6" t="s">
        <v>385</v>
      </c>
      <c r="AH2" s="6"/>
      <c r="AI2" s="6"/>
      <c r="AJ2" s="6"/>
    </row>
    <row r="3" spans="1:36" s="121" customFormat="1">
      <c r="A3" s="117"/>
      <c r="B3" s="118" t="s">
        <v>386</v>
      </c>
      <c r="C3" s="118" t="s">
        <v>275</v>
      </c>
      <c r="D3" s="119" t="s">
        <v>387</v>
      </c>
      <c r="E3" s="119" t="s">
        <v>388</v>
      </c>
      <c r="F3" s="119" t="s">
        <v>196</v>
      </c>
      <c r="G3" s="119" t="s">
        <v>389</v>
      </c>
      <c r="H3" s="118" t="s">
        <v>387</v>
      </c>
      <c r="I3" s="118" t="s">
        <v>388</v>
      </c>
      <c r="J3" s="118" t="s">
        <v>196</v>
      </c>
      <c r="K3" s="118" t="s">
        <v>389</v>
      </c>
      <c r="L3" s="119" t="s">
        <v>387</v>
      </c>
      <c r="M3" s="119" t="s">
        <v>388</v>
      </c>
      <c r="N3" s="119" t="s">
        <v>196</v>
      </c>
      <c r="O3" s="119" t="s">
        <v>389</v>
      </c>
      <c r="P3" s="118" t="s">
        <v>387</v>
      </c>
      <c r="Q3" s="118" t="s">
        <v>388</v>
      </c>
      <c r="R3" s="118" t="s">
        <v>196</v>
      </c>
      <c r="S3" s="120" t="s">
        <v>389</v>
      </c>
      <c r="T3" s="119" t="s">
        <v>387</v>
      </c>
      <c r="U3" s="119" t="s">
        <v>388</v>
      </c>
      <c r="V3" s="119" t="s">
        <v>196</v>
      </c>
      <c r="W3" s="119" t="s">
        <v>389</v>
      </c>
      <c r="X3" s="118" t="s">
        <v>387</v>
      </c>
      <c r="Y3" s="118" t="s">
        <v>388</v>
      </c>
      <c r="Z3" s="118" t="s">
        <v>196</v>
      </c>
      <c r="AA3" s="118" t="s">
        <v>389</v>
      </c>
      <c r="AB3" s="119" t="s">
        <v>387</v>
      </c>
      <c r="AC3" s="119" t="s">
        <v>388</v>
      </c>
      <c r="AD3" s="119" t="s">
        <v>196</v>
      </c>
      <c r="AE3" s="119" t="s">
        <v>389</v>
      </c>
      <c r="AF3" s="117"/>
      <c r="AG3" s="117" t="s">
        <v>390</v>
      </c>
      <c r="AH3" s="117" t="s">
        <v>388</v>
      </c>
      <c r="AI3" s="117" t="s">
        <v>196</v>
      </c>
      <c r="AJ3" s="117" t="s">
        <v>389</v>
      </c>
    </row>
    <row r="4" spans="1:36">
      <c r="A4" s="32" t="s">
        <v>391</v>
      </c>
      <c r="B4" s="37" t="s">
        <v>392</v>
      </c>
      <c r="C4" s="122" t="s">
        <v>393</v>
      </c>
      <c r="D4" s="123"/>
      <c r="E4" s="123"/>
      <c r="F4" s="123"/>
      <c r="G4" s="123"/>
      <c r="H4" s="124" t="s">
        <v>394</v>
      </c>
      <c r="I4" s="124" t="s">
        <v>393</v>
      </c>
      <c r="J4" s="124">
        <v>1</v>
      </c>
      <c r="K4" s="124">
        <v>2</v>
      </c>
      <c r="L4" s="125" t="s">
        <v>395</v>
      </c>
      <c r="M4" s="125" t="s">
        <v>10</v>
      </c>
      <c r="N4" s="125">
        <v>1</v>
      </c>
      <c r="O4" s="125">
        <v>2</v>
      </c>
      <c r="P4" s="124" t="s">
        <v>396</v>
      </c>
      <c r="Q4" s="124" t="s">
        <v>231</v>
      </c>
      <c r="R4" s="124" t="s">
        <v>10</v>
      </c>
      <c r="S4" s="126" t="s">
        <v>16</v>
      </c>
      <c r="T4" s="123" t="s">
        <v>396</v>
      </c>
      <c r="U4" s="123" t="s">
        <v>231</v>
      </c>
      <c r="V4" s="123" t="s">
        <v>10</v>
      </c>
      <c r="W4" s="123" t="s">
        <v>16</v>
      </c>
      <c r="X4" s="124" t="s">
        <v>395</v>
      </c>
      <c r="Y4" s="124" t="s">
        <v>10</v>
      </c>
      <c r="Z4" s="124" t="s">
        <v>10</v>
      </c>
      <c r="AA4" s="124" t="s">
        <v>19</v>
      </c>
      <c r="AB4" s="125" t="s">
        <v>395</v>
      </c>
      <c r="AC4" s="125" t="s">
        <v>10</v>
      </c>
      <c r="AD4" s="125" t="s">
        <v>10</v>
      </c>
      <c r="AE4" s="125" t="s">
        <v>22</v>
      </c>
      <c r="AF4" s="127"/>
      <c r="AG4" s="124"/>
      <c r="AH4" s="124"/>
      <c r="AI4" s="124" t="s">
        <v>10</v>
      </c>
      <c r="AJ4" s="124" t="s">
        <v>13</v>
      </c>
    </row>
    <row r="5" spans="1:36">
      <c r="A5" s="32" t="s">
        <v>397</v>
      </c>
      <c r="B5" s="37" t="s">
        <v>398</v>
      </c>
      <c r="C5" s="122" t="s">
        <v>399</v>
      </c>
      <c r="D5" s="123"/>
      <c r="E5" s="123"/>
      <c r="F5" s="123"/>
      <c r="G5" s="123"/>
      <c r="H5" s="124" t="s">
        <v>400</v>
      </c>
      <c r="I5" s="124" t="s">
        <v>399</v>
      </c>
      <c r="J5" s="124">
        <v>2</v>
      </c>
      <c r="K5" s="124">
        <v>2</v>
      </c>
      <c r="L5" s="125" t="s">
        <v>401</v>
      </c>
      <c r="M5" s="125" t="s">
        <v>19</v>
      </c>
      <c r="N5" s="125">
        <v>2</v>
      </c>
      <c r="O5" s="125">
        <v>2</v>
      </c>
      <c r="P5" s="124" t="s">
        <v>395</v>
      </c>
      <c r="Q5" s="124" t="s">
        <v>10</v>
      </c>
      <c r="R5" s="124" t="s">
        <v>13</v>
      </c>
      <c r="S5" s="126" t="s">
        <v>16</v>
      </c>
      <c r="T5" s="123" t="s">
        <v>396</v>
      </c>
      <c r="U5" s="123" t="s">
        <v>231</v>
      </c>
      <c r="V5" s="123" t="s">
        <v>13</v>
      </c>
      <c r="W5" s="123" t="s">
        <v>16</v>
      </c>
      <c r="X5" s="124" t="s">
        <v>402</v>
      </c>
      <c r="Y5" s="124" t="s">
        <v>22</v>
      </c>
      <c r="Z5" s="124" t="s">
        <v>13</v>
      </c>
      <c r="AA5" s="124" t="s">
        <v>19</v>
      </c>
      <c r="AB5" s="125" t="s">
        <v>402</v>
      </c>
      <c r="AC5" s="125" t="s">
        <v>22</v>
      </c>
      <c r="AD5" s="125" t="s">
        <v>13</v>
      </c>
      <c r="AE5" s="125" t="s">
        <v>22</v>
      </c>
      <c r="AF5" s="127"/>
      <c r="AG5" s="124"/>
      <c r="AH5" s="124"/>
      <c r="AI5" s="124" t="s">
        <v>10</v>
      </c>
      <c r="AJ5" s="124" t="s">
        <v>16</v>
      </c>
    </row>
    <row r="6" spans="1:36">
      <c r="A6" s="32" t="s">
        <v>403</v>
      </c>
      <c r="B6" s="37" t="s">
        <v>404</v>
      </c>
      <c r="C6" s="122" t="s">
        <v>405</v>
      </c>
      <c r="D6" s="123"/>
      <c r="E6" s="123"/>
      <c r="F6" s="123"/>
      <c r="G6" s="123"/>
      <c r="H6" s="124" t="s">
        <v>406</v>
      </c>
      <c r="I6" s="124" t="s">
        <v>405</v>
      </c>
      <c r="J6" s="124">
        <v>3</v>
      </c>
      <c r="K6" s="124">
        <v>2</v>
      </c>
      <c r="L6" s="125" t="s">
        <v>407</v>
      </c>
      <c r="M6" s="125" t="s">
        <v>408</v>
      </c>
      <c r="N6" s="125">
        <v>3</v>
      </c>
      <c r="O6" s="125">
        <v>2</v>
      </c>
      <c r="P6" s="124" t="s">
        <v>396</v>
      </c>
      <c r="Q6" s="124" t="s">
        <v>231</v>
      </c>
      <c r="R6" s="124" t="s">
        <v>16</v>
      </c>
      <c r="S6" s="126" t="s">
        <v>16</v>
      </c>
      <c r="T6" s="123" t="s">
        <v>395</v>
      </c>
      <c r="U6" s="123" t="s">
        <v>231</v>
      </c>
      <c r="V6" s="123" t="s">
        <v>16</v>
      </c>
      <c r="W6" s="123" t="s">
        <v>16</v>
      </c>
      <c r="X6" s="124" t="s">
        <v>407</v>
      </c>
      <c r="Y6" s="124" t="s">
        <v>408</v>
      </c>
      <c r="Z6" s="124" t="s">
        <v>16</v>
      </c>
      <c r="AA6" s="124" t="s">
        <v>19</v>
      </c>
      <c r="AB6" s="125" t="s">
        <v>407</v>
      </c>
      <c r="AC6" s="125" t="s">
        <v>408</v>
      </c>
      <c r="AD6" s="125" t="s">
        <v>16</v>
      </c>
      <c r="AE6" s="125" t="s">
        <v>22</v>
      </c>
      <c r="AF6" s="127"/>
      <c r="AG6" s="124"/>
      <c r="AH6" s="124"/>
      <c r="AI6" s="124">
        <v>2</v>
      </c>
      <c r="AJ6" s="124">
        <v>3</v>
      </c>
    </row>
    <row r="7" spans="1:36" ht="17.25" thickTop="1" thickBot="1">
      <c r="A7" s="32" t="s">
        <v>409</v>
      </c>
      <c r="B7" s="37" t="s">
        <v>410</v>
      </c>
      <c r="C7" s="122" t="s">
        <v>411</v>
      </c>
      <c r="D7" s="123"/>
      <c r="E7" s="123"/>
      <c r="F7" s="123"/>
      <c r="G7" s="123"/>
      <c r="H7" s="124" t="s">
        <v>412</v>
      </c>
      <c r="I7" s="124" t="s">
        <v>411</v>
      </c>
      <c r="J7" s="124">
        <v>4</v>
      </c>
      <c r="K7" s="124">
        <v>2</v>
      </c>
      <c r="L7" s="125" t="s">
        <v>407</v>
      </c>
      <c r="M7" s="125" t="s">
        <v>408</v>
      </c>
      <c r="N7" s="125">
        <v>4</v>
      </c>
      <c r="O7" s="125">
        <v>2</v>
      </c>
      <c r="P7" s="124" t="s">
        <v>407</v>
      </c>
      <c r="Q7" s="124" t="s">
        <v>408</v>
      </c>
      <c r="R7" s="124" t="s">
        <v>19</v>
      </c>
      <c r="S7" s="126">
        <v>3</v>
      </c>
      <c r="T7" s="123" t="s">
        <v>396</v>
      </c>
      <c r="U7" s="123" t="s">
        <v>231</v>
      </c>
      <c r="V7" s="123" t="s">
        <v>19</v>
      </c>
      <c r="W7" s="123" t="s">
        <v>16</v>
      </c>
      <c r="X7" s="124" t="s">
        <v>396</v>
      </c>
      <c r="Y7" s="124" t="s">
        <v>70</v>
      </c>
      <c r="Z7" s="124" t="s">
        <v>19</v>
      </c>
      <c r="AA7" s="124" t="s">
        <v>19</v>
      </c>
      <c r="AB7" s="125" t="s">
        <v>396</v>
      </c>
      <c r="AC7" s="125" t="s">
        <v>70</v>
      </c>
      <c r="AD7" s="125" t="s">
        <v>19</v>
      </c>
      <c r="AE7" s="125" t="s">
        <v>22</v>
      </c>
      <c r="AF7" s="127"/>
      <c r="AG7" s="124"/>
      <c r="AH7" s="124"/>
      <c r="AI7" s="124" t="s">
        <v>16</v>
      </c>
      <c r="AJ7" s="124" t="s">
        <v>16</v>
      </c>
    </row>
    <row r="8" spans="1:36" ht="17.25" thickTop="1" thickBot="1">
      <c r="A8" s="32" t="s">
        <v>413</v>
      </c>
      <c r="B8" s="37" t="s">
        <v>414</v>
      </c>
      <c r="C8" s="122" t="s">
        <v>415</v>
      </c>
      <c r="D8" s="123"/>
      <c r="E8" s="123"/>
      <c r="F8" s="123"/>
      <c r="G8" s="123"/>
      <c r="H8" s="124" t="s">
        <v>416</v>
      </c>
      <c r="I8" s="124" t="s">
        <v>415</v>
      </c>
      <c r="J8" s="124">
        <v>5</v>
      </c>
      <c r="K8" s="124">
        <v>2</v>
      </c>
      <c r="L8" s="125" t="s">
        <v>417</v>
      </c>
      <c r="M8" s="125" t="s">
        <v>64</v>
      </c>
      <c r="N8" s="125">
        <v>5</v>
      </c>
      <c r="O8" s="125">
        <v>2</v>
      </c>
      <c r="P8" s="124" t="s">
        <v>396</v>
      </c>
      <c r="Q8" s="124" t="s">
        <v>231</v>
      </c>
      <c r="R8" s="124" t="s">
        <v>22</v>
      </c>
      <c r="S8" s="126">
        <v>3</v>
      </c>
      <c r="T8" s="123" t="s">
        <v>407</v>
      </c>
      <c r="U8" s="123" t="s">
        <v>231</v>
      </c>
      <c r="V8" s="123" t="s">
        <v>22</v>
      </c>
      <c r="W8" s="123" t="s">
        <v>16</v>
      </c>
      <c r="X8" s="124" t="s">
        <v>417</v>
      </c>
      <c r="Y8" s="124" t="s">
        <v>64</v>
      </c>
      <c r="Z8" s="124" t="s">
        <v>22</v>
      </c>
      <c r="AA8" s="124" t="s">
        <v>19</v>
      </c>
      <c r="AB8" s="125" t="s">
        <v>417</v>
      </c>
      <c r="AC8" s="125" t="s">
        <v>64</v>
      </c>
      <c r="AD8" s="125" t="s">
        <v>22</v>
      </c>
      <c r="AE8" s="125" t="s">
        <v>22</v>
      </c>
      <c r="AF8" s="127"/>
      <c r="AG8" s="124"/>
      <c r="AH8" s="124"/>
      <c r="AI8" s="124" t="s">
        <v>19</v>
      </c>
      <c r="AJ8" s="124" t="s">
        <v>16</v>
      </c>
    </row>
    <row r="9" spans="1:36" ht="17.25" thickTop="1" thickBot="1">
      <c r="A9" s="32" t="s">
        <v>418</v>
      </c>
      <c r="B9" s="37" t="s">
        <v>419</v>
      </c>
      <c r="C9" s="122" t="s">
        <v>420</v>
      </c>
      <c r="D9" s="123"/>
      <c r="E9" s="123"/>
      <c r="F9" s="123"/>
      <c r="G9" s="123"/>
      <c r="H9" s="124" t="s">
        <v>421</v>
      </c>
      <c r="I9" s="124" t="s">
        <v>420</v>
      </c>
      <c r="J9" s="124">
        <v>6</v>
      </c>
      <c r="K9" s="124">
        <v>2</v>
      </c>
      <c r="L9" s="125" t="s">
        <v>422</v>
      </c>
      <c r="M9" s="125" t="s">
        <v>151</v>
      </c>
      <c r="N9" s="125">
        <v>6</v>
      </c>
      <c r="O9" s="125">
        <v>2</v>
      </c>
      <c r="P9" s="124" t="s">
        <v>417</v>
      </c>
      <c r="Q9" s="124" t="s">
        <v>64</v>
      </c>
      <c r="R9" s="124" t="s">
        <v>25</v>
      </c>
      <c r="S9" s="126">
        <v>3</v>
      </c>
      <c r="T9" s="123" t="s">
        <v>396</v>
      </c>
      <c r="U9" s="123" t="s">
        <v>231</v>
      </c>
      <c r="V9" s="123" t="s">
        <v>25</v>
      </c>
      <c r="W9" s="123" t="s">
        <v>16</v>
      </c>
      <c r="X9" s="124" t="s">
        <v>552</v>
      </c>
      <c r="Y9" s="124" t="s">
        <v>552</v>
      </c>
      <c r="Z9" s="124" t="s">
        <v>25</v>
      </c>
      <c r="AA9" s="124" t="s">
        <v>19</v>
      </c>
      <c r="AB9" s="125" t="s">
        <v>552</v>
      </c>
      <c r="AC9" s="125" t="s">
        <v>423</v>
      </c>
      <c r="AD9" s="125" t="s">
        <v>25</v>
      </c>
      <c r="AE9" s="125" t="s">
        <v>22</v>
      </c>
      <c r="AF9" s="127" t="s">
        <v>424</v>
      </c>
      <c r="AG9" s="124"/>
      <c r="AH9" s="124"/>
      <c r="AI9" s="124" t="s">
        <v>19</v>
      </c>
      <c r="AJ9" s="124" t="s">
        <v>19</v>
      </c>
    </row>
    <row r="10" spans="1:36" ht="17.25" thickTop="1" thickBot="1">
      <c r="A10" s="32" t="s">
        <v>425</v>
      </c>
      <c r="B10" s="37" t="s">
        <v>426</v>
      </c>
      <c r="C10" s="122" t="s">
        <v>427</v>
      </c>
      <c r="D10" s="123"/>
      <c r="E10" s="123"/>
      <c r="F10" s="123"/>
      <c r="G10" s="123"/>
      <c r="H10" s="124" t="s">
        <v>428</v>
      </c>
      <c r="I10" s="124" t="s">
        <v>427</v>
      </c>
      <c r="J10" s="124">
        <v>7</v>
      </c>
      <c r="K10" s="124">
        <v>2</v>
      </c>
      <c r="L10" s="125" t="s">
        <v>429</v>
      </c>
      <c r="M10" s="125" t="s">
        <v>37</v>
      </c>
      <c r="N10" s="125">
        <v>7</v>
      </c>
      <c r="O10" s="125">
        <v>2</v>
      </c>
      <c r="P10" s="124" t="s">
        <v>396</v>
      </c>
      <c r="Q10" s="124" t="s">
        <v>231</v>
      </c>
      <c r="R10" s="124" t="s">
        <v>28</v>
      </c>
      <c r="S10" s="126">
        <v>3</v>
      </c>
      <c r="T10" s="123" t="s">
        <v>417</v>
      </c>
      <c r="U10" s="123" t="s">
        <v>231</v>
      </c>
      <c r="V10" s="123" t="s">
        <v>28</v>
      </c>
      <c r="W10" s="123" t="s">
        <v>16</v>
      </c>
      <c r="X10" s="124" t="s">
        <v>429</v>
      </c>
      <c r="Y10" s="124" t="s">
        <v>37</v>
      </c>
      <c r="Z10" s="124" t="s">
        <v>28</v>
      </c>
      <c r="AA10" s="124" t="s">
        <v>19</v>
      </c>
      <c r="AB10" s="125" t="s">
        <v>429</v>
      </c>
      <c r="AC10" s="125" t="s">
        <v>37</v>
      </c>
      <c r="AD10" s="125" t="s">
        <v>28</v>
      </c>
      <c r="AE10" s="125" t="s">
        <v>22</v>
      </c>
      <c r="AF10" s="127"/>
      <c r="AG10" s="124"/>
      <c r="AH10" s="124"/>
      <c r="AI10" s="124" t="s">
        <v>22</v>
      </c>
      <c r="AJ10" s="124" t="s">
        <v>16</v>
      </c>
    </row>
    <row r="11" spans="1:36" ht="17.25" thickTop="1" thickBot="1">
      <c r="A11" s="32" t="s">
        <v>430</v>
      </c>
      <c r="B11" s="37" t="s">
        <v>431</v>
      </c>
      <c r="C11" s="122" t="s">
        <v>432</v>
      </c>
      <c r="D11" s="123"/>
      <c r="E11" s="123"/>
      <c r="F11" s="123"/>
      <c r="G11" s="123"/>
      <c r="H11" s="124" t="s">
        <v>433</v>
      </c>
      <c r="I11" s="124" t="s">
        <v>432</v>
      </c>
      <c r="J11" s="124">
        <v>8</v>
      </c>
      <c r="K11" s="124">
        <v>2</v>
      </c>
      <c r="L11" s="125" t="s">
        <v>434</v>
      </c>
      <c r="M11" s="125" t="s">
        <v>16</v>
      </c>
      <c r="N11" s="125">
        <v>8</v>
      </c>
      <c r="O11" s="125">
        <v>2</v>
      </c>
      <c r="P11" s="124" t="s">
        <v>429</v>
      </c>
      <c r="Q11" s="124" t="s">
        <v>37</v>
      </c>
      <c r="R11" s="124" t="s">
        <v>33</v>
      </c>
      <c r="S11" s="126">
        <v>3</v>
      </c>
      <c r="T11" s="123" t="s">
        <v>396</v>
      </c>
      <c r="U11" s="123" t="s">
        <v>231</v>
      </c>
      <c r="V11" s="123" t="s">
        <v>33</v>
      </c>
      <c r="W11" s="123" t="s">
        <v>16</v>
      </c>
      <c r="X11" s="124" t="s">
        <v>233</v>
      </c>
      <c r="Y11" s="124" t="s">
        <v>233</v>
      </c>
      <c r="Z11" s="124" t="s">
        <v>33</v>
      </c>
      <c r="AA11" s="124" t="s">
        <v>19</v>
      </c>
      <c r="AB11" s="125" t="s">
        <v>233</v>
      </c>
      <c r="AC11" s="125" t="s">
        <v>73</v>
      </c>
      <c r="AD11" s="125" t="s">
        <v>33</v>
      </c>
      <c r="AE11" s="125" t="s">
        <v>22</v>
      </c>
      <c r="AF11" s="127" t="s">
        <v>436</v>
      </c>
      <c r="AG11" s="124"/>
      <c r="AH11" s="124"/>
      <c r="AI11" s="124" t="s">
        <v>25</v>
      </c>
      <c r="AJ11" s="124" t="s">
        <v>16</v>
      </c>
    </row>
    <row r="12" spans="1:36" ht="17.25" thickTop="1" thickBot="1">
      <c r="A12" s="32" t="s">
        <v>437</v>
      </c>
      <c r="B12" s="37" t="s">
        <v>438</v>
      </c>
      <c r="C12" s="122" t="s">
        <v>439</v>
      </c>
      <c r="D12" s="123"/>
      <c r="E12" s="123"/>
      <c r="F12" s="123"/>
      <c r="G12" s="123"/>
      <c r="H12" s="124" t="s">
        <v>440</v>
      </c>
      <c r="I12" s="124" t="s">
        <v>439</v>
      </c>
      <c r="J12" s="124">
        <v>9</v>
      </c>
      <c r="K12" s="124">
        <v>2</v>
      </c>
      <c r="L12" s="125" t="s">
        <v>441</v>
      </c>
      <c r="M12" s="125" t="s">
        <v>13</v>
      </c>
      <c r="N12" s="125">
        <v>9</v>
      </c>
      <c r="O12" s="125">
        <v>2</v>
      </c>
      <c r="P12" s="124" t="s">
        <v>396</v>
      </c>
      <c r="Q12" s="124" t="s">
        <v>231</v>
      </c>
      <c r="R12" s="124" t="s">
        <v>37</v>
      </c>
      <c r="S12" s="126">
        <v>3</v>
      </c>
      <c r="T12" s="123" t="s">
        <v>429</v>
      </c>
      <c r="U12" s="123" t="s">
        <v>231</v>
      </c>
      <c r="V12" s="123" t="s">
        <v>37</v>
      </c>
      <c r="W12" s="123" t="s">
        <v>16</v>
      </c>
      <c r="X12" s="124" t="s">
        <v>441</v>
      </c>
      <c r="Y12" s="124" t="s">
        <v>13</v>
      </c>
      <c r="Z12" s="124" t="s">
        <v>37</v>
      </c>
      <c r="AA12" s="124" t="s">
        <v>19</v>
      </c>
      <c r="AB12" s="125" t="s">
        <v>441</v>
      </c>
      <c r="AC12" s="125" t="s">
        <v>13</v>
      </c>
      <c r="AD12" s="125" t="s">
        <v>37</v>
      </c>
      <c r="AE12" s="125" t="s">
        <v>22</v>
      </c>
      <c r="AF12" s="127"/>
      <c r="AG12" s="124"/>
      <c r="AH12" s="124"/>
      <c r="AI12" s="124" t="s">
        <v>28</v>
      </c>
      <c r="AJ12" s="124" t="s">
        <v>16</v>
      </c>
    </row>
    <row r="13" spans="1:36" ht="17.25" thickTop="1" thickBot="1">
      <c r="A13" s="80" t="s">
        <v>442</v>
      </c>
      <c r="B13" s="37" t="s">
        <v>443</v>
      </c>
      <c r="C13" s="122" t="s">
        <v>444</v>
      </c>
      <c r="D13" s="123"/>
      <c r="E13" s="123"/>
      <c r="F13" s="123"/>
      <c r="G13" s="123"/>
      <c r="H13" s="124" t="s">
        <v>445</v>
      </c>
      <c r="I13" s="124" t="s">
        <v>444</v>
      </c>
      <c r="J13" s="124" t="s">
        <v>237</v>
      </c>
      <c r="K13" s="124">
        <v>2</v>
      </c>
      <c r="L13" s="125" t="s">
        <v>435</v>
      </c>
      <c r="M13" s="125" t="s">
        <v>51</v>
      </c>
      <c r="N13" s="125" t="s">
        <v>237</v>
      </c>
      <c r="O13" s="125">
        <v>2</v>
      </c>
      <c r="P13" s="124" t="s">
        <v>441</v>
      </c>
      <c r="Q13" s="124" t="s">
        <v>13</v>
      </c>
      <c r="R13" s="124" t="s">
        <v>237</v>
      </c>
      <c r="S13" s="126">
        <v>3</v>
      </c>
      <c r="T13" s="123" t="s">
        <v>396</v>
      </c>
      <c r="U13" s="123" t="s">
        <v>231</v>
      </c>
      <c r="V13" s="123" t="s">
        <v>237</v>
      </c>
      <c r="W13" s="123" t="s">
        <v>16</v>
      </c>
      <c r="X13" s="124" t="s">
        <v>446</v>
      </c>
      <c r="Y13" s="124" t="s">
        <v>447</v>
      </c>
      <c r="Z13" s="124" t="s">
        <v>237</v>
      </c>
      <c r="AA13" s="124" t="s">
        <v>19</v>
      </c>
      <c r="AB13" s="125" t="s">
        <v>446</v>
      </c>
      <c r="AC13" s="125" t="s">
        <v>447</v>
      </c>
      <c r="AD13" s="125" t="s">
        <v>237</v>
      </c>
      <c r="AE13" s="125" t="s">
        <v>22</v>
      </c>
      <c r="AF13" s="127"/>
      <c r="AG13" s="124"/>
      <c r="AH13" s="124"/>
      <c r="AI13" s="124" t="s">
        <v>33</v>
      </c>
      <c r="AJ13" s="124" t="s">
        <v>16</v>
      </c>
    </row>
    <row r="14" spans="1:36" ht="17.25" thickTop="1" thickBot="1">
      <c r="A14" s="127"/>
      <c r="B14" s="127"/>
      <c r="C14" s="127"/>
      <c r="D14" s="127"/>
      <c r="E14" s="127"/>
      <c r="F14" s="127"/>
      <c r="G14" s="127"/>
      <c r="H14" s="127"/>
      <c r="I14" s="127"/>
      <c r="J14" s="127"/>
      <c r="K14" s="127"/>
      <c r="L14" s="127"/>
      <c r="M14" s="127"/>
      <c r="N14" s="127"/>
      <c r="O14" s="127"/>
      <c r="P14" s="127"/>
      <c r="Q14" s="127"/>
      <c r="R14" s="127"/>
      <c r="S14" s="128"/>
      <c r="T14" s="127" t="s">
        <v>396</v>
      </c>
      <c r="U14" s="127"/>
      <c r="V14" s="127" t="s">
        <v>233</v>
      </c>
      <c r="W14" s="127" t="s">
        <v>16</v>
      </c>
      <c r="X14" s="127"/>
      <c r="Y14" s="127"/>
      <c r="Z14" s="127"/>
      <c r="AA14" s="127"/>
      <c r="AB14" s="127"/>
      <c r="AC14" s="127"/>
      <c r="AD14" s="127"/>
      <c r="AE14" s="127"/>
      <c r="AF14" s="127"/>
      <c r="AG14" s="124"/>
      <c r="AH14" s="124"/>
      <c r="AI14" s="124" t="s">
        <v>37</v>
      </c>
      <c r="AJ14" s="124" t="s">
        <v>16</v>
      </c>
    </row>
    <row r="15" spans="1:36" ht="17.25" thickTop="1" thickBot="1">
      <c r="AG15" s="124"/>
      <c r="AH15" s="124"/>
      <c r="AI15" s="124" t="s">
        <v>237</v>
      </c>
      <c r="AJ15" s="124" t="s">
        <v>16</v>
      </c>
    </row>
    <row r="16" spans="1:36" ht="20.25" thickTop="1" thickBot="1">
      <c r="B16" s="8" t="s">
        <v>377</v>
      </c>
      <c r="C16" s="8"/>
      <c r="D16" s="7" t="s">
        <v>378</v>
      </c>
      <c r="E16" s="7"/>
      <c r="F16" s="7"/>
      <c r="G16" s="7"/>
    </row>
    <row r="17" spans="2:7">
      <c r="B17" s="118" t="s">
        <v>386</v>
      </c>
      <c r="C17" s="118" t="s">
        <v>275</v>
      </c>
      <c r="D17" s="119" t="s">
        <v>387</v>
      </c>
      <c r="E17" s="119" t="s">
        <v>388</v>
      </c>
      <c r="F17" s="119" t="s">
        <v>196</v>
      </c>
      <c r="G17" s="119" t="s">
        <v>389</v>
      </c>
    </row>
    <row r="18" spans="2:7">
      <c r="B18" s="37" t="s">
        <v>392</v>
      </c>
      <c r="C18" s="122" t="s">
        <v>393</v>
      </c>
      <c r="D18" s="123" t="s">
        <v>394</v>
      </c>
      <c r="E18" s="123"/>
      <c r="F18" s="123">
        <v>0</v>
      </c>
      <c r="G18" s="123">
        <v>1</v>
      </c>
    </row>
    <row r="19" spans="2:7">
      <c r="B19" s="37"/>
      <c r="C19" s="122"/>
      <c r="D19" s="123"/>
      <c r="E19" s="123"/>
      <c r="F19" s="123"/>
      <c r="G19" s="123"/>
    </row>
    <row r="20" spans="2:7">
      <c r="B20" s="37" t="s">
        <v>398</v>
      </c>
      <c r="C20" s="122" t="s">
        <v>399</v>
      </c>
      <c r="D20" s="123" t="s">
        <v>448</v>
      </c>
      <c r="E20" s="123"/>
      <c r="F20" s="123">
        <v>1</v>
      </c>
      <c r="G20" s="123">
        <v>2</v>
      </c>
    </row>
    <row r="21" spans="2:7">
      <c r="B21" s="37"/>
      <c r="C21" s="122"/>
      <c r="D21" s="123" t="s">
        <v>400</v>
      </c>
      <c r="E21" s="123"/>
      <c r="F21" s="123">
        <v>1</v>
      </c>
      <c r="G21" s="123">
        <v>4</v>
      </c>
    </row>
    <row r="22" spans="2:7">
      <c r="B22" s="37" t="s">
        <v>404</v>
      </c>
      <c r="C22" s="122" t="s">
        <v>405</v>
      </c>
      <c r="D22" s="123" t="s">
        <v>449</v>
      </c>
      <c r="E22" s="123"/>
      <c r="F22" s="123">
        <v>2</v>
      </c>
      <c r="G22" s="123">
        <v>2</v>
      </c>
    </row>
    <row r="23" spans="2:7">
      <c r="B23" s="37"/>
      <c r="C23" s="122"/>
      <c r="D23" s="123" t="s">
        <v>406</v>
      </c>
      <c r="E23" s="123"/>
      <c r="F23" s="123">
        <v>2</v>
      </c>
      <c r="G23" s="123">
        <v>1</v>
      </c>
    </row>
    <row r="24" spans="2:7">
      <c r="B24" s="37" t="s">
        <v>450</v>
      </c>
      <c r="C24" s="122" t="s">
        <v>411</v>
      </c>
      <c r="D24" s="123" t="s">
        <v>449</v>
      </c>
      <c r="E24" s="123"/>
      <c r="F24" s="123">
        <v>3</v>
      </c>
      <c r="G24" s="123">
        <v>2</v>
      </c>
    </row>
    <row r="25" spans="2:7">
      <c r="B25" s="37"/>
      <c r="C25" s="122"/>
      <c r="D25" s="123" t="s">
        <v>412</v>
      </c>
      <c r="E25" s="123"/>
      <c r="F25" s="123">
        <v>3</v>
      </c>
      <c r="G25" s="123">
        <v>4</v>
      </c>
    </row>
    <row r="26" spans="2:7">
      <c r="B26" s="37" t="s">
        <v>414</v>
      </c>
      <c r="C26" s="122">
        <v>4003000</v>
      </c>
      <c r="D26" s="123" t="s">
        <v>451</v>
      </c>
      <c r="E26" s="123"/>
      <c r="F26" s="123">
        <v>4</v>
      </c>
      <c r="G26" s="123">
        <v>2</v>
      </c>
    </row>
    <row r="27" spans="2:7">
      <c r="B27" s="37"/>
      <c r="C27" s="122"/>
      <c r="D27" s="123" t="s">
        <v>416</v>
      </c>
      <c r="E27" s="123"/>
      <c r="F27" s="123">
        <v>4</v>
      </c>
      <c r="G27" s="123">
        <v>1</v>
      </c>
    </row>
    <row r="28" spans="2:7">
      <c r="B28" s="37" t="s">
        <v>419</v>
      </c>
      <c r="C28" s="122" t="s">
        <v>420</v>
      </c>
      <c r="D28" s="123" t="s">
        <v>452</v>
      </c>
      <c r="E28" s="123"/>
      <c r="F28" s="123">
        <v>5</v>
      </c>
      <c r="G28" s="123">
        <v>2</v>
      </c>
    </row>
    <row r="29" spans="2:7">
      <c r="B29" s="37"/>
      <c r="C29" s="122"/>
      <c r="D29" s="123" t="s">
        <v>421</v>
      </c>
      <c r="E29" s="123"/>
      <c r="F29" s="123">
        <v>5</v>
      </c>
      <c r="G29" s="123">
        <v>4</v>
      </c>
    </row>
    <row r="30" spans="2:7">
      <c r="B30" s="37" t="s">
        <v>426</v>
      </c>
      <c r="C30" s="122" t="s">
        <v>427</v>
      </c>
      <c r="D30" s="123" t="s">
        <v>453</v>
      </c>
      <c r="E30" s="123"/>
      <c r="F30" s="123">
        <v>6</v>
      </c>
      <c r="G30" s="123">
        <v>2</v>
      </c>
    </row>
    <row r="31" spans="2:7">
      <c r="B31" s="37"/>
      <c r="C31" s="122"/>
      <c r="D31" s="123" t="s">
        <v>428</v>
      </c>
      <c r="E31" s="123"/>
      <c r="F31" s="123">
        <v>6</v>
      </c>
      <c r="G31" s="123">
        <v>1</v>
      </c>
    </row>
    <row r="32" spans="2:7">
      <c r="B32" s="37" t="s">
        <v>431</v>
      </c>
      <c r="C32" s="122" t="s">
        <v>432</v>
      </c>
      <c r="D32" s="123" t="s">
        <v>454</v>
      </c>
      <c r="E32" s="123"/>
      <c r="F32" s="123">
        <v>7</v>
      </c>
      <c r="G32" s="123">
        <v>2</v>
      </c>
    </row>
    <row r="33" spans="1:36">
      <c r="B33" s="37"/>
      <c r="C33" s="122"/>
      <c r="D33" s="123" t="s">
        <v>433</v>
      </c>
      <c r="E33" s="123"/>
      <c r="F33" s="123">
        <v>7</v>
      </c>
      <c r="G33" s="123">
        <v>4</v>
      </c>
    </row>
    <row r="34" spans="1:36">
      <c r="B34" s="37" t="s">
        <v>438</v>
      </c>
      <c r="C34" s="122" t="s">
        <v>439</v>
      </c>
      <c r="D34" s="123" t="s">
        <v>448</v>
      </c>
      <c r="E34" s="123"/>
      <c r="F34" s="123">
        <v>8</v>
      </c>
      <c r="G34" s="123">
        <v>2</v>
      </c>
    </row>
    <row r="35" spans="1:36">
      <c r="B35" s="37"/>
      <c r="C35" s="122"/>
      <c r="D35" s="123" t="s">
        <v>440</v>
      </c>
      <c r="E35" s="123"/>
      <c r="F35" s="123">
        <v>8</v>
      </c>
      <c r="G35" s="123">
        <v>1</v>
      </c>
    </row>
    <row r="36" spans="1:36">
      <c r="B36" s="37" t="s">
        <v>443</v>
      </c>
      <c r="C36" s="122" t="s">
        <v>444</v>
      </c>
      <c r="D36" s="123" t="s">
        <v>455</v>
      </c>
      <c r="E36" s="123"/>
      <c r="F36" s="123">
        <v>9</v>
      </c>
      <c r="G36" s="123">
        <v>2</v>
      </c>
    </row>
    <row r="37" spans="1:36">
      <c r="B37" s="37"/>
      <c r="C37" s="122"/>
      <c r="D37" s="123" t="s">
        <v>445</v>
      </c>
      <c r="E37" s="123"/>
      <c r="F37" s="123">
        <v>9</v>
      </c>
      <c r="G37" s="123">
        <v>4</v>
      </c>
    </row>
    <row r="39" spans="1:36">
      <c r="A39" s="127"/>
      <c r="B39" s="5" t="s">
        <v>456</v>
      </c>
      <c r="C39" s="5"/>
      <c r="D39" s="5"/>
      <c r="E39" s="5"/>
      <c r="F39" s="5"/>
      <c r="G39" s="5"/>
    </row>
    <row r="40" spans="1:36" ht="17.25" thickTop="1" thickBot="1">
      <c r="A40" s="127"/>
      <c r="B40" s="127"/>
      <c r="C40" s="127"/>
      <c r="D40" s="127" t="s">
        <v>457</v>
      </c>
      <c r="E40" s="127" t="s">
        <v>458</v>
      </c>
      <c r="F40" s="127" t="s">
        <v>459</v>
      </c>
      <c r="G40" s="127" t="s">
        <v>3</v>
      </c>
    </row>
    <row r="41" spans="1:36" ht="17.25" thickTop="1" thickBot="1">
      <c r="A41" s="127"/>
      <c r="B41" s="127" t="s">
        <v>427</v>
      </c>
      <c r="C41" s="129" t="s">
        <v>460</v>
      </c>
      <c r="D41" s="129">
        <v>0</v>
      </c>
      <c r="E41" s="129">
        <v>1</v>
      </c>
      <c r="F41" s="129">
        <v>9</v>
      </c>
      <c r="G41" s="129">
        <v>33</v>
      </c>
    </row>
    <row r="42" spans="1:36" ht="17.25" thickTop="1" thickBot="1">
      <c r="A42" s="127"/>
      <c r="B42" s="127" t="s">
        <v>420</v>
      </c>
      <c r="C42" s="127" t="s">
        <v>461</v>
      </c>
      <c r="D42" s="127" t="s">
        <v>10</v>
      </c>
      <c r="E42" s="127" t="s">
        <v>16</v>
      </c>
      <c r="F42" s="127" t="s">
        <v>151</v>
      </c>
      <c r="G42" s="127" t="s">
        <v>110</v>
      </c>
    </row>
    <row r="43" spans="1:36" ht="16.5" thickTop="1"/>
    <row r="44" spans="1:36" ht="16.5" thickBot="1">
      <c r="A44" s="177"/>
      <c r="B44" s="114"/>
      <c r="C44" s="114"/>
      <c r="D44" s="114"/>
      <c r="E44" s="114"/>
      <c r="F44" s="114"/>
      <c r="G44" s="114"/>
      <c r="L44" s="114"/>
      <c r="M44" s="114"/>
      <c r="N44" s="114"/>
      <c r="O44" s="114"/>
      <c r="P44" s="114"/>
      <c r="Q44" s="114"/>
      <c r="R44" s="114"/>
      <c r="T44" s="114"/>
      <c r="U44" s="114"/>
      <c r="V44" s="114"/>
      <c r="W44" s="114"/>
      <c r="X44" s="114"/>
      <c r="Y44" s="114"/>
      <c r="Z44" s="114"/>
      <c r="AA44" s="114"/>
      <c r="AB44" s="114"/>
      <c r="AC44" s="114"/>
      <c r="AD44" s="114"/>
      <c r="AE44" s="114"/>
      <c r="AF44" s="114"/>
      <c r="AG44" s="114"/>
      <c r="AH44" s="114"/>
      <c r="AI44" s="114"/>
      <c r="AJ44" s="114"/>
    </row>
    <row r="45" spans="1:36" ht="17.25" thickTop="1" thickBot="1">
      <c r="A45" s="179" t="s">
        <v>599</v>
      </c>
      <c r="B45" s="129"/>
      <c r="C45" s="129"/>
      <c r="D45" s="129"/>
      <c r="E45" s="129"/>
      <c r="F45" s="129"/>
      <c r="G45" s="129"/>
      <c r="L45" s="114"/>
      <c r="M45" s="114"/>
      <c r="N45" s="114"/>
      <c r="O45" s="114"/>
      <c r="P45" s="114"/>
      <c r="Q45" s="114"/>
      <c r="R45" s="114"/>
      <c r="T45" s="114"/>
      <c r="U45" s="114"/>
      <c r="V45" s="114"/>
      <c r="W45" s="114"/>
      <c r="X45" s="114"/>
      <c r="Y45" s="114"/>
      <c r="Z45" s="114"/>
      <c r="AA45" s="114"/>
      <c r="AB45" s="114"/>
      <c r="AC45" s="114"/>
      <c r="AD45" s="114"/>
      <c r="AE45" s="114"/>
      <c r="AF45" s="114"/>
      <c r="AG45" s="114"/>
      <c r="AH45" s="114"/>
      <c r="AI45" s="114"/>
      <c r="AJ45" s="114"/>
    </row>
    <row r="46" spans="1:36" ht="20.25" thickTop="1" thickBot="1">
      <c r="A46" s="4" t="s">
        <v>377</v>
      </c>
      <c r="B46" s="4"/>
      <c r="C46" s="4"/>
      <c r="D46" s="7" t="s">
        <v>378</v>
      </c>
      <c r="E46" s="7"/>
      <c r="F46" s="7"/>
      <c r="G46" s="7"/>
      <c r="H46" s="6" t="s">
        <v>379</v>
      </c>
      <c r="I46" s="6"/>
      <c r="J46" s="6"/>
      <c r="K46" s="6"/>
      <c r="L46" s="7" t="s">
        <v>380</v>
      </c>
      <c r="M46" s="7"/>
      <c r="N46" s="7"/>
      <c r="O46" s="7"/>
      <c r="P46" s="6" t="s">
        <v>381</v>
      </c>
      <c r="Q46" s="6"/>
      <c r="R46" s="6"/>
      <c r="S46" s="6"/>
      <c r="T46" s="7" t="s">
        <v>382</v>
      </c>
      <c r="U46" s="7"/>
      <c r="V46" s="7"/>
      <c r="W46" s="7"/>
      <c r="X46" s="6" t="s">
        <v>383</v>
      </c>
      <c r="Y46" s="6"/>
      <c r="Z46" s="6"/>
      <c r="AA46" s="6"/>
      <c r="AB46" s="7" t="s">
        <v>384</v>
      </c>
      <c r="AC46" s="7"/>
      <c r="AD46" s="7"/>
      <c r="AE46" s="7"/>
      <c r="AF46" s="116"/>
      <c r="AG46" s="130"/>
      <c r="AH46" s="130"/>
      <c r="AI46" s="130"/>
      <c r="AJ46" s="130"/>
    </row>
    <row r="47" spans="1:36" ht="17.25" thickTop="1" thickBot="1">
      <c r="A47" s="122" t="s">
        <v>462</v>
      </c>
      <c r="B47" s="118" t="s">
        <v>386</v>
      </c>
      <c r="C47" s="118" t="s">
        <v>275</v>
      </c>
      <c r="D47" s="119" t="s">
        <v>387</v>
      </c>
      <c r="E47" s="119" t="s">
        <v>388</v>
      </c>
      <c r="F47" s="119" t="s">
        <v>196</v>
      </c>
      <c r="G47" s="119" t="s">
        <v>389</v>
      </c>
      <c r="H47" s="118" t="s">
        <v>387</v>
      </c>
      <c r="I47" s="118" t="s">
        <v>388</v>
      </c>
      <c r="J47" s="118" t="s">
        <v>196</v>
      </c>
      <c r="K47" s="118" t="s">
        <v>389</v>
      </c>
      <c r="L47" s="119" t="s">
        <v>387</v>
      </c>
      <c r="M47" s="119" t="s">
        <v>388</v>
      </c>
      <c r="N47" s="119" t="s">
        <v>196</v>
      </c>
      <c r="O47" s="119" t="s">
        <v>389</v>
      </c>
      <c r="P47" s="118" t="s">
        <v>387</v>
      </c>
      <c r="Q47" s="118" t="s">
        <v>388</v>
      </c>
      <c r="R47" s="118" t="s">
        <v>196</v>
      </c>
      <c r="S47" s="120" t="s">
        <v>389</v>
      </c>
      <c r="T47" s="119" t="s">
        <v>387</v>
      </c>
      <c r="U47" s="119" t="s">
        <v>388</v>
      </c>
      <c r="V47" s="119" t="s">
        <v>196</v>
      </c>
      <c r="W47" s="119" t="s">
        <v>389</v>
      </c>
      <c r="X47" s="118" t="s">
        <v>387</v>
      </c>
      <c r="Y47" s="118" t="s">
        <v>388</v>
      </c>
      <c r="Z47" s="118" t="s">
        <v>196</v>
      </c>
      <c r="AA47" s="118" t="s">
        <v>389</v>
      </c>
      <c r="AB47" s="119" t="s">
        <v>387</v>
      </c>
      <c r="AC47" s="119" t="s">
        <v>388</v>
      </c>
      <c r="AD47" s="119" t="s">
        <v>196</v>
      </c>
      <c r="AE47" s="119" t="s">
        <v>389</v>
      </c>
      <c r="AF47" s="121"/>
      <c r="AG47" s="130"/>
      <c r="AH47" s="130"/>
      <c r="AI47" s="130"/>
      <c r="AJ47" s="130"/>
    </row>
    <row r="48" spans="1:36" ht="17.25" thickTop="1" thickBot="1">
      <c r="A48" s="122" t="s">
        <v>391</v>
      </c>
      <c r="B48" s="37" t="s">
        <v>392</v>
      </c>
      <c r="C48" s="131" t="s">
        <v>393</v>
      </c>
      <c r="D48" s="122"/>
      <c r="E48" s="122"/>
      <c r="F48" s="122"/>
      <c r="G48" s="122"/>
      <c r="H48" s="122"/>
      <c r="I48" s="131"/>
      <c r="J48" s="122" t="s">
        <v>10</v>
      </c>
      <c r="K48" s="122" t="s">
        <v>13</v>
      </c>
      <c r="L48" s="132"/>
      <c r="M48" s="132" t="s">
        <v>74</v>
      </c>
      <c r="N48" s="132" t="s">
        <v>10</v>
      </c>
      <c r="O48" s="132" t="s">
        <v>13</v>
      </c>
      <c r="P48" s="122"/>
      <c r="Q48" s="122"/>
      <c r="R48" s="122"/>
      <c r="S48" s="128"/>
      <c r="T48" s="132"/>
      <c r="U48" s="132"/>
      <c r="V48" s="132"/>
      <c r="W48" s="132"/>
      <c r="X48" s="122"/>
      <c r="Y48" s="122"/>
      <c r="Z48" s="122"/>
      <c r="AA48" s="122"/>
      <c r="AB48" s="132"/>
      <c r="AC48" s="132"/>
      <c r="AD48" s="132"/>
      <c r="AE48" s="132"/>
    </row>
    <row r="49" spans="1:31 1025:1025" ht="17.25" thickTop="1" thickBot="1">
      <c r="A49" s="122" t="s">
        <v>597</v>
      </c>
      <c r="B49" s="129" t="s">
        <v>596</v>
      </c>
      <c r="C49" s="131" t="s">
        <v>598</v>
      </c>
      <c r="D49" s="122"/>
      <c r="E49" s="122"/>
      <c r="F49" s="122"/>
      <c r="G49" s="122"/>
      <c r="H49" s="122"/>
      <c r="I49" s="122"/>
      <c r="J49" s="122" t="s">
        <v>13</v>
      </c>
      <c r="K49" s="122" t="s">
        <v>13</v>
      </c>
      <c r="L49" s="132"/>
      <c r="M49" s="132"/>
      <c r="N49" s="132" t="s">
        <v>13</v>
      </c>
      <c r="O49" s="132" t="s">
        <v>13</v>
      </c>
      <c r="P49" s="122"/>
      <c r="Q49" s="122"/>
      <c r="R49" s="122"/>
      <c r="S49" s="128"/>
      <c r="T49" s="132"/>
      <c r="U49" s="132"/>
      <c r="V49" s="132"/>
      <c r="W49" s="132"/>
      <c r="X49" s="122"/>
      <c r="Y49" s="122"/>
      <c r="Z49" s="122"/>
      <c r="AA49" s="122"/>
      <c r="AB49" s="132"/>
      <c r="AC49" s="132"/>
      <c r="AD49" s="132"/>
      <c r="AE49" s="132"/>
    </row>
    <row r="50" spans="1:31 1025:1025" ht="17.25" thickTop="1" thickBot="1">
      <c r="A50" s="122" t="s">
        <v>467</v>
      </c>
      <c r="B50" s="129" t="s">
        <v>468</v>
      </c>
      <c r="C50" s="122" t="s">
        <v>469</v>
      </c>
      <c r="D50" s="122"/>
      <c r="E50" s="122"/>
      <c r="F50" s="122"/>
      <c r="G50" s="122"/>
      <c r="H50" s="122"/>
      <c r="I50" s="122"/>
      <c r="J50" s="122"/>
      <c r="K50" s="122"/>
      <c r="L50" s="132"/>
      <c r="M50" s="132"/>
      <c r="N50" s="132"/>
      <c r="O50" s="132"/>
      <c r="P50" s="122"/>
      <c r="Q50" s="122"/>
      <c r="R50" s="122"/>
      <c r="S50" s="128"/>
      <c r="T50" s="132"/>
      <c r="U50" s="132"/>
      <c r="V50" s="132"/>
      <c r="W50" s="132"/>
      <c r="X50" s="122"/>
      <c r="Y50" s="122"/>
      <c r="Z50" s="122"/>
      <c r="AA50" s="122"/>
      <c r="AB50" s="132"/>
      <c r="AC50" s="132"/>
      <c r="AD50" s="132"/>
      <c r="AE50" s="132"/>
    </row>
    <row r="51" spans="1:31 1025:1025" ht="17.25" thickTop="1" thickBot="1">
      <c r="A51" s="122"/>
      <c r="B51" s="129"/>
      <c r="C51" s="122"/>
      <c r="D51" s="122"/>
      <c r="E51" s="122"/>
      <c r="F51" s="122"/>
      <c r="G51" s="122"/>
      <c r="H51" s="122"/>
      <c r="I51" s="122"/>
      <c r="J51" s="122"/>
      <c r="K51" s="122"/>
      <c r="L51" s="132"/>
      <c r="M51" s="132"/>
      <c r="N51" s="132"/>
      <c r="O51" s="132"/>
      <c r="P51" s="122"/>
      <c r="Q51" s="122"/>
      <c r="R51" s="122"/>
      <c r="S51" s="128"/>
      <c r="T51" s="132"/>
      <c r="U51" s="132"/>
      <c r="V51" s="132"/>
      <c r="W51" s="132"/>
      <c r="X51" s="122"/>
      <c r="Y51" s="122"/>
      <c r="Z51" s="122"/>
      <c r="AA51" s="122"/>
      <c r="AB51" s="132"/>
      <c r="AC51" s="132"/>
      <c r="AD51" s="132"/>
      <c r="AE51" s="132"/>
    </row>
    <row r="52" spans="1:31 1025:1025" ht="17.25" thickTop="1" thickBot="1">
      <c r="A52" s="122"/>
      <c r="B52" s="129"/>
      <c r="C52" s="122"/>
      <c r="D52" s="122"/>
      <c r="E52" s="122"/>
      <c r="F52" s="122"/>
      <c r="G52" s="122"/>
      <c r="H52" s="122"/>
      <c r="I52" s="122"/>
      <c r="J52" s="122"/>
      <c r="K52" s="122"/>
      <c r="L52" s="132"/>
      <c r="M52" s="132"/>
      <c r="N52" s="132"/>
      <c r="O52" s="132"/>
      <c r="P52" s="122"/>
      <c r="Q52" s="122"/>
      <c r="R52" s="122"/>
      <c r="S52" s="128"/>
      <c r="T52" s="132"/>
      <c r="U52" s="132"/>
      <c r="V52" s="132"/>
      <c r="W52" s="132"/>
      <c r="X52" s="122"/>
      <c r="Y52" s="122"/>
      <c r="Z52" s="122"/>
      <c r="AA52" s="122"/>
      <c r="AB52" s="132"/>
      <c r="AC52" s="132"/>
      <c r="AD52" s="132"/>
      <c r="AE52" s="132"/>
    </row>
    <row r="53" spans="1:31 1025:1025" ht="17.25" thickTop="1" thickBot="1">
      <c r="A53" s="122"/>
      <c r="B53" s="51"/>
      <c r="C53" s="122"/>
      <c r="D53" s="122"/>
      <c r="E53" s="122"/>
      <c r="F53" s="122"/>
      <c r="G53" s="122"/>
      <c r="H53" s="122"/>
      <c r="I53" s="122"/>
      <c r="J53" s="122"/>
      <c r="K53" s="122"/>
      <c r="L53" s="132"/>
      <c r="M53" s="132"/>
      <c r="N53" s="132"/>
      <c r="O53" s="132"/>
      <c r="P53" s="122"/>
      <c r="Q53" s="122"/>
      <c r="R53" s="122"/>
      <c r="S53" s="128"/>
      <c r="T53" s="132"/>
      <c r="U53" s="132"/>
      <c r="V53" s="132"/>
      <c r="W53" s="132"/>
      <c r="X53" s="122"/>
      <c r="Y53" s="122"/>
      <c r="Z53" s="122"/>
      <c r="AA53" s="122"/>
      <c r="AB53" s="132"/>
      <c r="AC53" s="132"/>
      <c r="AD53" s="132"/>
      <c r="AE53" s="132"/>
    </row>
    <row r="54" spans="1:31 1025:1025" ht="17.25" thickTop="1" thickBot="1">
      <c r="A54"/>
      <c r="B54" t="s">
        <v>600</v>
      </c>
      <c r="C54"/>
      <c r="D54" s="122"/>
      <c r="E54" s="122"/>
      <c r="F54" s="122"/>
      <c r="G54" s="122"/>
      <c r="H54" s="122"/>
      <c r="I54" s="122"/>
      <c r="J54" s="122"/>
      <c r="K54" s="122"/>
      <c r="L54" s="132"/>
      <c r="M54" s="132"/>
      <c r="N54" s="132"/>
      <c r="O54" s="132"/>
      <c r="P54" s="122"/>
      <c r="Q54" s="122"/>
      <c r="R54" s="122"/>
      <c r="S54" s="128"/>
      <c r="T54" s="132"/>
      <c r="U54" s="132"/>
      <c r="V54" s="132"/>
      <c r="W54" s="132"/>
      <c r="X54" s="122"/>
      <c r="Y54" s="122"/>
      <c r="Z54" s="122"/>
      <c r="AA54" s="122"/>
      <c r="AB54" s="132"/>
      <c r="AC54" s="132"/>
      <c r="AD54" s="132"/>
      <c r="AE54" s="132"/>
    </row>
    <row r="55" spans="1:31 1025:1025">
      <c r="H55" s="122"/>
      <c r="I55" s="122"/>
      <c r="J55" s="122"/>
      <c r="K55" s="122"/>
      <c r="L55" s="132"/>
      <c r="M55" s="132"/>
      <c r="N55" s="132"/>
      <c r="O55" s="132"/>
      <c r="P55" s="127"/>
      <c r="Q55" s="127"/>
      <c r="R55" s="127"/>
      <c r="S55" s="128"/>
      <c r="T55" s="123"/>
      <c r="U55" s="123"/>
      <c r="V55" s="123"/>
      <c r="W55" s="123"/>
      <c r="X55" s="122"/>
      <c r="Y55" s="122"/>
      <c r="Z55" s="122"/>
      <c r="AA55" s="122"/>
      <c r="AB55" s="123"/>
      <c r="AC55" s="123"/>
      <c r="AD55" s="123"/>
      <c r="AE55" s="123"/>
    </row>
    <row r="56" spans="1:31 1025:1025">
      <c r="H56" s="122"/>
      <c r="I56" s="122"/>
      <c r="J56" s="122"/>
      <c r="K56" s="122"/>
      <c r="L56" s="132"/>
      <c r="M56" s="132"/>
      <c r="N56" s="132"/>
      <c r="O56" s="132"/>
      <c r="P56" s="127"/>
      <c r="Q56" s="127"/>
      <c r="R56" s="127"/>
      <c r="S56" s="128"/>
      <c r="T56" s="123"/>
      <c r="U56" s="123"/>
      <c r="V56" s="123"/>
      <c r="W56" s="123"/>
      <c r="X56" s="122"/>
      <c r="Y56" s="122"/>
      <c r="Z56" s="122"/>
      <c r="AA56" s="122"/>
      <c r="AB56" s="123"/>
      <c r="AC56" s="123"/>
      <c r="AD56" s="123"/>
      <c r="AE56" s="123"/>
    </row>
    <row r="57" spans="1:31 1025:1025">
      <c r="H57" s="122"/>
      <c r="I57" s="122"/>
      <c r="J57" s="122"/>
      <c r="K57" s="122"/>
      <c r="L57" s="132"/>
      <c r="M57" s="132"/>
      <c r="N57" s="132"/>
      <c r="O57" s="132"/>
      <c r="P57" s="127"/>
      <c r="Q57" s="127"/>
      <c r="R57" s="127"/>
      <c r="S57" s="128"/>
      <c r="T57" s="123"/>
      <c r="U57" s="123"/>
      <c r="V57" s="123"/>
      <c r="W57" s="123"/>
      <c r="X57" s="122"/>
      <c r="Y57" s="122"/>
      <c r="Z57" s="122"/>
      <c r="AA57" s="122"/>
      <c r="AB57" s="123"/>
      <c r="AC57" s="123"/>
      <c r="AD57" s="123"/>
      <c r="AE57" s="123"/>
    </row>
    <row r="58" spans="1:31 1025:1025">
      <c r="H58" s="122"/>
      <c r="I58" s="122"/>
      <c r="J58" s="122"/>
      <c r="K58" s="122"/>
      <c r="L58" s="132"/>
      <c r="M58" s="132"/>
      <c r="N58" s="132"/>
      <c r="O58" s="132"/>
      <c r="P58" s="127"/>
      <c r="Q58" s="127"/>
      <c r="R58" s="127"/>
      <c r="S58" s="128"/>
      <c r="T58" s="123"/>
      <c r="U58" s="123"/>
      <c r="V58" s="123"/>
      <c r="W58" s="123"/>
      <c r="X58" s="122"/>
      <c r="Y58" s="122"/>
      <c r="Z58" s="122"/>
      <c r="AA58" s="122"/>
      <c r="AB58" s="123"/>
      <c r="AC58" s="123"/>
      <c r="AD58" s="123"/>
      <c r="AE58" s="123"/>
    </row>
    <row r="59" spans="1:31 1025:1025" ht="16.5" thickTop="1"/>
    <row r="60" spans="1:31 1025:1025">
      <c r="R60" s="113"/>
      <c r="S60" s="112"/>
      <c r="AMK60"/>
    </row>
    <row r="61" spans="1:31 1025:1025">
      <c r="R61" s="113"/>
      <c r="S61" s="112"/>
      <c r="AMK61"/>
    </row>
    <row r="62" spans="1:31 1025:1025">
      <c r="R62" s="113"/>
      <c r="S62" s="112"/>
      <c r="AMK62"/>
    </row>
    <row r="63" spans="1:31 1025:1025" ht="16.5" thickBot="1">
      <c r="R63" s="113"/>
      <c r="S63" s="112"/>
      <c r="AMK63"/>
    </row>
    <row r="64" spans="1:31 1025:1025" ht="17.25" thickTop="1" thickBot="1">
      <c r="A64" s="178" t="s">
        <v>612</v>
      </c>
      <c r="B64" s="122"/>
      <c r="C64" s="122"/>
      <c r="D64" s="122"/>
      <c r="E64" s="122"/>
      <c r="F64" s="122"/>
      <c r="G64" s="122"/>
      <c r="R64" s="113"/>
      <c r="S64" s="112"/>
      <c r="AMK64"/>
    </row>
    <row r="65" spans="1:32 1025:1025" ht="20.25" thickTop="1" thickBot="1">
      <c r="A65" s="4" t="s">
        <v>377</v>
      </c>
      <c r="B65" s="4"/>
      <c r="C65" s="4"/>
      <c r="D65" s="7" t="s">
        <v>378</v>
      </c>
      <c r="E65" s="7"/>
      <c r="F65" s="7"/>
      <c r="G65" s="7"/>
      <c r="H65" s="6" t="s">
        <v>379</v>
      </c>
      <c r="I65" s="6"/>
      <c r="J65" s="6"/>
      <c r="K65" s="6"/>
      <c r="L65" s="7" t="s">
        <v>380</v>
      </c>
      <c r="M65" s="7"/>
      <c r="N65" s="7"/>
      <c r="O65" s="7"/>
      <c r="P65" s="6" t="s">
        <v>381</v>
      </c>
      <c r="Q65" s="6"/>
      <c r="R65" s="6"/>
      <c r="S65" s="6"/>
      <c r="T65" s="7" t="s">
        <v>382</v>
      </c>
      <c r="U65" s="7"/>
      <c r="V65" s="7"/>
      <c r="W65" s="7"/>
      <c r="X65" s="6" t="s">
        <v>383</v>
      </c>
      <c r="Y65" s="6"/>
      <c r="Z65" s="6"/>
      <c r="AA65" s="6"/>
      <c r="AB65" s="7" t="s">
        <v>384</v>
      </c>
      <c r="AC65" s="7"/>
      <c r="AD65" s="7"/>
      <c r="AE65" s="7"/>
      <c r="AF65" s="116"/>
      <c r="AMK65"/>
    </row>
    <row r="66" spans="1:32 1025:1025" ht="17.25" thickTop="1" thickBot="1">
      <c r="A66" s="122" t="s">
        <v>462</v>
      </c>
      <c r="B66" s="118" t="s">
        <v>386</v>
      </c>
      <c r="C66" s="118" t="s">
        <v>275</v>
      </c>
      <c r="D66" s="119" t="s">
        <v>387</v>
      </c>
      <c r="E66" s="119" t="s">
        <v>388</v>
      </c>
      <c r="F66" s="119" t="s">
        <v>196</v>
      </c>
      <c r="G66" s="119" t="s">
        <v>389</v>
      </c>
      <c r="H66" s="118" t="s">
        <v>387</v>
      </c>
      <c r="I66" s="118" t="s">
        <v>388</v>
      </c>
      <c r="J66" s="118" t="s">
        <v>196</v>
      </c>
      <c r="K66" s="118" t="s">
        <v>389</v>
      </c>
      <c r="L66" s="119" t="s">
        <v>387</v>
      </c>
      <c r="M66" s="119" t="s">
        <v>388</v>
      </c>
      <c r="N66" s="119" t="s">
        <v>196</v>
      </c>
      <c r="O66" s="119" t="s">
        <v>389</v>
      </c>
      <c r="P66" s="118" t="s">
        <v>387</v>
      </c>
      <c r="Q66" s="118" t="s">
        <v>388</v>
      </c>
      <c r="R66" s="118" t="s">
        <v>196</v>
      </c>
      <c r="S66" s="120" t="s">
        <v>389</v>
      </c>
      <c r="T66" s="119" t="s">
        <v>387</v>
      </c>
      <c r="U66" s="119" t="s">
        <v>388</v>
      </c>
      <c r="V66" s="119" t="s">
        <v>196</v>
      </c>
      <c r="W66" s="119" t="s">
        <v>389</v>
      </c>
      <c r="X66" s="118" t="s">
        <v>387</v>
      </c>
      <c r="Y66" s="118" t="s">
        <v>388</v>
      </c>
      <c r="Z66" s="118" t="s">
        <v>196</v>
      </c>
      <c r="AA66" s="118" t="s">
        <v>389</v>
      </c>
      <c r="AB66" s="119" t="s">
        <v>387</v>
      </c>
      <c r="AC66" s="119" t="s">
        <v>388</v>
      </c>
      <c r="AD66" s="119" t="s">
        <v>196</v>
      </c>
      <c r="AE66" s="119" t="s">
        <v>389</v>
      </c>
      <c r="AF66" s="121"/>
    </row>
    <row r="67" spans="1:32 1025:1025" ht="17.25" thickTop="1" thickBot="1">
      <c r="A67" s="122" t="s">
        <v>463</v>
      </c>
      <c r="B67" s="37" t="s">
        <v>464</v>
      </c>
      <c r="C67" s="131" t="s">
        <v>465</v>
      </c>
      <c r="D67" s="122"/>
      <c r="E67" s="122"/>
      <c r="F67" s="122"/>
      <c r="G67" s="122"/>
      <c r="H67" s="122"/>
      <c r="I67" s="131" t="s">
        <v>465</v>
      </c>
      <c r="J67" s="122"/>
      <c r="K67" s="122"/>
      <c r="L67" s="132"/>
      <c r="M67" s="132"/>
      <c r="N67" s="132"/>
      <c r="O67" s="132"/>
      <c r="P67" s="122"/>
      <c r="Q67" s="122"/>
      <c r="R67" s="122"/>
      <c r="S67" s="128"/>
      <c r="T67" s="132"/>
      <c r="U67" s="132"/>
      <c r="V67" s="132"/>
      <c r="W67" s="132"/>
      <c r="X67" s="122"/>
      <c r="Y67" s="122"/>
      <c r="Z67" s="122"/>
      <c r="AA67" s="122"/>
      <c r="AB67" s="132"/>
      <c r="AC67" s="132"/>
      <c r="AD67" s="132"/>
      <c r="AE67" s="132"/>
    </row>
    <row r="68" spans="1:32 1025:1025" ht="17.25" thickTop="1" thickBot="1">
      <c r="A68" s="122" t="s">
        <v>614</v>
      </c>
      <c r="B68" s="129" t="s">
        <v>398</v>
      </c>
      <c r="C68" s="122" t="s">
        <v>399</v>
      </c>
      <c r="D68" s="122"/>
      <c r="E68" s="122"/>
      <c r="F68" s="122"/>
      <c r="G68" s="122"/>
      <c r="H68" s="122"/>
      <c r="I68" s="122" t="s">
        <v>469</v>
      </c>
      <c r="J68" s="122"/>
      <c r="K68" s="122"/>
      <c r="L68" s="132"/>
      <c r="M68" s="132"/>
      <c r="N68" s="132"/>
      <c r="O68" s="132"/>
      <c r="P68" s="122"/>
      <c r="Q68" s="122"/>
      <c r="R68" s="122"/>
      <c r="S68" s="128"/>
      <c r="T68" s="132"/>
      <c r="U68" s="132"/>
      <c r="V68" s="132"/>
      <c r="W68" s="132"/>
      <c r="X68" s="122"/>
      <c r="Y68" s="122"/>
      <c r="Z68" s="122"/>
      <c r="AA68" s="122"/>
      <c r="AB68" s="132"/>
      <c r="AC68" s="132"/>
      <c r="AD68" s="132"/>
      <c r="AE68" s="132"/>
    </row>
    <row r="69" spans="1:32 1025:1025" ht="33" thickTop="1" thickBot="1">
      <c r="A69" s="122" t="s">
        <v>470</v>
      </c>
      <c r="B69" s="133" t="str">
        <f>"R["&amp;"30"&amp;"] &lt;= [PC] //R[30]=LINK"&amp;CHAR(10)&amp;"PC &lt;= R["&amp;"1"&amp;"]"</f>
        <v>R[30] &lt;= [PC] //R[30]=LINK
PC &lt;= R[1]</v>
      </c>
      <c r="C69" s="122" t="s">
        <v>471</v>
      </c>
      <c r="D69" s="122"/>
      <c r="E69" s="122"/>
      <c r="F69" s="122"/>
      <c r="G69" s="122"/>
      <c r="H69" s="122"/>
      <c r="I69" s="122" t="s">
        <v>399</v>
      </c>
      <c r="J69" s="122"/>
      <c r="K69" s="122"/>
      <c r="L69" s="132"/>
      <c r="M69" s="132"/>
      <c r="N69" s="132"/>
      <c r="O69" s="132"/>
      <c r="P69" s="122"/>
      <c r="Q69" s="122"/>
      <c r="R69" s="122"/>
      <c r="S69" s="128"/>
      <c r="T69" s="132"/>
      <c r="U69" s="132"/>
      <c r="V69" s="132"/>
      <c r="W69" s="132"/>
      <c r="X69" s="122"/>
      <c r="Y69" s="122"/>
      <c r="Z69" s="122"/>
      <c r="AA69" s="122"/>
      <c r="AB69" s="132"/>
      <c r="AC69" s="132"/>
      <c r="AD69" s="132"/>
      <c r="AE69" s="132"/>
    </row>
    <row r="70" spans="1:32 1025:1025" ht="17.25" thickTop="1" thickBot="1">
      <c r="A70" s="122" t="s">
        <v>593</v>
      </c>
      <c r="B70" s="129" t="s">
        <v>594</v>
      </c>
      <c r="C70" s="122" t="s">
        <v>595</v>
      </c>
      <c r="D70" s="122"/>
      <c r="E70" s="122"/>
      <c r="F70" s="122"/>
      <c r="G70" s="122"/>
      <c r="H70" s="122"/>
      <c r="I70" s="122" t="s">
        <v>471</v>
      </c>
      <c r="J70" s="122"/>
      <c r="K70" s="122"/>
      <c r="L70" s="132"/>
      <c r="M70" s="132"/>
      <c r="N70" s="132"/>
      <c r="O70" s="132"/>
      <c r="P70" s="122"/>
      <c r="Q70" s="122"/>
      <c r="R70" s="122"/>
      <c r="S70" s="128"/>
      <c r="T70" s="132"/>
      <c r="U70" s="132"/>
      <c r="V70" s="132"/>
      <c r="W70" s="132"/>
      <c r="X70" s="122"/>
      <c r="Y70" s="122"/>
      <c r="Z70" s="122"/>
      <c r="AA70" s="122"/>
      <c r="AB70" s="132"/>
      <c r="AC70" s="132"/>
      <c r="AD70" s="132"/>
      <c r="AE70" s="132"/>
    </row>
    <row r="71" spans="1:32 1025:1025" ht="17.25" thickTop="1" thickBot="1">
      <c r="A71" s="122" t="s">
        <v>475</v>
      </c>
      <c r="B71" s="51" t="str">
        <f>"PC &lt;= R["&amp;"30"&amp;"]  //R[30]=LINK"</f>
        <v>PC &lt;= R[30]  //R[30]=LINK</v>
      </c>
      <c r="C71" s="122" t="s">
        <v>476</v>
      </c>
      <c r="D71" s="122"/>
      <c r="E71" s="122"/>
      <c r="F71" s="122"/>
      <c r="G71" s="122"/>
      <c r="H71" s="122"/>
      <c r="I71" s="122" t="s">
        <v>474</v>
      </c>
      <c r="J71" s="122"/>
      <c r="K71" s="122"/>
      <c r="L71" s="132"/>
      <c r="M71" s="132"/>
      <c r="N71" s="132"/>
      <c r="O71" s="132"/>
      <c r="P71" s="122"/>
      <c r="Q71" s="122"/>
      <c r="R71" s="122"/>
      <c r="S71" s="128"/>
      <c r="T71" s="132"/>
      <c r="U71" s="132"/>
      <c r="V71" s="132"/>
      <c r="W71" s="132"/>
      <c r="X71" s="122"/>
      <c r="Y71" s="122"/>
      <c r="Z71" s="122"/>
      <c r="AA71" s="122"/>
      <c r="AB71" s="132"/>
      <c r="AC71" s="132"/>
      <c r="AD71" s="132"/>
      <c r="AE71" s="132"/>
    </row>
    <row r="72" spans="1:32 1025:1025" ht="17.25" thickTop="1" thickBot="1">
      <c r="D72" s="122"/>
      <c r="E72" s="122"/>
      <c r="F72" s="122"/>
      <c r="G72" s="122"/>
      <c r="H72" s="122"/>
      <c r="I72" s="122" t="s">
        <v>476</v>
      </c>
      <c r="J72" s="122"/>
      <c r="K72" s="122"/>
      <c r="L72" s="132"/>
      <c r="M72" s="132"/>
      <c r="N72" s="132"/>
      <c r="O72" s="132"/>
      <c r="P72" s="122"/>
      <c r="Q72" s="122"/>
      <c r="R72" s="122"/>
      <c r="S72" s="128"/>
      <c r="T72" s="132"/>
      <c r="U72" s="132"/>
      <c r="V72" s="132"/>
      <c r="W72" s="132"/>
      <c r="X72" s="122"/>
      <c r="Y72" s="122"/>
      <c r="Z72" s="122"/>
      <c r="AA72" s="122"/>
      <c r="AB72" s="132"/>
      <c r="AC72" s="132"/>
      <c r="AD72" s="132"/>
      <c r="AE72" s="132"/>
    </row>
    <row r="73" spans="1:32 1025:1025" ht="17.25" thickTop="1" thickBot="1">
      <c r="A73"/>
      <c r="B73"/>
      <c r="C73"/>
      <c r="D73" s="122"/>
      <c r="E73" s="122"/>
      <c r="F73" s="122"/>
      <c r="G73" s="122"/>
      <c r="H73" s="122"/>
      <c r="I73" s="122"/>
      <c r="J73" s="122"/>
      <c r="K73" s="122"/>
      <c r="L73" s="132"/>
      <c r="M73" s="132"/>
      <c r="N73" s="132"/>
      <c r="O73" s="132"/>
      <c r="P73" s="122"/>
      <c r="Q73" s="122"/>
      <c r="R73" s="122"/>
      <c r="S73" s="128"/>
      <c r="T73" s="132"/>
      <c r="U73" s="132"/>
      <c r="V73" s="132"/>
      <c r="W73" s="132"/>
      <c r="X73" s="122"/>
      <c r="Y73" s="122"/>
      <c r="Z73" s="122"/>
      <c r="AA73" s="122"/>
      <c r="AB73" s="132"/>
      <c r="AC73" s="132"/>
      <c r="AD73" s="132"/>
      <c r="AE73" s="132"/>
    </row>
    <row r="74" spans="1:32 1025:1025" ht="17.25" thickTop="1" thickBot="1">
      <c r="H74" s="122"/>
      <c r="I74" s="122"/>
      <c r="J74" s="122"/>
      <c r="K74" s="122"/>
      <c r="L74" s="132"/>
      <c r="M74" s="132"/>
      <c r="N74" s="132"/>
      <c r="O74" s="132"/>
      <c r="P74" s="127"/>
      <c r="Q74" s="127"/>
      <c r="R74" s="127"/>
      <c r="S74" s="128"/>
      <c r="T74" s="123"/>
      <c r="U74" s="123"/>
      <c r="V74" s="123"/>
      <c r="W74" s="123"/>
      <c r="X74" s="122"/>
      <c r="Y74" s="122"/>
      <c r="Z74" s="122"/>
      <c r="AA74" s="122"/>
      <c r="AB74" s="123"/>
      <c r="AC74" s="123"/>
      <c r="AD74" s="123"/>
      <c r="AE74" s="123"/>
    </row>
    <row r="75" spans="1:32 1025:1025" ht="17.25" thickTop="1" thickBot="1">
      <c r="H75" s="122"/>
      <c r="I75" s="122"/>
      <c r="J75" s="122"/>
      <c r="K75" s="122"/>
      <c r="L75" s="132"/>
      <c r="M75" s="132"/>
      <c r="N75" s="132"/>
      <c r="O75" s="132"/>
      <c r="P75" s="127"/>
      <c r="Q75" s="127"/>
      <c r="R75" s="127"/>
      <c r="S75" s="128"/>
      <c r="T75" s="123"/>
      <c r="U75" s="123"/>
      <c r="V75" s="123"/>
      <c r="W75" s="123"/>
      <c r="X75" s="122"/>
      <c r="Y75" s="122"/>
      <c r="Z75" s="122"/>
      <c r="AA75" s="122"/>
      <c r="AB75" s="123"/>
      <c r="AC75" s="123"/>
      <c r="AD75" s="123"/>
      <c r="AE75" s="123"/>
    </row>
    <row r="76" spans="1:32 1025:1025" ht="17.25" thickTop="1" thickBot="1">
      <c r="H76" s="122"/>
      <c r="I76" s="122"/>
      <c r="J76" s="122"/>
      <c r="K76" s="122"/>
      <c r="L76" s="132"/>
      <c r="M76" s="132"/>
      <c r="N76" s="132"/>
      <c r="O76" s="132"/>
      <c r="P76" s="127"/>
      <c r="Q76" s="127"/>
      <c r="R76" s="127"/>
      <c r="S76" s="128"/>
      <c r="T76" s="123"/>
      <c r="U76" s="123"/>
      <c r="V76" s="123"/>
      <c r="W76" s="123"/>
      <c r="X76" s="122"/>
      <c r="Y76" s="122"/>
      <c r="Z76" s="122"/>
      <c r="AA76" s="122"/>
      <c r="AB76" s="123"/>
      <c r="AC76" s="123"/>
      <c r="AD76" s="123"/>
      <c r="AE76" s="123"/>
    </row>
    <row r="77" spans="1:32 1025:1025" ht="17.25" thickTop="1" thickBot="1">
      <c r="H77" s="122"/>
      <c r="I77" s="122"/>
      <c r="J77" s="122"/>
      <c r="K77" s="122"/>
      <c r="L77" s="132"/>
      <c r="M77" s="132"/>
      <c r="N77" s="132"/>
      <c r="O77" s="132"/>
      <c r="P77" s="127"/>
      <c r="Q77" s="127"/>
      <c r="R77" s="127"/>
      <c r="S77" s="128"/>
      <c r="T77" s="123"/>
      <c r="U77" s="123"/>
      <c r="V77" s="123"/>
      <c r="W77" s="123"/>
      <c r="X77" s="122"/>
      <c r="Y77" s="122"/>
      <c r="Z77" s="122"/>
      <c r="AA77" s="122"/>
      <c r="AB77" s="123"/>
      <c r="AC77" s="123"/>
      <c r="AD77" s="123"/>
      <c r="AE77" s="123"/>
    </row>
    <row r="78" spans="1:32 1025:1025" ht="16.5" thickTop="1">
      <c r="S78" s="112"/>
    </row>
    <row r="79" spans="1:32 1025:1025">
      <c r="S79" s="112"/>
    </row>
    <row r="80" spans="1:32 1025:1025">
      <c r="S80" s="112"/>
    </row>
    <row r="81" spans="1:31" ht="16.5" thickBot="1"/>
    <row r="82" spans="1:31" ht="17.25" thickTop="1" thickBot="1">
      <c r="A82" s="178" t="s">
        <v>611</v>
      </c>
      <c r="B82" s="122"/>
      <c r="C82" s="122"/>
      <c r="D82" s="122"/>
      <c r="E82" s="122"/>
      <c r="F82" s="122"/>
      <c r="G82" s="122"/>
    </row>
    <row r="83" spans="1:31" ht="20.25" thickTop="1" thickBot="1">
      <c r="A83" s="4" t="s">
        <v>377</v>
      </c>
      <c r="B83" s="4"/>
      <c r="C83" s="4"/>
      <c r="D83" s="7" t="s">
        <v>378</v>
      </c>
      <c r="E83" s="7"/>
      <c r="F83" s="7"/>
      <c r="G83" s="7"/>
      <c r="H83" s="6" t="s">
        <v>379</v>
      </c>
      <c r="I83" s="6"/>
      <c r="J83" s="6"/>
      <c r="K83" s="6"/>
      <c r="L83" s="7" t="s">
        <v>380</v>
      </c>
      <c r="M83" s="7"/>
      <c r="N83" s="7"/>
      <c r="O83" s="7"/>
      <c r="P83" s="6" t="s">
        <v>381</v>
      </c>
      <c r="Q83" s="6"/>
      <c r="R83" s="6"/>
      <c r="S83" s="6"/>
      <c r="T83" s="7" t="s">
        <v>382</v>
      </c>
      <c r="U83" s="7"/>
      <c r="V83" s="7"/>
      <c r="W83" s="7"/>
      <c r="X83" s="6" t="s">
        <v>383</v>
      </c>
      <c r="Y83" s="6"/>
      <c r="Z83" s="6"/>
      <c r="AA83" s="6"/>
      <c r="AB83" s="7" t="s">
        <v>384</v>
      </c>
      <c r="AC83" s="7"/>
      <c r="AD83" s="7"/>
      <c r="AE83" s="7"/>
    </row>
    <row r="84" spans="1:31" ht="17.25" thickTop="1" thickBot="1">
      <c r="A84" s="122" t="s">
        <v>462</v>
      </c>
      <c r="B84" s="118" t="s">
        <v>386</v>
      </c>
      <c r="C84" s="118" t="s">
        <v>275</v>
      </c>
      <c r="D84" s="119" t="s">
        <v>387</v>
      </c>
      <c r="E84" s="119" t="s">
        <v>388</v>
      </c>
      <c r="F84" s="119" t="s">
        <v>196</v>
      </c>
      <c r="G84" s="119" t="s">
        <v>389</v>
      </c>
      <c r="H84" s="118" t="s">
        <v>387</v>
      </c>
      <c r="I84" s="118" t="s">
        <v>388</v>
      </c>
      <c r="J84" s="118" t="s">
        <v>196</v>
      </c>
      <c r="K84" s="118" t="s">
        <v>389</v>
      </c>
      <c r="L84" s="119" t="s">
        <v>387</v>
      </c>
      <c r="M84" s="119" t="s">
        <v>388</v>
      </c>
      <c r="N84" s="119" t="s">
        <v>196</v>
      </c>
      <c r="O84" s="119" t="s">
        <v>389</v>
      </c>
      <c r="P84" s="118" t="s">
        <v>387</v>
      </c>
      <c r="Q84" s="118" t="s">
        <v>388</v>
      </c>
      <c r="R84" s="118" t="s">
        <v>196</v>
      </c>
      <c r="S84" s="120" t="s">
        <v>389</v>
      </c>
      <c r="T84" s="119" t="s">
        <v>387</v>
      </c>
      <c r="U84" s="119" t="s">
        <v>388</v>
      </c>
      <c r="V84" s="119" t="s">
        <v>196</v>
      </c>
      <c r="W84" s="119" t="s">
        <v>389</v>
      </c>
      <c r="X84" s="118" t="s">
        <v>387</v>
      </c>
      <c r="Y84" s="118" t="s">
        <v>388</v>
      </c>
      <c r="Z84" s="118" t="s">
        <v>196</v>
      </c>
      <c r="AA84" s="118" t="s">
        <v>389</v>
      </c>
      <c r="AB84" s="119" t="s">
        <v>387</v>
      </c>
      <c r="AC84" s="119" t="s">
        <v>388</v>
      </c>
      <c r="AD84" s="119" t="s">
        <v>196</v>
      </c>
      <c r="AE84" s="119" t="s">
        <v>389</v>
      </c>
    </row>
    <row r="85" spans="1:31" ht="17.25" thickTop="1" thickBot="1">
      <c r="A85" s="122" t="s">
        <v>601</v>
      </c>
      <c r="B85" s="37" t="s">
        <v>602</v>
      </c>
      <c r="C85" s="131" t="s">
        <v>603</v>
      </c>
      <c r="D85" s="122"/>
      <c r="E85" s="122"/>
      <c r="F85" s="122"/>
      <c r="G85" s="122"/>
      <c r="H85" s="122" t="s">
        <v>604</v>
      </c>
      <c r="I85" s="131" t="s">
        <v>603</v>
      </c>
      <c r="J85" s="122" t="s">
        <v>10</v>
      </c>
      <c r="K85" s="122" t="s">
        <v>13</v>
      </c>
      <c r="L85" s="132" t="s">
        <v>605</v>
      </c>
      <c r="M85" s="132" t="s">
        <v>74</v>
      </c>
      <c r="N85" s="132" t="s">
        <v>10</v>
      </c>
      <c r="O85" s="132" t="s">
        <v>13</v>
      </c>
      <c r="P85" s="122"/>
      <c r="Q85" s="122"/>
      <c r="R85" s="122"/>
      <c r="S85" s="128"/>
      <c r="T85" s="132"/>
      <c r="U85" s="132"/>
      <c r="V85" s="132"/>
      <c r="W85" s="132"/>
      <c r="X85" s="122" t="s">
        <v>466</v>
      </c>
      <c r="Y85" s="122" t="s">
        <v>74</v>
      </c>
      <c r="Z85" s="122" t="s">
        <v>10</v>
      </c>
      <c r="AA85" s="122" t="s">
        <v>19</v>
      </c>
      <c r="AB85" s="132"/>
      <c r="AC85" s="132"/>
      <c r="AD85" s="132"/>
      <c r="AE85" s="132"/>
    </row>
    <row r="86" spans="1:31" ht="17.25" customHeight="1" thickTop="1" thickBot="1">
      <c r="A86" s="122" t="s">
        <v>601</v>
      </c>
      <c r="B86" s="129" t="s">
        <v>602</v>
      </c>
      <c r="C86" s="122" t="s">
        <v>476</v>
      </c>
      <c r="D86" s="122"/>
      <c r="E86" s="122"/>
      <c r="F86" s="122"/>
      <c r="G86" s="122"/>
      <c r="H86" s="122" t="s">
        <v>604</v>
      </c>
      <c r="I86" s="122" t="s">
        <v>603</v>
      </c>
      <c r="J86" s="122" t="s">
        <v>13</v>
      </c>
      <c r="K86" s="122" t="s">
        <v>13</v>
      </c>
      <c r="L86" s="132" t="s">
        <v>605</v>
      </c>
      <c r="M86" s="132" t="s">
        <v>74</v>
      </c>
      <c r="N86" s="132" t="s">
        <v>13</v>
      </c>
      <c r="O86" s="132" t="s">
        <v>13</v>
      </c>
      <c r="P86" s="122"/>
      <c r="Q86" s="122"/>
      <c r="R86" s="122"/>
      <c r="S86" s="128"/>
      <c r="T86" s="132"/>
      <c r="U86" s="132"/>
      <c r="V86" s="132"/>
      <c r="W86" s="132"/>
      <c r="X86" s="122" t="s">
        <v>466</v>
      </c>
      <c r="Y86" s="122" t="s">
        <v>74</v>
      </c>
      <c r="Z86" s="122" t="s">
        <v>13</v>
      </c>
      <c r="AA86" s="122" t="s">
        <v>19</v>
      </c>
      <c r="AB86" s="132"/>
      <c r="AC86" s="132"/>
      <c r="AD86" s="132"/>
      <c r="AE86" s="132"/>
    </row>
    <row r="87" spans="1:31" ht="17.25" customHeight="1" thickTop="1" thickBot="1">
      <c r="A87" s="122" t="s">
        <v>467</v>
      </c>
      <c r="B87" s="133" t="s">
        <v>468</v>
      </c>
      <c r="C87" s="122" t="s">
        <v>469</v>
      </c>
      <c r="D87" s="122"/>
      <c r="E87" s="122"/>
      <c r="F87" s="122"/>
      <c r="G87" s="122"/>
      <c r="H87" s="122" t="s">
        <v>606</v>
      </c>
      <c r="I87" s="122" t="s">
        <v>469</v>
      </c>
      <c r="J87" s="122" t="s">
        <v>16</v>
      </c>
      <c r="K87" s="122" t="s">
        <v>13</v>
      </c>
      <c r="L87" s="132" t="s">
        <v>607</v>
      </c>
      <c r="M87" s="132"/>
      <c r="N87" s="132" t="s">
        <v>16</v>
      </c>
      <c r="O87" s="132" t="s">
        <v>13</v>
      </c>
      <c r="P87" s="122"/>
      <c r="Q87" s="122"/>
      <c r="R87" s="122"/>
      <c r="S87" s="128"/>
      <c r="T87" s="132"/>
      <c r="U87" s="132"/>
      <c r="V87" s="132"/>
      <c r="W87" s="132"/>
      <c r="X87" s="122" t="s">
        <v>396</v>
      </c>
      <c r="Y87" s="122"/>
      <c r="Z87" s="122" t="s">
        <v>16</v>
      </c>
      <c r="AA87" s="122" t="s">
        <v>19</v>
      </c>
      <c r="AB87" s="132"/>
      <c r="AC87" s="132"/>
      <c r="AD87" s="132"/>
      <c r="AE87" s="132"/>
    </row>
    <row r="88" spans="1:31" ht="17.25" customHeight="1" thickTop="1" thickBot="1">
      <c r="A88" s="122" t="s">
        <v>397</v>
      </c>
      <c r="B88" s="129" t="s">
        <v>398</v>
      </c>
      <c r="C88" s="122" t="s">
        <v>399</v>
      </c>
      <c r="D88" s="122"/>
      <c r="E88" s="122"/>
      <c r="F88" s="122"/>
      <c r="G88" s="122"/>
      <c r="H88" s="122" t="s">
        <v>396</v>
      </c>
      <c r="I88" s="122"/>
      <c r="J88" s="122" t="s">
        <v>74</v>
      </c>
      <c r="K88" s="122" t="s">
        <v>13</v>
      </c>
      <c r="L88" s="132" t="s">
        <v>396</v>
      </c>
      <c r="M88" s="132"/>
      <c r="N88" s="132" t="s">
        <v>74</v>
      </c>
      <c r="O88" s="132" t="s">
        <v>13</v>
      </c>
      <c r="P88" s="122"/>
      <c r="Q88" s="122"/>
      <c r="R88" s="122"/>
      <c r="S88" s="128"/>
      <c r="T88" s="132"/>
      <c r="U88" s="132"/>
      <c r="V88" s="132"/>
      <c r="W88" s="132"/>
      <c r="X88" s="122" t="s">
        <v>396</v>
      </c>
      <c r="Y88" s="122"/>
      <c r="Z88" s="122" t="s">
        <v>74</v>
      </c>
      <c r="AA88" s="122" t="s">
        <v>19</v>
      </c>
      <c r="AB88" s="132"/>
      <c r="AC88" s="132"/>
      <c r="AD88" s="132"/>
      <c r="AE88" s="132"/>
    </row>
    <row r="89" spans="1:31" ht="33" thickTop="1" thickBot="1">
      <c r="A89" s="122" t="s">
        <v>470</v>
      </c>
      <c r="B89" s="133" t="str">
        <f>"R["&amp;"30"&amp;"] &lt;= [PC] //R[30]=LINK"&amp;CHAR(10)&amp;"PC &lt;= R["&amp;"1"&amp;"]"</f>
        <v>R[30] &lt;= [PC] //R[30]=LINK
PC &lt;= R[1]</v>
      </c>
      <c r="C89" s="122" t="s">
        <v>471</v>
      </c>
      <c r="D89" s="122"/>
      <c r="E89" s="122"/>
      <c r="F89" s="122"/>
      <c r="G89" s="122"/>
      <c r="H89" s="122" t="s">
        <v>400</v>
      </c>
      <c r="I89" s="122"/>
      <c r="J89" s="122" t="s">
        <v>78</v>
      </c>
      <c r="K89" s="122" t="s">
        <v>13</v>
      </c>
      <c r="L89" s="132" t="s">
        <v>401</v>
      </c>
      <c r="M89" s="132"/>
      <c r="N89" s="132" t="s">
        <v>78</v>
      </c>
      <c r="O89" s="132" t="s">
        <v>13</v>
      </c>
      <c r="P89" s="122"/>
      <c r="Q89" s="122"/>
      <c r="R89" s="122"/>
      <c r="S89" s="128"/>
      <c r="T89" s="132"/>
      <c r="U89" s="132"/>
      <c r="V89" s="132"/>
      <c r="W89" s="132"/>
      <c r="X89" s="122" t="s">
        <v>466</v>
      </c>
      <c r="Y89" s="122"/>
      <c r="Z89" s="122" t="s">
        <v>78</v>
      </c>
      <c r="AA89" s="122" t="s">
        <v>19</v>
      </c>
      <c r="AB89" s="132"/>
      <c r="AC89" s="132"/>
      <c r="AD89" s="132"/>
      <c r="AE89" s="132"/>
    </row>
    <row r="90" spans="1:31" ht="17.25" customHeight="1" thickTop="1" thickBot="1">
      <c r="A90" s="129" t="s">
        <v>472</v>
      </c>
      <c r="B90" s="129" t="s">
        <v>473</v>
      </c>
      <c r="C90" s="129" t="s">
        <v>474</v>
      </c>
      <c r="D90" s="129"/>
      <c r="E90" s="129"/>
      <c r="F90" s="129"/>
      <c r="G90" s="129"/>
      <c r="H90" s="122" t="s">
        <v>608</v>
      </c>
      <c r="I90" s="122"/>
      <c r="J90" s="122" t="s">
        <v>100</v>
      </c>
      <c r="K90" s="122" t="s">
        <v>13</v>
      </c>
      <c r="L90" s="132" t="s">
        <v>609</v>
      </c>
      <c r="M90" s="132"/>
      <c r="N90" s="132" t="s">
        <v>100</v>
      </c>
      <c r="O90" s="132" t="s">
        <v>13</v>
      </c>
      <c r="P90" s="122"/>
      <c r="Q90" s="122"/>
      <c r="R90" s="122"/>
      <c r="S90" s="128"/>
      <c r="T90" s="132"/>
      <c r="U90" s="132"/>
      <c r="V90" s="132"/>
      <c r="W90" s="132"/>
      <c r="X90" s="122" t="s">
        <v>396</v>
      </c>
      <c r="Y90" s="122"/>
      <c r="Z90" s="122" t="s">
        <v>100</v>
      </c>
      <c r="AA90" s="122" t="s">
        <v>19</v>
      </c>
      <c r="AB90" s="132"/>
      <c r="AC90" s="132"/>
      <c r="AD90" s="132"/>
      <c r="AE90" s="132"/>
    </row>
    <row r="91" spans="1:31" ht="17.25" thickTop="1" thickBot="1">
      <c r="A91" s="129" t="s">
        <v>475</v>
      </c>
      <c r="B91" s="51" t="str">
        <f>"PC &lt;= R["&amp;"30"&amp;"]  //R[30]=LINK"</f>
        <v>PC &lt;= R[30]  //R[30]=LINK</v>
      </c>
      <c r="C91" s="129" t="s">
        <v>476</v>
      </c>
      <c r="D91" s="129"/>
      <c r="E91" s="129"/>
      <c r="F91" s="129"/>
      <c r="G91" s="129"/>
      <c r="H91" s="122" t="s">
        <v>610</v>
      </c>
      <c r="I91" s="122"/>
      <c r="J91" s="122" t="s">
        <v>74</v>
      </c>
      <c r="K91" s="122" t="s">
        <v>13</v>
      </c>
      <c r="L91" s="132" t="s">
        <v>395</v>
      </c>
      <c r="M91" s="132"/>
      <c r="N91" s="132" t="s">
        <v>74</v>
      </c>
      <c r="O91" s="132" t="s">
        <v>13</v>
      </c>
      <c r="P91" s="122"/>
      <c r="Q91" s="122"/>
      <c r="R91" s="122"/>
      <c r="S91" s="128"/>
      <c r="T91" s="132"/>
      <c r="U91" s="132"/>
      <c r="V91" s="132"/>
      <c r="W91" s="132"/>
      <c r="X91" s="122" t="s">
        <v>396</v>
      </c>
      <c r="Y91" s="122"/>
      <c r="Z91" s="122" t="s">
        <v>74</v>
      </c>
      <c r="AA91" s="122" t="s">
        <v>19</v>
      </c>
      <c r="AB91" s="132"/>
      <c r="AC91" s="132"/>
      <c r="AD91" s="132"/>
      <c r="AE91" s="132"/>
    </row>
    <row r="92" spans="1:31" ht="17.25" customHeight="1" thickTop="1" thickBot="1">
      <c r="A92" s="129"/>
      <c r="B92" s="129"/>
      <c r="C92" s="129"/>
      <c r="D92" s="129"/>
      <c r="E92" s="129"/>
      <c r="F92" s="129"/>
      <c r="G92" s="129"/>
      <c r="H92" s="122" t="s">
        <v>400</v>
      </c>
      <c r="I92" s="122"/>
      <c r="J92" s="122" t="s">
        <v>78</v>
      </c>
      <c r="K92" s="122" t="s">
        <v>13</v>
      </c>
      <c r="L92" s="132" t="s">
        <v>401</v>
      </c>
      <c r="M92" s="132"/>
      <c r="N92" s="132" t="s">
        <v>78</v>
      </c>
      <c r="O92" s="132" t="s">
        <v>13</v>
      </c>
      <c r="P92" s="127"/>
      <c r="Q92" s="127"/>
      <c r="R92" s="127"/>
      <c r="S92" s="128"/>
      <c r="T92" s="123"/>
      <c r="U92" s="123"/>
      <c r="V92" s="123"/>
      <c r="W92" s="123"/>
      <c r="X92" s="122" t="s">
        <v>396</v>
      </c>
      <c r="Y92" s="122"/>
      <c r="Z92" s="122" t="s">
        <v>78</v>
      </c>
      <c r="AA92" s="122" t="s">
        <v>19</v>
      </c>
      <c r="AB92" s="123"/>
      <c r="AC92" s="123"/>
      <c r="AD92" s="123"/>
      <c r="AE92" s="123"/>
    </row>
    <row r="93" spans="1:31" ht="17.25" customHeight="1" thickTop="1" thickBot="1">
      <c r="A93" s="129"/>
      <c r="B93" s="129"/>
      <c r="C93" s="129"/>
      <c r="D93" s="129"/>
      <c r="E93" s="129"/>
      <c r="F93" s="129"/>
      <c r="G93" s="129"/>
      <c r="H93" s="122" t="s">
        <v>608</v>
      </c>
      <c r="I93" s="122"/>
      <c r="J93" s="122" t="s">
        <v>100</v>
      </c>
      <c r="K93" s="122" t="s">
        <v>13</v>
      </c>
      <c r="L93" s="132" t="s">
        <v>609</v>
      </c>
      <c r="M93" s="132"/>
      <c r="N93" s="132" t="s">
        <v>100</v>
      </c>
      <c r="O93" s="132" t="s">
        <v>13</v>
      </c>
      <c r="P93" s="127"/>
      <c r="Q93" s="127"/>
      <c r="R93" s="127"/>
      <c r="S93" s="128"/>
      <c r="T93" s="123"/>
      <c r="U93" s="123"/>
      <c r="V93" s="123"/>
      <c r="W93" s="123"/>
      <c r="X93" s="122" t="s">
        <v>396</v>
      </c>
      <c r="Y93" s="122"/>
      <c r="Z93" s="122" t="s">
        <v>100</v>
      </c>
      <c r="AA93" s="122" t="s">
        <v>19</v>
      </c>
      <c r="AB93" s="123"/>
      <c r="AC93" s="123"/>
      <c r="AD93" s="123"/>
      <c r="AE93" s="123"/>
    </row>
    <row r="94" spans="1:31" ht="17.25" customHeight="1" thickTop="1" thickBot="1">
      <c r="A94" s="129"/>
      <c r="B94" s="129"/>
      <c r="C94" s="129"/>
      <c r="D94" s="129"/>
      <c r="E94" s="129"/>
      <c r="F94" s="129"/>
      <c r="G94" s="129"/>
      <c r="H94" s="122" t="s">
        <v>610</v>
      </c>
      <c r="I94" s="122"/>
      <c r="J94" s="122" t="s">
        <v>74</v>
      </c>
      <c r="K94" s="122" t="s">
        <v>13</v>
      </c>
      <c r="L94" s="132" t="s">
        <v>395</v>
      </c>
      <c r="M94" s="132"/>
      <c r="N94" s="132" t="s">
        <v>74</v>
      </c>
      <c r="O94" s="132" t="s">
        <v>13</v>
      </c>
      <c r="P94" s="127"/>
      <c r="Q94" s="127"/>
      <c r="R94" s="127"/>
      <c r="S94" s="128"/>
      <c r="T94" s="123"/>
      <c r="U94" s="123"/>
      <c r="V94" s="123"/>
      <c r="W94" s="123"/>
      <c r="X94" s="122" t="s">
        <v>396</v>
      </c>
      <c r="Y94" s="122"/>
      <c r="Z94" s="122" t="s">
        <v>74</v>
      </c>
      <c r="AA94" s="122" t="s">
        <v>19</v>
      </c>
      <c r="AB94" s="123"/>
      <c r="AC94" s="123"/>
      <c r="AD94" s="123"/>
      <c r="AE94" s="123"/>
    </row>
    <row r="95" spans="1:31" ht="17.25" customHeight="1" thickTop="1" thickBot="1">
      <c r="A95" s="129"/>
      <c r="B95" s="129"/>
      <c r="C95" s="129"/>
      <c r="D95" s="129"/>
      <c r="E95" s="129"/>
      <c r="F95" s="129"/>
      <c r="G95" s="129"/>
      <c r="H95" s="122" t="s">
        <v>400</v>
      </c>
      <c r="I95" s="122"/>
      <c r="J95" s="122" t="s">
        <v>78</v>
      </c>
      <c r="K95" s="122" t="s">
        <v>13</v>
      </c>
      <c r="L95" s="132" t="s">
        <v>401</v>
      </c>
      <c r="M95" s="132"/>
      <c r="N95" s="132" t="s">
        <v>78</v>
      </c>
      <c r="O95" s="132" t="s">
        <v>13</v>
      </c>
      <c r="P95" s="127"/>
      <c r="Q95" s="127"/>
      <c r="R95" s="127"/>
      <c r="S95" s="128"/>
      <c r="T95" s="123"/>
      <c r="U95" s="123"/>
      <c r="V95" s="123"/>
      <c r="W95" s="123"/>
      <c r="X95" s="122" t="s">
        <v>396</v>
      </c>
      <c r="Y95" s="122"/>
      <c r="Z95" s="122" t="s">
        <v>78</v>
      </c>
      <c r="AA95" s="122" t="s">
        <v>19</v>
      </c>
      <c r="AB95" s="123"/>
      <c r="AC95" s="123"/>
      <c r="AD95" s="123"/>
      <c r="AE95" s="123"/>
    </row>
    <row r="96" spans="1:31" ht="16.5" thickTop="1"/>
    <row r="101" spans="1:31" ht="16.5" thickBot="1"/>
    <row r="102" spans="1:31" ht="17.25" thickTop="1" thickBot="1">
      <c r="A102" s="178" t="s">
        <v>613</v>
      </c>
      <c r="B102" s="122"/>
      <c r="C102" s="122"/>
      <c r="D102" s="122"/>
      <c r="E102" s="122"/>
      <c r="F102" s="122"/>
      <c r="G102" s="122"/>
    </row>
    <row r="103" spans="1:31" ht="20.25" thickTop="1" thickBot="1">
      <c r="A103" s="4" t="s">
        <v>377</v>
      </c>
      <c r="B103" s="4"/>
      <c r="C103" s="4"/>
      <c r="D103" s="7" t="s">
        <v>378</v>
      </c>
      <c r="E103" s="7"/>
      <c r="F103" s="7"/>
      <c r="G103" s="7"/>
      <c r="H103" s="6" t="s">
        <v>379</v>
      </c>
      <c r="I103" s="6"/>
      <c r="J103" s="6"/>
      <c r="K103" s="6"/>
      <c r="L103" s="7" t="s">
        <v>380</v>
      </c>
      <c r="M103" s="7"/>
      <c r="N103" s="7"/>
      <c r="O103" s="7"/>
      <c r="P103" s="6" t="s">
        <v>381</v>
      </c>
      <c r="Q103" s="6"/>
      <c r="R103" s="6"/>
      <c r="S103" s="6"/>
      <c r="T103" s="7" t="s">
        <v>382</v>
      </c>
      <c r="U103" s="7"/>
      <c r="V103" s="7"/>
      <c r="W103" s="7"/>
      <c r="X103" s="6" t="s">
        <v>383</v>
      </c>
      <c r="Y103" s="6"/>
      <c r="Z103" s="6"/>
      <c r="AA103" s="6"/>
      <c r="AB103" s="7" t="s">
        <v>384</v>
      </c>
      <c r="AC103" s="7"/>
      <c r="AD103" s="7"/>
      <c r="AE103" s="7"/>
    </row>
    <row r="104" spans="1:31" ht="17.25" thickTop="1" thickBot="1">
      <c r="A104" s="122" t="s">
        <v>462</v>
      </c>
      <c r="B104" s="118" t="s">
        <v>386</v>
      </c>
      <c r="C104" s="118" t="s">
        <v>275</v>
      </c>
      <c r="D104" s="119" t="s">
        <v>387</v>
      </c>
      <c r="E104" s="119" t="s">
        <v>388</v>
      </c>
      <c r="F104" s="119" t="s">
        <v>196</v>
      </c>
      <c r="G104" s="119" t="s">
        <v>389</v>
      </c>
      <c r="H104" s="118" t="s">
        <v>387</v>
      </c>
      <c r="I104" s="118" t="s">
        <v>388</v>
      </c>
      <c r="J104" s="118" t="s">
        <v>196</v>
      </c>
      <c r="K104" s="118" t="s">
        <v>389</v>
      </c>
      <c r="L104" s="119" t="s">
        <v>387</v>
      </c>
      <c r="M104" s="119" t="s">
        <v>388</v>
      </c>
      <c r="N104" s="119" t="s">
        <v>196</v>
      </c>
      <c r="O104" s="119" t="s">
        <v>389</v>
      </c>
      <c r="P104" s="118" t="s">
        <v>387</v>
      </c>
      <c r="Q104" s="118" t="s">
        <v>388</v>
      </c>
      <c r="R104" s="118" t="s">
        <v>196</v>
      </c>
      <c r="S104" s="120" t="s">
        <v>389</v>
      </c>
      <c r="T104" s="119" t="s">
        <v>387</v>
      </c>
      <c r="U104" s="119" t="s">
        <v>388</v>
      </c>
      <c r="V104" s="119" t="s">
        <v>196</v>
      </c>
      <c r="W104" s="119" t="s">
        <v>389</v>
      </c>
      <c r="X104" s="118" t="s">
        <v>387</v>
      </c>
      <c r="Y104" s="118" t="s">
        <v>388</v>
      </c>
      <c r="Z104" s="118" t="s">
        <v>196</v>
      </c>
      <c r="AA104" s="118" t="s">
        <v>389</v>
      </c>
      <c r="AB104" s="119" t="s">
        <v>387</v>
      </c>
      <c r="AC104" s="119" t="s">
        <v>388</v>
      </c>
      <c r="AD104" s="119" t="s">
        <v>196</v>
      </c>
      <c r="AE104" s="119" t="s">
        <v>389</v>
      </c>
    </row>
    <row r="105" spans="1:31" ht="17.25" thickTop="1" thickBot="1">
      <c r="A105" s="122"/>
      <c r="B105" s="37"/>
      <c r="C105" s="131"/>
      <c r="D105" s="122"/>
      <c r="E105" s="122"/>
      <c r="F105" s="122"/>
      <c r="G105" s="122"/>
      <c r="H105" s="122" t="s">
        <v>604</v>
      </c>
      <c r="I105" s="131" t="s">
        <v>603</v>
      </c>
      <c r="J105" s="122" t="s">
        <v>10</v>
      </c>
      <c r="K105" s="122" t="s">
        <v>13</v>
      </c>
      <c r="L105" s="132" t="s">
        <v>605</v>
      </c>
      <c r="M105" s="132" t="s">
        <v>74</v>
      </c>
      <c r="N105" s="132" t="s">
        <v>10</v>
      </c>
      <c r="O105" s="132" t="s">
        <v>13</v>
      </c>
      <c r="P105" s="122"/>
      <c r="Q105" s="122"/>
      <c r="R105" s="122"/>
      <c r="S105" s="128"/>
      <c r="T105" s="132"/>
      <c r="U105" s="132"/>
      <c r="V105" s="132"/>
      <c r="W105" s="132"/>
      <c r="X105" s="122" t="s">
        <v>466</v>
      </c>
      <c r="Y105" s="122" t="s">
        <v>74</v>
      </c>
      <c r="Z105" s="122" t="s">
        <v>10</v>
      </c>
      <c r="AA105" s="122" t="s">
        <v>19</v>
      </c>
      <c r="AB105" s="132"/>
      <c r="AC105" s="132"/>
      <c r="AD105" s="132"/>
      <c r="AE105" s="132"/>
    </row>
    <row r="106" spans="1:31" ht="17.25" customHeight="1" thickTop="1" thickBot="1">
      <c r="A106" s="122"/>
      <c r="B106" s="129"/>
      <c r="C106" s="122"/>
      <c r="D106" s="122"/>
      <c r="E106" s="122"/>
      <c r="F106" s="122"/>
      <c r="G106" s="122"/>
      <c r="H106" s="122" t="s">
        <v>604</v>
      </c>
      <c r="I106" s="122" t="s">
        <v>603</v>
      </c>
      <c r="J106" s="122" t="s">
        <v>13</v>
      </c>
      <c r="K106" s="122" t="s">
        <v>13</v>
      </c>
      <c r="L106" s="132" t="s">
        <v>605</v>
      </c>
      <c r="M106" s="132" t="s">
        <v>74</v>
      </c>
      <c r="N106" s="132" t="s">
        <v>13</v>
      </c>
      <c r="O106" s="132" t="s">
        <v>13</v>
      </c>
      <c r="P106" s="122"/>
      <c r="Q106" s="122"/>
      <c r="R106" s="122"/>
      <c r="S106" s="128"/>
      <c r="T106" s="132"/>
      <c r="U106" s="132"/>
      <c r="V106" s="132"/>
      <c r="W106" s="132"/>
      <c r="X106" s="122" t="s">
        <v>466</v>
      </c>
      <c r="Y106" s="122" t="s">
        <v>74</v>
      </c>
      <c r="Z106" s="122" t="s">
        <v>13</v>
      </c>
      <c r="AA106" s="122" t="s">
        <v>19</v>
      </c>
      <c r="AB106" s="132"/>
      <c r="AC106" s="132"/>
      <c r="AD106" s="132"/>
      <c r="AE106" s="132"/>
    </row>
    <row r="107" spans="1:31" ht="17.25" customHeight="1" thickTop="1" thickBot="1">
      <c r="A107" s="122"/>
      <c r="B107" s="133"/>
      <c r="C107" s="122"/>
      <c r="D107" s="122"/>
      <c r="E107" s="122"/>
      <c r="F107" s="122"/>
      <c r="G107" s="122"/>
      <c r="H107" s="122" t="s">
        <v>606</v>
      </c>
      <c r="I107" s="122" t="s">
        <v>469</v>
      </c>
      <c r="J107" s="122" t="s">
        <v>16</v>
      </c>
      <c r="K107" s="122" t="s">
        <v>13</v>
      </c>
      <c r="L107" s="132" t="s">
        <v>607</v>
      </c>
      <c r="M107" s="132"/>
      <c r="N107" s="132" t="s">
        <v>16</v>
      </c>
      <c r="O107" s="132" t="s">
        <v>13</v>
      </c>
      <c r="P107" s="122"/>
      <c r="Q107" s="122"/>
      <c r="R107" s="122"/>
      <c r="S107" s="128"/>
      <c r="T107" s="132"/>
      <c r="U107" s="132"/>
      <c r="V107" s="132"/>
      <c r="W107" s="132"/>
      <c r="X107" s="122" t="s">
        <v>396</v>
      </c>
      <c r="Y107" s="122"/>
      <c r="Z107" s="122" t="s">
        <v>16</v>
      </c>
      <c r="AA107" s="122" t="s">
        <v>19</v>
      </c>
      <c r="AB107" s="132"/>
      <c r="AC107" s="132"/>
      <c r="AD107" s="132"/>
      <c r="AE107" s="132"/>
    </row>
    <row r="108" spans="1:31" ht="17.25" customHeight="1" thickTop="1" thickBot="1">
      <c r="A108" s="122"/>
      <c r="B108" s="129"/>
      <c r="C108" s="122"/>
      <c r="D108" s="122"/>
      <c r="E108" s="122"/>
      <c r="F108" s="122"/>
      <c r="G108" s="122"/>
      <c r="H108" s="122" t="s">
        <v>396</v>
      </c>
      <c r="I108" s="122"/>
      <c r="J108" s="122" t="s">
        <v>74</v>
      </c>
      <c r="K108" s="122" t="s">
        <v>13</v>
      </c>
      <c r="L108" s="132" t="s">
        <v>396</v>
      </c>
      <c r="M108" s="132"/>
      <c r="N108" s="132" t="s">
        <v>74</v>
      </c>
      <c r="O108" s="132" t="s">
        <v>13</v>
      </c>
      <c r="P108" s="122"/>
      <c r="Q108" s="122"/>
      <c r="R108" s="122"/>
      <c r="S108" s="128"/>
      <c r="T108" s="132"/>
      <c r="U108" s="132"/>
      <c r="V108" s="132"/>
      <c r="W108" s="132"/>
      <c r="X108" s="122" t="s">
        <v>396</v>
      </c>
      <c r="Y108" s="122"/>
      <c r="Z108" s="122" t="s">
        <v>74</v>
      </c>
      <c r="AA108" s="122" t="s">
        <v>19</v>
      </c>
      <c r="AB108" s="132"/>
      <c r="AC108" s="132"/>
      <c r="AD108" s="132"/>
      <c r="AE108" s="132"/>
    </row>
    <row r="109" spans="1:31" ht="17.25" thickTop="1" thickBot="1">
      <c r="A109" s="122"/>
      <c r="B109" s="133"/>
      <c r="C109" s="122"/>
      <c r="D109" s="122"/>
      <c r="E109" s="122"/>
      <c r="F109" s="122"/>
      <c r="G109" s="122"/>
      <c r="H109" s="122" t="s">
        <v>400</v>
      </c>
      <c r="I109" s="122"/>
      <c r="J109" s="122" t="s">
        <v>78</v>
      </c>
      <c r="K109" s="122" t="s">
        <v>13</v>
      </c>
      <c r="L109" s="132" t="s">
        <v>401</v>
      </c>
      <c r="M109" s="132"/>
      <c r="N109" s="132" t="s">
        <v>78</v>
      </c>
      <c r="O109" s="132" t="s">
        <v>13</v>
      </c>
      <c r="P109" s="122"/>
      <c r="Q109" s="122"/>
      <c r="R109" s="122"/>
      <c r="S109" s="128"/>
      <c r="T109" s="132"/>
      <c r="U109" s="132"/>
      <c r="V109" s="132"/>
      <c r="W109" s="132"/>
      <c r="X109" s="122" t="s">
        <v>466</v>
      </c>
      <c r="Y109" s="122"/>
      <c r="Z109" s="122" t="s">
        <v>78</v>
      </c>
      <c r="AA109" s="122" t="s">
        <v>19</v>
      </c>
      <c r="AB109" s="132"/>
      <c r="AC109" s="132"/>
      <c r="AD109" s="132"/>
      <c r="AE109" s="132"/>
    </row>
    <row r="110" spans="1:31" ht="17.25" customHeight="1" thickTop="1" thickBot="1">
      <c r="A110" s="129"/>
      <c r="B110" s="129"/>
      <c r="C110" s="129"/>
      <c r="D110" s="129"/>
      <c r="E110" s="129"/>
      <c r="F110" s="129"/>
      <c r="G110" s="129"/>
      <c r="H110" s="122" t="s">
        <v>608</v>
      </c>
      <c r="I110" s="122"/>
      <c r="J110" s="122" t="s">
        <v>100</v>
      </c>
      <c r="K110" s="122" t="s">
        <v>13</v>
      </c>
      <c r="L110" s="132" t="s">
        <v>609</v>
      </c>
      <c r="M110" s="132"/>
      <c r="N110" s="132" t="s">
        <v>100</v>
      </c>
      <c r="O110" s="132" t="s">
        <v>13</v>
      </c>
      <c r="P110" s="122"/>
      <c r="Q110" s="122"/>
      <c r="R110" s="122"/>
      <c r="S110" s="128"/>
      <c r="T110" s="132"/>
      <c r="U110" s="132"/>
      <c r="V110" s="132"/>
      <c r="W110" s="132"/>
      <c r="X110" s="122" t="s">
        <v>396</v>
      </c>
      <c r="Y110" s="122"/>
      <c r="Z110" s="122" t="s">
        <v>100</v>
      </c>
      <c r="AA110" s="122" t="s">
        <v>19</v>
      </c>
      <c r="AB110" s="132"/>
      <c r="AC110" s="132"/>
      <c r="AD110" s="132"/>
      <c r="AE110" s="132"/>
    </row>
    <row r="111" spans="1:31" ht="17.25" thickTop="1" thickBot="1">
      <c r="A111" s="129"/>
      <c r="B111" s="51"/>
      <c r="C111" s="129"/>
      <c r="D111" s="129"/>
      <c r="E111" s="129"/>
      <c r="F111" s="129"/>
      <c r="G111" s="129"/>
      <c r="H111" s="122" t="s">
        <v>610</v>
      </c>
      <c r="I111" s="122"/>
      <c r="J111" s="122" t="s">
        <v>74</v>
      </c>
      <c r="K111" s="122" t="s">
        <v>13</v>
      </c>
      <c r="L111" s="132" t="s">
        <v>395</v>
      </c>
      <c r="M111" s="132"/>
      <c r="N111" s="132" t="s">
        <v>74</v>
      </c>
      <c r="O111" s="132" t="s">
        <v>13</v>
      </c>
      <c r="P111" s="122"/>
      <c r="Q111" s="122"/>
      <c r="R111" s="122"/>
      <c r="S111" s="128"/>
      <c r="T111" s="132"/>
      <c r="U111" s="132"/>
      <c r="V111" s="132"/>
      <c r="W111" s="132"/>
      <c r="X111" s="122" t="s">
        <v>396</v>
      </c>
      <c r="Y111" s="122"/>
      <c r="Z111" s="122" t="s">
        <v>74</v>
      </c>
      <c r="AA111" s="122" t="s">
        <v>19</v>
      </c>
      <c r="AB111" s="132"/>
      <c r="AC111" s="132"/>
      <c r="AD111" s="132"/>
      <c r="AE111" s="132"/>
    </row>
    <row r="112" spans="1:31" ht="17.25" customHeight="1" thickTop="1" thickBot="1">
      <c r="A112" s="129"/>
      <c r="B112" s="129"/>
      <c r="C112" s="129"/>
      <c r="D112" s="129"/>
      <c r="E112" s="129"/>
      <c r="F112" s="129"/>
      <c r="G112" s="129"/>
      <c r="H112" s="122" t="s">
        <v>400</v>
      </c>
      <c r="I112" s="122"/>
      <c r="J112" s="122" t="s">
        <v>78</v>
      </c>
      <c r="K112" s="122" t="s">
        <v>13</v>
      </c>
      <c r="L112" s="132" t="s">
        <v>401</v>
      </c>
      <c r="M112" s="132"/>
      <c r="N112" s="132" t="s">
        <v>78</v>
      </c>
      <c r="O112" s="132" t="s">
        <v>13</v>
      </c>
      <c r="P112" s="127"/>
      <c r="Q112" s="127"/>
      <c r="R112" s="127"/>
      <c r="S112" s="128"/>
      <c r="T112" s="123"/>
      <c r="U112" s="123"/>
      <c r="V112" s="123"/>
      <c r="W112" s="123"/>
      <c r="X112" s="122" t="s">
        <v>396</v>
      </c>
      <c r="Y112" s="122"/>
      <c r="Z112" s="122" t="s">
        <v>78</v>
      </c>
      <c r="AA112" s="122" t="s">
        <v>19</v>
      </c>
      <c r="AB112" s="123"/>
      <c r="AC112" s="123"/>
      <c r="AD112" s="123"/>
      <c r="AE112" s="123"/>
    </row>
    <row r="113" spans="1:31" ht="17.25" customHeight="1" thickTop="1" thickBot="1">
      <c r="A113" s="129"/>
      <c r="B113" s="129"/>
      <c r="C113" s="129"/>
      <c r="D113" s="129"/>
      <c r="E113" s="129"/>
      <c r="F113" s="129"/>
      <c r="G113" s="129"/>
      <c r="H113" s="122" t="s">
        <v>608</v>
      </c>
      <c r="I113" s="122"/>
      <c r="J113" s="122" t="s">
        <v>100</v>
      </c>
      <c r="K113" s="122" t="s">
        <v>13</v>
      </c>
      <c r="L113" s="132" t="s">
        <v>609</v>
      </c>
      <c r="M113" s="132"/>
      <c r="N113" s="132" t="s">
        <v>100</v>
      </c>
      <c r="O113" s="132" t="s">
        <v>13</v>
      </c>
      <c r="P113" s="127"/>
      <c r="Q113" s="127"/>
      <c r="R113" s="127"/>
      <c r="S113" s="128"/>
      <c r="T113" s="123"/>
      <c r="U113" s="123"/>
      <c r="V113" s="123"/>
      <c r="W113" s="123"/>
      <c r="X113" s="122" t="s">
        <v>396</v>
      </c>
      <c r="Y113" s="122"/>
      <c r="Z113" s="122" t="s">
        <v>100</v>
      </c>
      <c r="AA113" s="122" t="s">
        <v>19</v>
      </c>
      <c r="AB113" s="123"/>
      <c r="AC113" s="123"/>
      <c r="AD113" s="123"/>
      <c r="AE113" s="123"/>
    </row>
    <row r="114" spans="1:31" ht="17.25" customHeight="1" thickTop="1" thickBot="1">
      <c r="A114" s="129"/>
      <c r="B114" s="129"/>
      <c r="C114" s="129"/>
      <c r="D114" s="129"/>
      <c r="E114" s="129"/>
      <c r="F114" s="129"/>
      <c r="G114" s="129"/>
      <c r="H114" s="122" t="s">
        <v>610</v>
      </c>
      <c r="I114" s="122"/>
      <c r="J114" s="122" t="s">
        <v>74</v>
      </c>
      <c r="K114" s="122" t="s">
        <v>13</v>
      </c>
      <c r="L114" s="132" t="s">
        <v>395</v>
      </c>
      <c r="M114" s="132"/>
      <c r="N114" s="132" t="s">
        <v>74</v>
      </c>
      <c r="O114" s="132" t="s">
        <v>13</v>
      </c>
      <c r="P114" s="127"/>
      <c r="Q114" s="127"/>
      <c r="R114" s="127"/>
      <c r="S114" s="128"/>
      <c r="T114" s="123"/>
      <c r="U114" s="123"/>
      <c r="V114" s="123"/>
      <c r="W114" s="123"/>
      <c r="X114" s="122" t="s">
        <v>396</v>
      </c>
      <c r="Y114" s="122"/>
      <c r="Z114" s="122" t="s">
        <v>74</v>
      </c>
      <c r="AA114" s="122" t="s">
        <v>19</v>
      </c>
      <c r="AB114" s="123"/>
      <c r="AC114" s="123"/>
      <c r="AD114" s="123"/>
      <c r="AE114" s="123"/>
    </row>
    <row r="115" spans="1:31" ht="17.25" customHeight="1" thickTop="1" thickBot="1">
      <c r="A115" s="129"/>
      <c r="B115" s="129"/>
      <c r="C115" s="129"/>
      <c r="D115" s="129"/>
      <c r="E115" s="129"/>
      <c r="F115" s="129"/>
      <c r="G115" s="129"/>
      <c r="H115" s="122" t="s">
        <v>400</v>
      </c>
      <c r="I115" s="122"/>
      <c r="J115" s="122" t="s">
        <v>78</v>
      </c>
      <c r="K115" s="122" t="s">
        <v>13</v>
      </c>
      <c r="L115" s="132" t="s">
        <v>401</v>
      </c>
      <c r="M115" s="132"/>
      <c r="N115" s="132" t="s">
        <v>78</v>
      </c>
      <c r="O115" s="132" t="s">
        <v>13</v>
      </c>
      <c r="P115" s="127"/>
      <c r="Q115" s="127"/>
      <c r="R115" s="127"/>
      <c r="S115" s="128"/>
      <c r="T115" s="123"/>
      <c r="U115" s="123"/>
      <c r="V115" s="123"/>
      <c r="W115" s="123"/>
      <c r="X115" s="122" t="s">
        <v>396</v>
      </c>
      <c r="Y115" s="122"/>
      <c r="Z115" s="122" t="s">
        <v>78</v>
      </c>
      <c r="AA115" s="122" t="s">
        <v>19</v>
      </c>
      <c r="AB115" s="123"/>
      <c r="AC115" s="123"/>
      <c r="AD115" s="123"/>
      <c r="AE115" s="123"/>
    </row>
    <row r="116" spans="1:31" ht="16.5" thickTop="1"/>
  </sheetData>
  <mergeCells count="44">
    <mergeCell ref="AB83:AE83"/>
    <mergeCell ref="A103:C103"/>
    <mergeCell ref="D103:G103"/>
    <mergeCell ref="H103:K103"/>
    <mergeCell ref="L103:O103"/>
    <mergeCell ref="P103:S103"/>
    <mergeCell ref="T103:W103"/>
    <mergeCell ref="X103:AA103"/>
    <mergeCell ref="AB103:AE103"/>
    <mergeCell ref="H83:K83"/>
    <mergeCell ref="L83:O83"/>
    <mergeCell ref="P83:S83"/>
    <mergeCell ref="T83:W83"/>
    <mergeCell ref="X83:AA83"/>
    <mergeCell ref="A83:C83"/>
    <mergeCell ref="D83:G83"/>
    <mergeCell ref="P46:S46"/>
    <mergeCell ref="T46:W46"/>
    <mergeCell ref="X46:AA46"/>
    <mergeCell ref="AB46:AE46"/>
    <mergeCell ref="A65:C65"/>
    <mergeCell ref="D65:G65"/>
    <mergeCell ref="H65:K65"/>
    <mergeCell ref="L65:O65"/>
    <mergeCell ref="P65:S65"/>
    <mergeCell ref="T65:W65"/>
    <mergeCell ref="X65:AA65"/>
    <mergeCell ref="AB65:AE65"/>
    <mergeCell ref="B39:G39"/>
    <mergeCell ref="A46:C46"/>
    <mergeCell ref="D46:G46"/>
    <mergeCell ref="H46:K46"/>
    <mergeCell ref="L46:O46"/>
    <mergeCell ref="T2:W2"/>
    <mergeCell ref="X2:AA2"/>
    <mergeCell ref="AB2:AE2"/>
    <mergeCell ref="AG2:AJ2"/>
    <mergeCell ref="B16:C16"/>
    <mergeCell ref="D16:G16"/>
    <mergeCell ref="B2:C2"/>
    <mergeCell ref="D2:G2"/>
    <mergeCell ref="H2:K2"/>
    <mergeCell ref="L2:O2"/>
    <mergeCell ref="P2:S2"/>
  </mergeCell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OP_CODES</vt:lpstr>
      <vt:lpstr>Validating JMP</vt:lpstr>
      <vt:lpstr>Validating JSR,RTS</vt:lpstr>
      <vt:lpstr>Validating BEQ</vt:lpstr>
      <vt:lpstr>Register File Table</vt:lpstr>
      <vt:lpstr>MEMORY Table</vt:lpstr>
      <vt:lpstr>Copyable Test Set Format</vt:lpstr>
      <vt:lpstr>Whole Processor Validation Key</vt:lpstr>
      <vt:lpstr>Phase3 Debugging Test Scripts</vt:lpstr>
      <vt:lpstr>Pseudocode Test Script Phase#2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 Fourney</dc:creator>
  <cp:lastModifiedBy>Jordatech</cp:lastModifiedBy>
  <cp:revision>0</cp:revision>
  <cp:lastPrinted>2014-11-06T20:10:32Z</cp:lastPrinted>
  <dcterms:created xsi:type="dcterms:W3CDTF">2014-10-17T16:42:55Z</dcterms:created>
  <dcterms:modified xsi:type="dcterms:W3CDTF">2014-12-02T04:28:06Z</dcterms:modified>
</cp:coreProperties>
</file>