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16380" windowHeight="8130" tabRatio="708" firstSheet="8" activeTab="9"/>
  </bookViews>
  <sheets>
    <sheet name="OP_CODES" sheetId="1" r:id="rId1"/>
    <sheet name="Validating JMP" sheetId="2" r:id="rId2"/>
    <sheet name="Validating JSR,RTS" sheetId="3" r:id="rId3"/>
    <sheet name="Validating BEQ" sheetId="4" r:id="rId4"/>
    <sheet name="Register File Table" sheetId="5" r:id="rId5"/>
    <sheet name="MEMORY Table" sheetId="6" r:id="rId6"/>
    <sheet name="Copyable Test Set Format" sheetId="7" r:id="rId7"/>
    <sheet name="Whole Processor Validation Key" sheetId="8" r:id="rId8"/>
    <sheet name="Phase3 Debugging Test Scripts" sheetId="9" r:id="rId9"/>
    <sheet name="Phase3(Fourney Test Script)" sheetId="10" r:id="rId10"/>
    <sheet name="Decodeing(FTS)P(1)" sheetId="14" r:id="rId11"/>
    <sheet name="NateKyleOrderOfExe(FTS)" sheetId="12" r:id="rId12"/>
    <sheet name="NateKyle(Fourney Test Script)" sheetId="13" r:id="rId13"/>
    <sheet name="Pseudocode Test Script Phase#2" sheetId="11" r:id="rId14"/>
  </sheets>
  <calcPr calcId="145621" iterateDelta="1E-4"/>
</workbook>
</file>

<file path=xl/calcChain.xml><?xml version="1.0" encoding="utf-8"?>
<calcChain xmlns="http://schemas.openxmlformats.org/spreadsheetml/2006/main">
  <c r="Q7" i="10" l="1"/>
  <c r="AF6" i="10"/>
  <c r="AH5" i="10"/>
  <c r="AE4" i="10"/>
  <c r="AD3" i="10"/>
  <c r="Q6" i="10"/>
  <c r="Q5" i="10"/>
  <c r="I39" i="14"/>
  <c r="I38" i="14"/>
  <c r="I37" i="14"/>
  <c r="I36" i="14"/>
  <c r="I35" i="14"/>
  <c r="I34" i="14"/>
  <c r="I33" i="14"/>
  <c r="I32" i="14"/>
  <c r="I31" i="14"/>
  <c r="I30" i="14"/>
  <c r="I29" i="14"/>
  <c r="I28" i="14"/>
  <c r="I27" i="14"/>
  <c r="I26" i="14"/>
  <c r="I25" i="14"/>
  <c r="I24" i="14"/>
  <c r="I23" i="14"/>
  <c r="I22" i="14"/>
  <c r="I21" i="14"/>
  <c r="I20" i="14"/>
  <c r="I19" i="14"/>
  <c r="I18" i="14"/>
  <c r="I17" i="14"/>
  <c r="I16" i="14"/>
  <c r="I15" i="14"/>
  <c r="I14" i="14"/>
  <c r="I13" i="14"/>
  <c r="I12" i="14"/>
  <c r="I11" i="14"/>
  <c r="I10" i="14"/>
  <c r="I9" i="14"/>
  <c r="I8" i="14"/>
  <c r="I7" i="14"/>
  <c r="I6" i="14"/>
  <c r="I5" i="14"/>
  <c r="I4" i="14"/>
  <c r="I3" i="14"/>
  <c r="Q4" i="10"/>
  <c r="Q3" i="10"/>
  <c r="J4" i="10"/>
  <c r="J5" i="10"/>
  <c r="J6" i="10"/>
  <c r="J7" i="10"/>
  <c r="J8"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3" i="10"/>
  <c r="V16" i="12"/>
  <c r="L41" i="12"/>
  <c r="L40" i="12"/>
  <c r="L39" i="12"/>
  <c r="L38" i="12"/>
  <c r="L37" i="12"/>
  <c r="L36" i="12"/>
  <c r="L35" i="12"/>
  <c r="L34" i="12"/>
  <c r="L33" i="12"/>
  <c r="L32" i="12"/>
  <c r="L31" i="12"/>
  <c r="L30" i="12"/>
  <c r="L29" i="12"/>
  <c r="C29" i="12"/>
  <c r="L28" i="12"/>
  <c r="C28" i="12"/>
  <c r="L27" i="12"/>
  <c r="C27" i="12"/>
  <c r="L26" i="12"/>
  <c r="C26" i="12"/>
  <c r="L25" i="12"/>
  <c r="L24" i="12"/>
  <c r="C24" i="12"/>
  <c r="L23" i="12"/>
  <c r="C23" i="12"/>
  <c r="L22" i="12"/>
  <c r="L21" i="12"/>
  <c r="C21" i="12"/>
  <c r="L20" i="12"/>
  <c r="C20" i="12"/>
  <c r="L19" i="12"/>
  <c r="C19" i="12"/>
  <c r="L18" i="12"/>
  <c r="C18" i="12"/>
  <c r="L17" i="12"/>
  <c r="C17" i="12"/>
  <c r="L16" i="12"/>
  <c r="C16" i="12"/>
  <c r="L15" i="12"/>
  <c r="L14" i="12"/>
  <c r="C14" i="12"/>
  <c r="L13" i="12"/>
  <c r="C13" i="12"/>
  <c r="L12" i="12"/>
  <c r="C12" i="12"/>
  <c r="L11" i="12"/>
  <c r="C11" i="12"/>
  <c r="L10" i="12"/>
  <c r="L9" i="12"/>
  <c r="C9" i="12"/>
  <c r="L8" i="12"/>
  <c r="C8" i="12"/>
  <c r="L7" i="12"/>
  <c r="C7" i="12"/>
  <c r="L6" i="12"/>
  <c r="C6" i="12"/>
  <c r="L5" i="12"/>
  <c r="C5" i="12"/>
  <c r="L4" i="12"/>
  <c r="C4" i="12"/>
  <c r="L3" i="12"/>
  <c r="C3" i="12"/>
  <c r="B66" i="11" l="1"/>
  <c r="A64" i="11"/>
  <c r="B62" i="11"/>
  <c r="B60" i="11"/>
  <c r="A58" i="11"/>
  <c r="B56" i="11"/>
  <c r="A54" i="11"/>
  <c r="B52" i="11"/>
  <c r="B48" i="11"/>
  <c r="AA36" i="11"/>
  <c r="N36" i="11"/>
  <c r="Z35" i="11"/>
  <c r="Z36" i="11" s="1"/>
  <c r="V35" i="11"/>
  <c r="V36" i="11" s="1"/>
  <c r="N35" i="11"/>
  <c r="D35" i="11"/>
  <c r="Y34" i="11"/>
  <c r="N34" i="11"/>
  <c r="E34" i="11"/>
  <c r="N33" i="11"/>
  <c r="E33" i="11"/>
  <c r="C33" i="11"/>
  <c r="N32" i="11"/>
  <c r="V31" i="11"/>
  <c r="V32" i="11" s="1"/>
  <c r="V33" i="11" s="1"/>
  <c r="V34" i="11" s="1"/>
  <c r="N31" i="11"/>
  <c r="U30" i="11"/>
  <c r="N30" i="11"/>
  <c r="C30" i="11"/>
  <c r="T29" i="11"/>
  <c r="S29" i="11"/>
  <c r="N29" i="11"/>
  <c r="S28" i="11"/>
  <c r="N28" i="11"/>
  <c r="N27" i="11"/>
  <c r="D27" i="11"/>
  <c r="N26" i="11"/>
  <c r="E26" i="11"/>
  <c r="N25" i="11"/>
  <c r="E25" i="11"/>
  <c r="C25" i="11"/>
  <c r="N24" i="11"/>
  <c r="E24" i="11"/>
  <c r="D24" i="11"/>
  <c r="C24" i="11"/>
  <c r="N23" i="11"/>
  <c r="C23" i="11"/>
  <c r="N22" i="11"/>
  <c r="G22" i="11"/>
  <c r="E22" i="11"/>
  <c r="N21" i="11"/>
  <c r="AA18" i="11"/>
  <c r="J18" i="11"/>
  <c r="H18" i="11"/>
  <c r="E36" i="11" s="1"/>
  <c r="F18" i="11"/>
  <c r="D36" i="11" s="1"/>
  <c r="D18" i="11"/>
  <c r="C36" i="11" s="1"/>
  <c r="Z17" i="11"/>
  <c r="Z18" i="11" s="1"/>
  <c r="J17" i="11"/>
  <c r="H17" i="11"/>
  <c r="E35" i="11" s="1"/>
  <c r="F17" i="11"/>
  <c r="D17" i="11"/>
  <c r="C35" i="11" s="1"/>
  <c r="Y16" i="11"/>
  <c r="Y17" i="11" s="1"/>
  <c r="Y35" i="11" s="1"/>
  <c r="X16" i="11"/>
  <c r="X17" i="11" s="1"/>
  <c r="X18" i="11" s="1"/>
  <c r="V16" i="11"/>
  <c r="V17" i="11" s="1"/>
  <c r="V18" i="11" s="1"/>
  <c r="J16" i="11"/>
  <c r="H16" i="11"/>
  <c r="F16" i="11"/>
  <c r="D34" i="11" s="1"/>
  <c r="D16" i="11"/>
  <c r="C34" i="11" s="1"/>
  <c r="X15" i="11"/>
  <c r="X33" i="11" s="1"/>
  <c r="X34" i="11" s="1"/>
  <c r="X35" i="11" s="1"/>
  <c r="X36" i="11" s="1"/>
  <c r="U15" i="11"/>
  <c r="J15" i="11"/>
  <c r="H15" i="11"/>
  <c r="F15" i="11"/>
  <c r="D33" i="11" s="1"/>
  <c r="D15" i="11"/>
  <c r="W14" i="11"/>
  <c r="V14" i="11"/>
  <c r="V15" i="11" s="1"/>
  <c r="J14" i="11"/>
  <c r="H14" i="11"/>
  <c r="E32" i="11" s="1"/>
  <c r="F14" i="11"/>
  <c r="D32" i="11" s="1"/>
  <c r="D14" i="11"/>
  <c r="C32" i="11" s="1"/>
  <c r="U13" i="11"/>
  <c r="U14" i="11" s="1"/>
  <c r="U32" i="11" s="1"/>
  <c r="J13" i="11"/>
  <c r="H13" i="11"/>
  <c r="E31" i="11" s="1"/>
  <c r="F13" i="11"/>
  <c r="D31" i="11" s="1"/>
  <c r="D13" i="11"/>
  <c r="C31" i="11" s="1"/>
  <c r="T12" i="11"/>
  <c r="T30" i="11" s="1"/>
  <c r="J12" i="11"/>
  <c r="H12" i="11"/>
  <c r="E30" i="11" s="1"/>
  <c r="F12" i="11"/>
  <c r="D30" i="11" s="1"/>
  <c r="D12" i="11"/>
  <c r="M12" i="11" s="1"/>
  <c r="S11" i="11"/>
  <c r="S12" i="11" s="1"/>
  <c r="J11" i="11"/>
  <c r="H11" i="11"/>
  <c r="E29" i="11" s="1"/>
  <c r="F11" i="11"/>
  <c r="D29" i="11" s="1"/>
  <c r="D11" i="11"/>
  <c r="C29" i="11" s="1"/>
  <c r="J10" i="11"/>
  <c r="H10" i="11"/>
  <c r="E28" i="11" s="1"/>
  <c r="F10" i="11"/>
  <c r="D28" i="11" s="1"/>
  <c r="D10" i="11"/>
  <c r="C28" i="11" s="1"/>
  <c r="J9" i="11"/>
  <c r="H9" i="11"/>
  <c r="E27" i="11" s="1"/>
  <c r="F9" i="11"/>
  <c r="D9" i="11"/>
  <c r="C27" i="11" s="1"/>
  <c r="P8" i="11"/>
  <c r="P26" i="11" s="1"/>
  <c r="J8" i="11"/>
  <c r="H8" i="11"/>
  <c r="F8" i="11"/>
  <c r="D26" i="11" s="1"/>
  <c r="D8" i="11"/>
  <c r="C26" i="11" s="1"/>
  <c r="P7" i="11"/>
  <c r="P25" i="11" s="1"/>
  <c r="J7" i="11"/>
  <c r="H7" i="11"/>
  <c r="F7" i="11"/>
  <c r="D25" i="11" s="1"/>
  <c r="D7" i="11"/>
  <c r="P6" i="11"/>
  <c r="L6" i="11"/>
  <c r="K6" i="11"/>
  <c r="J6" i="11"/>
  <c r="F24" i="11" s="1"/>
  <c r="H6" i="11"/>
  <c r="M6" i="11" s="1"/>
  <c r="D6" i="11"/>
  <c r="O5" i="11"/>
  <c r="L5" i="11"/>
  <c r="K5" i="11"/>
  <c r="G23" i="11" s="1"/>
  <c r="J5" i="11"/>
  <c r="F23" i="11" s="1"/>
  <c r="H5" i="11"/>
  <c r="E23" i="11" s="1"/>
  <c r="D5" i="11"/>
  <c r="M5" i="11" s="1"/>
  <c r="L4" i="11"/>
  <c r="K4" i="11"/>
  <c r="J4" i="11"/>
  <c r="F22" i="11" s="1"/>
  <c r="H4" i="11"/>
  <c r="D4" i="11"/>
  <c r="J3" i="11"/>
  <c r="H3" i="11"/>
  <c r="E21" i="11" s="1"/>
  <c r="F3" i="11"/>
  <c r="D21" i="11" s="1"/>
  <c r="D3" i="11"/>
  <c r="C21" i="11" s="1"/>
  <c r="AR190" i="9"/>
  <c r="B190" i="9"/>
  <c r="AR188" i="9"/>
  <c r="B188" i="9"/>
  <c r="AR183" i="9"/>
  <c r="B183" i="9"/>
  <c r="AR181" i="9"/>
  <c r="B181" i="9"/>
  <c r="D149" i="9"/>
  <c r="C149" i="9"/>
  <c r="D148" i="9"/>
  <c r="C148" i="9"/>
  <c r="D147" i="9"/>
  <c r="C147" i="9"/>
  <c r="D146" i="9"/>
  <c r="C146" i="9"/>
  <c r="D145" i="9"/>
  <c r="C145" i="9"/>
  <c r="D143" i="9"/>
  <c r="C143" i="9"/>
  <c r="D142" i="9"/>
  <c r="C142" i="9"/>
  <c r="D141" i="9"/>
  <c r="C141" i="9"/>
  <c r="D140" i="9"/>
  <c r="C140" i="9"/>
  <c r="D139" i="9"/>
  <c r="C139" i="9"/>
  <c r="D137" i="9"/>
  <c r="C137" i="9"/>
  <c r="D136" i="9"/>
  <c r="C136" i="9"/>
  <c r="D135" i="9"/>
  <c r="C135" i="9"/>
  <c r="D134" i="9"/>
  <c r="C134" i="9"/>
  <c r="D133" i="9"/>
  <c r="C133" i="9"/>
  <c r="B90" i="9"/>
  <c r="B88" i="9"/>
  <c r="B71" i="9"/>
  <c r="B69" i="9"/>
  <c r="R78" i="8"/>
  <c r="P78" i="8"/>
  <c r="M78" i="8"/>
  <c r="M79" i="8" s="1"/>
  <c r="M80" i="8" s="1"/>
  <c r="L78" i="8"/>
  <c r="D78" i="8"/>
  <c r="B78" i="8"/>
  <c r="A78" i="8"/>
  <c r="R77" i="8"/>
  <c r="Q77" i="8"/>
  <c r="Q78" i="8" s="1"/>
  <c r="P77" i="8"/>
  <c r="M77" i="8"/>
  <c r="L77" i="8"/>
  <c r="D77" i="8"/>
  <c r="B77" i="8"/>
  <c r="A77" i="8"/>
  <c r="Q73" i="8"/>
  <c r="L73" i="8"/>
  <c r="D73" i="8"/>
  <c r="B73" i="8"/>
  <c r="A73" i="8"/>
  <c r="R72" i="8"/>
  <c r="R73" i="8" s="1"/>
  <c r="P72" i="8"/>
  <c r="M72" i="8"/>
  <c r="M73" i="8" s="1"/>
  <c r="M74" i="8" s="1"/>
  <c r="M75" i="8" s="1"/>
  <c r="L72" i="8"/>
  <c r="D72" i="8"/>
  <c r="B72" i="8"/>
  <c r="A72" i="8"/>
  <c r="R71" i="8"/>
  <c r="P73" i="8" s="1"/>
  <c r="Q71" i="8"/>
  <c r="Q72" i="8" s="1"/>
  <c r="P71" i="8"/>
  <c r="M71" i="8"/>
  <c r="L71" i="8"/>
  <c r="D71" i="8"/>
  <c r="B71" i="8"/>
  <c r="A71" i="8"/>
  <c r="M69" i="8"/>
  <c r="Q68" i="8"/>
  <c r="M68" i="8"/>
  <c r="D68" i="8"/>
  <c r="B68" i="8"/>
  <c r="A68" i="8"/>
  <c r="R67" i="8"/>
  <c r="R68" i="8" s="1"/>
  <c r="Q67" i="8"/>
  <c r="P67" i="8"/>
  <c r="P68" i="8" s="1"/>
  <c r="M67" i="8"/>
  <c r="D67" i="8"/>
  <c r="B67" i="8"/>
  <c r="A67" i="8"/>
  <c r="D64" i="8"/>
  <c r="B64" i="8"/>
  <c r="A64" i="8"/>
  <c r="R63" i="8"/>
  <c r="R64" i="8" s="1"/>
  <c r="L63" i="8"/>
  <c r="G63" i="8"/>
  <c r="D63" i="8"/>
  <c r="B63" i="8"/>
  <c r="A63" i="8"/>
  <c r="M61" i="8"/>
  <c r="M62" i="8" s="1"/>
  <c r="M63" i="8" s="1"/>
  <c r="D60" i="8"/>
  <c r="B60" i="8"/>
  <c r="A60" i="8"/>
  <c r="Q59" i="8"/>
  <c r="Q60" i="8" s="1"/>
  <c r="L59" i="8"/>
  <c r="G59" i="8"/>
  <c r="D59" i="8"/>
  <c r="B59" i="8"/>
  <c r="A59" i="8"/>
  <c r="D58" i="8"/>
  <c r="A58" i="8"/>
  <c r="L57" i="8"/>
  <c r="P57" i="8" s="1"/>
  <c r="P58" i="8" s="1"/>
  <c r="P59" i="8" s="1"/>
  <c r="G57" i="8"/>
  <c r="D57" i="8"/>
  <c r="B57" i="8"/>
  <c r="A57" i="8"/>
  <c r="D56" i="8"/>
  <c r="B56" i="8"/>
  <c r="A56" i="8"/>
  <c r="P55" i="8"/>
  <c r="P56" i="8" s="1"/>
  <c r="R56" i="8" s="1"/>
  <c r="R57" i="8" s="1"/>
  <c r="L55" i="8"/>
  <c r="G55" i="8"/>
  <c r="A55" i="8" s="1"/>
  <c r="D55" i="8"/>
  <c r="B55" i="8"/>
  <c r="L54" i="8"/>
  <c r="D54" i="8"/>
  <c r="B54" i="8"/>
  <c r="A54" i="8"/>
  <c r="L53" i="8"/>
  <c r="P53" i="8" s="1"/>
  <c r="G53" i="8"/>
  <c r="D53" i="8"/>
  <c r="B53" i="8"/>
  <c r="A53" i="8"/>
  <c r="L52" i="8"/>
  <c r="D52" i="8"/>
  <c r="B52" i="8"/>
  <c r="A52" i="8"/>
  <c r="L51" i="8"/>
  <c r="D51" i="8"/>
  <c r="B51" i="8"/>
  <c r="A51" i="8"/>
  <c r="L50" i="8"/>
  <c r="D50" i="8"/>
  <c r="B50" i="8"/>
  <c r="A50" i="8"/>
  <c r="L49" i="8"/>
  <c r="D49" i="8"/>
  <c r="B49" i="8"/>
  <c r="A49" i="8"/>
  <c r="P48" i="8"/>
  <c r="P49" i="8" s="1"/>
  <c r="P50" i="8" s="1"/>
  <c r="P51" i="8" s="1"/>
  <c r="P52" i="8" s="1"/>
  <c r="L48" i="8"/>
  <c r="G48" i="8"/>
  <c r="A48" i="8" s="1"/>
  <c r="D48" i="8"/>
  <c r="B48" i="8"/>
  <c r="P47" i="8"/>
  <c r="L47" i="8"/>
  <c r="D47" i="8"/>
  <c r="B47" i="8"/>
  <c r="A47" i="8"/>
  <c r="P46" i="8"/>
  <c r="L46" i="8"/>
  <c r="G46" i="8"/>
  <c r="B46" i="8"/>
  <c r="L45" i="8"/>
  <c r="D45" i="8"/>
  <c r="B45" i="8"/>
  <c r="A45" i="8"/>
  <c r="P44" i="8"/>
  <c r="P45" i="8" s="1"/>
  <c r="L44" i="8"/>
  <c r="G44" i="8"/>
  <c r="A44" i="8" s="1"/>
  <c r="D44" i="8"/>
  <c r="B44" i="8"/>
  <c r="R43" i="8"/>
  <c r="P43" i="8"/>
  <c r="L43" i="8"/>
  <c r="D43" i="8"/>
  <c r="B43" i="8"/>
  <c r="A43" i="8"/>
  <c r="P42" i="8"/>
  <c r="L42" i="8"/>
  <c r="G42" i="8"/>
  <c r="B42" i="8"/>
  <c r="R41" i="8"/>
  <c r="D41" i="8"/>
  <c r="B41" i="8"/>
  <c r="A41" i="8"/>
  <c r="L40" i="8"/>
  <c r="P40" i="8" s="1"/>
  <c r="P41" i="8" s="1"/>
  <c r="G40" i="8"/>
  <c r="D40" i="8"/>
  <c r="B40" i="8"/>
  <c r="A40" i="8"/>
  <c r="P39" i="8"/>
  <c r="D39" i="8"/>
  <c r="B39" i="8"/>
  <c r="A39" i="8"/>
  <c r="P38" i="8"/>
  <c r="L38" i="8"/>
  <c r="G38" i="8"/>
  <c r="A38" i="8" s="1"/>
  <c r="D38" i="8"/>
  <c r="B38" i="8"/>
  <c r="P37" i="8"/>
  <c r="D37" i="8"/>
  <c r="B37" i="8"/>
  <c r="A37" i="8"/>
  <c r="P36" i="8"/>
  <c r="L36" i="8"/>
  <c r="G36" i="8"/>
  <c r="A36" i="8" s="1"/>
  <c r="D36" i="8"/>
  <c r="B36" i="8"/>
  <c r="D35" i="8"/>
  <c r="B35" i="8"/>
  <c r="A35" i="8"/>
  <c r="P34" i="8"/>
  <c r="P35" i="8" s="1"/>
  <c r="L34" i="8"/>
  <c r="G34" i="8"/>
  <c r="B34" i="8"/>
  <c r="D33" i="8"/>
  <c r="B33" i="8"/>
  <c r="A33" i="8"/>
  <c r="L32" i="8"/>
  <c r="P32" i="8" s="1"/>
  <c r="P33" i="8" s="1"/>
  <c r="G32" i="8"/>
  <c r="D32" i="8"/>
  <c r="B32" i="8"/>
  <c r="A32" i="8"/>
  <c r="P31" i="8"/>
  <c r="D31" i="8"/>
  <c r="B31" i="8"/>
  <c r="A31" i="8"/>
  <c r="P30" i="8"/>
  <c r="L30" i="8"/>
  <c r="G30" i="8"/>
  <c r="A30" i="8" s="1"/>
  <c r="D30" i="8"/>
  <c r="B30" i="8"/>
  <c r="P29" i="8"/>
  <c r="D29" i="8"/>
  <c r="B29" i="8"/>
  <c r="A29" i="8"/>
  <c r="P28" i="8"/>
  <c r="L28" i="8"/>
  <c r="G28" i="8"/>
  <c r="A28" i="8" s="1"/>
  <c r="D28" i="8"/>
  <c r="B28" i="8"/>
  <c r="D27" i="8"/>
  <c r="B27" i="8"/>
  <c r="A27" i="8"/>
  <c r="L26" i="8"/>
  <c r="Q26" i="8" s="1"/>
  <c r="Q27" i="8" s="1"/>
  <c r="Q28" i="8" s="1"/>
  <c r="Q29" i="8" s="1"/>
  <c r="Q30" i="8" s="1"/>
  <c r="Q31" i="8" s="1"/>
  <c r="Q32" i="8" s="1"/>
  <c r="Q33" i="8" s="1"/>
  <c r="Q34" i="8" s="1"/>
  <c r="Q35" i="8" s="1"/>
  <c r="Q36" i="8" s="1"/>
  <c r="Q37" i="8" s="1"/>
  <c r="Q38" i="8" s="1"/>
  <c r="Q39" i="8" s="1"/>
  <c r="Q40" i="8" s="1"/>
  <c r="Q41" i="8" s="1"/>
  <c r="Q42" i="8" s="1"/>
  <c r="Q43" i="8" s="1"/>
  <c r="Q44" i="8" s="1"/>
  <c r="Q45" i="8" s="1"/>
  <c r="Q46" i="8" s="1"/>
  <c r="Q47" i="8" s="1"/>
  <c r="Q48" i="8" s="1"/>
  <c r="Q49" i="8" s="1"/>
  <c r="Q50" i="8" s="1"/>
  <c r="G26" i="8"/>
  <c r="B26" i="8"/>
  <c r="P25" i="8"/>
  <c r="P26" i="8" s="1"/>
  <c r="P27" i="8" s="1"/>
  <c r="R27" i="8" s="1"/>
  <c r="L25" i="8"/>
  <c r="G25" i="8"/>
  <c r="B25" i="8"/>
  <c r="D24" i="8"/>
  <c r="B24" i="8"/>
  <c r="A24" i="8"/>
  <c r="Q23" i="8"/>
  <c r="Q24" i="8" s="1"/>
  <c r="L23" i="8"/>
  <c r="G23" i="8"/>
  <c r="D23" i="8"/>
  <c r="B23" i="8"/>
  <c r="A23" i="8"/>
  <c r="L22" i="8"/>
  <c r="P22" i="8" s="1"/>
  <c r="P23" i="8" s="1"/>
  <c r="P24" i="8" s="1"/>
  <c r="G22" i="8"/>
  <c r="D22" i="8"/>
  <c r="B22" i="8"/>
  <c r="A22" i="8"/>
  <c r="D21" i="8"/>
  <c r="B21" i="8"/>
  <c r="A21" i="8"/>
  <c r="L20" i="8"/>
  <c r="Q20" i="8" s="1"/>
  <c r="Q21" i="8" s="1"/>
  <c r="G20" i="8"/>
  <c r="A20" i="8" s="1"/>
  <c r="D20" i="8"/>
  <c r="B20" i="8"/>
  <c r="P19" i="8"/>
  <c r="P20" i="8" s="1"/>
  <c r="P21" i="8" s="1"/>
  <c r="L19" i="8"/>
  <c r="G19" i="8"/>
  <c r="A19" i="8" s="1"/>
  <c r="D19" i="8"/>
  <c r="B19" i="8"/>
  <c r="D18" i="8"/>
  <c r="B18" i="8"/>
  <c r="A18" i="8"/>
  <c r="P17" i="8"/>
  <c r="P18" i="8" s="1"/>
  <c r="L17" i="8"/>
  <c r="Q17" i="8" s="1"/>
  <c r="Q18" i="8" s="1"/>
  <c r="G17" i="8"/>
  <c r="A17" i="8" s="1"/>
  <c r="D17" i="8"/>
  <c r="B17" i="8"/>
  <c r="P16" i="8"/>
  <c r="L16" i="8"/>
  <c r="G16" i="8"/>
  <c r="A16" i="8" s="1"/>
  <c r="D16" i="8"/>
  <c r="B16" i="8"/>
  <c r="R15" i="8"/>
  <c r="Q15" i="8"/>
  <c r="D15" i="8"/>
  <c r="B15" i="8"/>
  <c r="A15" i="8"/>
  <c r="P14" i="8"/>
  <c r="P15" i="8" s="1"/>
  <c r="L14" i="8"/>
  <c r="G14" i="8"/>
  <c r="D14" i="8"/>
  <c r="B14" i="8"/>
  <c r="A14" i="8"/>
  <c r="R13" i="8"/>
  <c r="D13" i="8"/>
  <c r="B13" i="8"/>
  <c r="A13" i="8"/>
  <c r="Q12" i="8"/>
  <c r="Q13" i="8" s="1"/>
  <c r="L12" i="8"/>
  <c r="G12" i="8"/>
  <c r="D12" i="8" s="1"/>
  <c r="B12" i="8"/>
  <c r="P11" i="8"/>
  <c r="P12" i="8" s="1"/>
  <c r="P13" i="8" s="1"/>
  <c r="L11" i="8"/>
  <c r="D11" i="8"/>
  <c r="B11" i="8"/>
  <c r="A11" i="8"/>
  <c r="M10" i="8"/>
  <c r="M11" i="8" s="1"/>
  <c r="M12" i="8" s="1"/>
  <c r="M13" i="8" s="1"/>
  <c r="M14" i="8" s="1"/>
  <c r="M15" i="8" s="1"/>
  <c r="M16" i="8" s="1"/>
  <c r="M17" i="8" s="1"/>
  <c r="M18" i="8" s="1"/>
  <c r="M19" i="8" s="1"/>
  <c r="M20" i="8" s="1"/>
  <c r="M21" i="8" s="1"/>
  <c r="M22" i="8" s="1"/>
  <c r="M23" i="8" s="1"/>
  <c r="M24" i="8" s="1"/>
  <c r="M25" i="8" s="1"/>
  <c r="M26" i="8" s="1"/>
  <c r="M27" i="8" s="1"/>
  <c r="M28" i="8" s="1"/>
  <c r="M29" i="8" s="1"/>
  <c r="M30" i="8" s="1"/>
  <c r="M31" i="8" s="1"/>
  <c r="M32" i="8" s="1"/>
  <c r="M33" i="8" s="1"/>
  <c r="M34" i="8" s="1"/>
  <c r="M35" i="8" s="1"/>
  <c r="M36" i="8" s="1"/>
  <c r="M37" i="8" s="1"/>
  <c r="M38" i="8" s="1"/>
  <c r="M39" i="8" s="1"/>
  <c r="M40" i="8" s="1"/>
  <c r="M41" i="8" s="1"/>
  <c r="M42" i="8" s="1"/>
  <c r="M43" i="8" s="1"/>
  <c r="M44" i="8" s="1"/>
  <c r="M45" i="8" s="1"/>
  <c r="M46" i="8" s="1"/>
  <c r="M47" i="8" s="1"/>
  <c r="M48" i="8" s="1"/>
  <c r="M49" i="8" s="1"/>
  <c r="M50" i="8" s="1"/>
  <c r="M51" i="8" s="1"/>
  <c r="M52" i="8" s="1"/>
  <c r="M53" i="8" s="1"/>
  <c r="M54" i="8" s="1"/>
  <c r="M55" i="8" s="1"/>
  <c r="M56" i="8" s="1"/>
  <c r="M57" i="8" s="1"/>
  <c r="M58" i="8" s="1"/>
  <c r="M59" i="8" s="1"/>
  <c r="M60" i="8" s="1"/>
  <c r="D10" i="8"/>
  <c r="B10" i="8"/>
  <c r="A10" i="8"/>
  <c r="Q9" i="8"/>
  <c r="Q10" i="8" s="1"/>
  <c r="M9" i="8"/>
  <c r="L9" i="8"/>
  <c r="G9" i="8"/>
  <c r="D9" i="8" s="1"/>
  <c r="B9" i="8"/>
  <c r="O8" i="8"/>
  <c r="O9" i="8" s="1"/>
  <c r="O10" i="8" s="1"/>
  <c r="O11" i="8" s="1"/>
  <c r="O12" i="8" s="1"/>
  <c r="O13" i="8" s="1"/>
  <c r="O14" i="8" s="1"/>
  <c r="O15" i="8" s="1"/>
  <c r="O16" i="8" s="1"/>
  <c r="O17" i="8" s="1"/>
  <c r="O18" i="8" s="1"/>
  <c r="O19" i="8" s="1"/>
  <c r="O20" i="8" s="1"/>
  <c r="O21" i="8" s="1"/>
  <c r="O22" i="8" s="1"/>
  <c r="O23" i="8" s="1"/>
  <c r="O24" i="8" s="1"/>
  <c r="O25" i="8" s="1"/>
  <c r="O26" i="8" s="1"/>
  <c r="O27" i="8" s="1"/>
  <c r="O28" i="8" s="1"/>
  <c r="O29" i="8" s="1"/>
  <c r="O30" i="8" s="1"/>
  <c r="O31" i="8" s="1"/>
  <c r="O32" i="8" s="1"/>
  <c r="O33" i="8" s="1"/>
  <c r="O34" i="8" s="1"/>
  <c r="O35" i="8" s="1"/>
  <c r="O36" i="8" s="1"/>
  <c r="O37" i="8" s="1"/>
  <c r="O38" i="8" s="1"/>
  <c r="O39" i="8" s="1"/>
  <c r="O40" i="8" s="1"/>
  <c r="O41" i="8" s="1"/>
  <c r="O42" i="8" s="1"/>
  <c r="O43" i="8" s="1"/>
  <c r="O44" i="8" s="1"/>
  <c r="O45" i="8" s="1"/>
  <c r="O46" i="8" s="1"/>
  <c r="O47" i="8" s="1"/>
  <c r="O48" i="8" s="1"/>
  <c r="O49" i="8" s="1"/>
  <c r="O50" i="8" s="1"/>
  <c r="O51" i="8" s="1"/>
  <c r="O52" i="8" s="1"/>
  <c r="O53" i="8" s="1"/>
  <c r="O54" i="8" s="1"/>
  <c r="O55" i="8" s="1"/>
  <c r="O56" i="8" s="1"/>
  <c r="O57" i="8" s="1"/>
  <c r="O58" i="8" s="1"/>
  <c r="O59" i="8" s="1"/>
  <c r="O60" i="8" s="1"/>
  <c r="O61" i="8" s="1"/>
  <c r="O62" i="8" s="1"/>
  <c r="O63" i="8" s="1"/>
  <c r="O64" i="8" s="1"/>
  <c r="O65" i="8" s="1"/>
  <c r="O66" i="8" s="1"/>
  <c r="O67" i="8" s="1"/>
  <c r="O68" i="8" s="1"/>
  <c r="O69" i="8" s="1"/>
  <c r="O70" i="8" s="1"/>
  <c r="O71" i="8" s="1"/>
  <c r="O72" i="8" s="1"/>
  <c r="O73" i="8" s="1"/>
  <c r="O74" i="8" s="1"/>
  <c r="O75" i="8" s="1"/>
  <c r="O76" i="8" s="1"/>
  <c r="O77" i="8" s="1"/>
  <c r="O78" i="8" s="1"/>
  <c r="O79" i="8" s="1"/>
  <c r="O80" i="8" s="1"/>
  <c r="M8" i="8"/>
  <c r="L8" i="8"/>
  <c r="P8" i="8" s="1"/>
  <c r="P9" i="8" s="1"/>
  <c r="P10" i="8" s="1"/>
  <c r="D8" i="8"/>
  <c r="B8" i="8"/>
  <c r="A8" i="8"/>
  <c r="O7" i="8"/>
  <c r="D7" i="8"/>
  <c r="A7" i="8"/>
  <c r="L4" i="8"/>
  <c r="L3" i="8"/>
  <c r="D7" i="7"/>
  <c r="A7" i="7"/>
  <c r="L5" i="7"/>
  <c r="K5" i="7"/>
  <c r="D7" i="4"/>
  <c r="A7" i="4"/>
  <c r="L5" i="4"/>
  <c r="K5" i="4"/>
  <c r="D7" i="3"/>
  <c r="A7" i="3"/>
  <c r="L5" i="3"/>
  <c r="K5" i="3"/>
  <c r="D7" i="2"/>
  <c r="A7" i="2"/>
  <c r="L5" i="2"/>
  <c r="K5" i="2"/>
  <c r="D56" i="1"/>
  <c r="D55" i="1"/>
  <c r="D53" i="1"/>
  <c r="D52" i="1"/>
  <c r="D51" i="1"/>
  <c r="D50" i="1"/>
  <c r="D48" i="1"/>
  <c r="D47" i="1"/>
  <c r="D46" i="1"/>
  <c r="D44" i="1"/>
  <c r="D43" i="1"/>
  <c r="D42" i="1"/>
  <c r="D41" i="1"/>
  <c r="D40" i="1"/>
  <c r="D38" i="1"/>
  <c r="D37" i="1"/>
  <c r="D36" i="1"/>
  <c r="D29" i="1"/>
  <c r="D28" i="1"/>
  <c r="D25" i="1"/>
  <c r="D23" i="1"/>
  <c r="D22" i="1"/>
  <c r="D21" i="1"/>
  <c r="D19" i="1"/>
  <c r="D18" i="1"/>
  <c r="D17" i="1"/>
  <c r="D16" i="1"/>
  <c r="D15" i="1"/>
  <c r="D14" i="1"/>
  <c r="D13" i="1"/>
  <c r="D12" i="1"/>
  <c r="D11" i="1"/>
  <c r="D10" i="1"/>
  <c r="D9" i="1"/>
  <c r="D8" i="1"/>
  <c r="D7" i="1"/>
  <c r="D6" i="1"/>
  <c r="R39" i="8"/>
  <c r="R31" i="8"/>
  <c r="R47" i="8"/>
  <c r="R37" i="8"/>
  <c r="R35" i="8"/>
  <c r="R33" i="8"/>
  <c r="R49" i="8"/>
  <c r="R21" i="8"/>
  <c r="R45" i="8"/>
  <c r="R29" i="8"/>
  <c r="R18" i="8"/>
  <c r="R24" i="8"/>
  <c r="R50" i="8" l="1"/>
  <c r="R51" i="8" s="1"/>
  <c r="R10" i="8"/>
  <c r="D25" i="8"/>
  <c r="A25" i="8"/>
  <c r="D26" i="8"/>
  <c r="A26" i="8"/>
  <c r="D34" i="8"/>
  <c r="A34" i="8"/>
  <c r="D42" i="8"/>
  <c r="A42" i="8"/>
  <c r="P63" i="8"/>
  <c r="Q63" i="8"/>
  <c r="Q64" i="8" s="1"/>
  <c r="A9" i="8"/>
  <c r="A12" i="8"/>
  <c r="M9" i="11"/>
  <c r="U16" i="11"/>
  <c r="U33" i="11"/>
  <c r="D46" i="8"/>
  <c r="A46" i="8"/>
  <c r="C22" i="11"/>
  <c r="M4" i="11"/>
  <c r="S30" i="11"/>
  <c r="S13" i="11"/>
  <c r="M7" i="11"/>
  <c r="Y18" i="11"/>
  <c r="Y36" i="11" s="1"/>
  <c r="O6" i="11"/>
  <c r="O23" i="11"/>
  <c r="M8" i="11"/>
  <c r="W32" i="11"/>
  <c r="W33" i="11" s="1"/>
  <c r="W34" i="11" s="1"/>
  <c r="W35" i="11" s="1"/>
  <c r="W36" i="11" s="1"/>
  <c r="W15" i="11"/>
  <c r="W16" i="11" s="1"/>
  <c r="W17" i="11" s="1"/>
  <c r="W18" i="11" s="1"/>
  <c r="M16" i="11"/>
  <c r="M15" i="11"/>
  <c r="M17" i="11"/>
  <c r="M10" i="11"/>
  <c r="T13" i="11"/>
  <c r="M18" i="11"/>
  <c r="U31" i="11"/>
  <c r="P9" i="11"/>
  <c r="M11" i="11"/>
  <c r="M3" i="11"/>
  <c r="M13" i="11"/>
  <c r="M14" i="11"/>
  <c r="U17" i="11" l="1"/>
  <c r="U34" i="11"/>
  <c r="T14" i="11"/>
  <c r="T31" i="11"/>
  <c r="S31" i="11"/>
  <c r="S14" i="11"/>
  <c r="M64" i="8"/>
  <c r="M65" i="8" s="1"/>
  <c r="M66" i="8" s="1"/>
  <c r="P64" i="8"/>
  <c r="P10" i="11"/>
  <c r="P27" i="11"/>
  <c r="O24" i="11"/>
  <c r="O7" i="11"/>
  <c r="R52" i="8"/>
  <c r="Q51" i="8"/>
  <c r="Q52" i="8" s="1"/>
  <c r="Q53" i="8" s="1"/>
  <c r="Q54" i="8" s="1"/>
  <c r="Q55" i="8" s="1"/>
  <c r="Q56" i="8" s="1"/>
  <c r="Q57" i="8" s="1"/>
  <c r="Q58" i="8" s="1"/>
  <c r="B58" i="8" s="1"/>
  <c r="O8" i="11" l="1"/>
  <c r="O25" i="11"/>
  <c r="T15" i="11"/>
  <c r="T32" i="11"/>
  <c r="S32" i="11"/>
  <c r="S15" i="11"/>
  <c r="P54" i="8"/>
  <c r="R58" i="8" s="1"/>
  <c r="R53" i="8"/>
  <c r="R54" i="8" s="1"/>
  <c r="R55" i="8" s="1"/>
  <c r="P28" i="11"/>
  <c r="P11" i="11"/>
  <c r="U35" i="11"/>
  <c r="U18" i="11"/>
  <c r="U36" i="11" s="1"/>
  <c r="Q8" i="11" l="1"/>
  <c r="O26" i="11"/>
  <c r="O9" i="11"/>
  <c r="P60" i="8"/>
  <c r="R59" i="8"/>
  <c r="R60" i="8" s="1"/>
  <c r="T16" i="11"/>
  <c r="T33" i="11"/>
  <c r="P29" i="11"/>
  <c r="P12" i="11"/>
  <c r="S16" i="11"/>
  <c r="S33" i="11"/>
  <c r="Q9" i="11" l="1"/>
  <c r="O10" i="11"/>
  <c r="O27" i="11"/>
  <c r="S34" i="11"/>
  <c r="S17" i="11"/>
  <c r="T34" i="11"/>
  <c r="T17" i="11"/>
  <c r="P30" i="11"/>
  <c r="P13" i="11"/>
  <c r="A50" i="11"/>
  <c r="Q26" i="11"/>
  <c r="T18" i="11" l="1"/>
  <c r="T36" i="11" s="1"/>
  <c r="T35" i="11"/>
  <c r="O11" i="11"/>
  <c r="O28" i="11"/>
  <c r="Q10" i="11"/>
  <c r="P14" i="11"/>
  <c r="P31" i="11"/>
  <c r="S18" i="11"/>
  <c r="S36" i="11" s="1"/>
  <c r="S35" i="11"/>
  <c r="Q27" i="11"/>
  <c r="R9" i="11"/>
  <c r="R27" i="11" s="1"/>
  <c r="O29" i="11" l="1"/>
  <c r="O12" i="11"/>
  <c r="Q11" i="11"/>
  <c r="P15" i="11"/>
  <c r="P32" i="11"/>
  <c r="Q28" i="11"/>
  <c r="R10" i="11"/>
  <c r="R28" i="11" s="1"/>
  <c r="P16" i="11" l="1"/>
  <c r="P33" i="11"/>
  <c r="R11" i="11"/>
  <c r="R29" i="11" s="1"/>
  <c r="Q29" i="11"/>
  <c r="Q12" i="11"/>
  <c r="O30" i="11"/>
  <c r="O13" i="11"/>
  <c r="O31" i="11" l="1"/>
  <c r="Q13" i="11"/>
  <c r="O14" i="11"/>
  <c r="Q30" i="11"/>
  <c r="R12" i="11"/>
  <c r="R30" i="11" s="1"/>
  <c r="P34" i="11"/>
  <c r="P17" i="11"/>
  <c r="P18" i="11" l="1"/>
  <c r="P36" i="11" s="1"/>
  <c r="P35" i="11"/>
  <c r="O32" i="11"/>
  <c r="O15" i="11"/>
  <c r="Q14" i="11"/>
  <c r="R13" i="11"/>
  <c r="R31" i="11" s="1"/>
  <c r="Q31" i="11"/>
  <c r="O16" i="11" l="1"/>
  <c r="Q15" i="11"/>
  <c r="O33" i="11"/>
  <c r="R14" i="11"/>
  <c r="R32" i="11" s="1"/>
  <c r="Q32" i="11"/>
  <c r="Q33" i="11" l="1"/>
  <c r="R15" i="11"/>
  <c r="R33" i="11" s="1"/>
  <c r="Q16" i="11"/>
  <c r="O34" i="11"/>
  <c r="O17" i="11"/>
  <c r="R16" i="11" l="1"/>
  <c r="R34" i="11" s="1"/>
  <c r="Q34" i="11"/>
  <c r="Q17" i="11"/>
  <c r="O18" i="11"/>
  <c r="O35" i="11"/>
  <c r="O36" i="11" l="1"/>
  <c r="Q18" i="11"/>
  <c r="Q35" i="11"/>
  <c r="R17" i="11"/>
  <c r="R35" i="11" s="1"/>
  <c r="Q36" i="11" l="1"/>
  <c r="R18" i="11"/>
  <c r="R36" i="11" s="1"/>
</calcChain>
</file>

<file path=xl/sharedStrings.xml><?xml version="1.0" encoding="utf-8"?>
<sst xmlns="http://schemas.openxmlformats.org/spreadsheetml/2006/main" count="4102" uniqueCount="1023">
  <si>
    <t>Phase 2</t>
  </si>
  <si>
    <t>IR</t>
  </si>
  <si>
    <t>Format</t>
  </si>
  <si>
    <t>OP Code</t>
  </si>
  <si>
    <t>ALU_Op [DEC]</t>
  </si>
  <si>
    <t>ALU_Op [HEX]</t>
  </si>
  <si>
    <t>Mnemonic</t>
  </si>
  <si>
    <t>Arithmetic</t>
  </si>
  <si>
    <t>a</t>
  </si>
  <si>
    <t>0000_0000001_000000</t>
  </si>
  <si>
    <t>1</t>
  </si>
  <si>
    <t>ADD</t>
  </si>
  <si>
    <t>0000_0000100_000000</t>
  </si>
  <si>
    <t>2</t>
  </si>
  <si>
    <t>SUB</t>
  </si>
  <si>
    <t>0000_0001000_000000</t>
  </si>
  <si>
    <t>3</t>
  </si>
  <si>
    <t>AND</t>
  </si>
  <si>
    <t>0000_0001001_000000</t>
  </si>
  <si>
    <t>4</t>
  </si>
  <si>
    <t>OR</t>
  </si>
  <si>
    <t>0000_0001010_000000</t>
  </si>
  <si>
    <t>5</t>
  </si>
  <si>
    <t>NEG</t>
  </si>
  <si>
    <t>0000_0001011_000000</t>
  </si>
  <si>
    <t>6</t>
  </si>
  <si>
    <t>XOR</t>
  </si>
  <si>
    <t>0000_0001100_000000</t>
  </si>
  <si>
    <t>7</t>
  </si>
  <si>
    <t>COMP</t>
  </si>
  <si>
    <t>IF(OR(F12="LD",F12="LDU",F12="ADD",F12="SUB",F12="AND",F12="OR",F12="XOR"),1,0)</t>
  </si>
  <si>
    <t>Shift/Rotate</t>
  </si>
  <si>
    <t>0000_0010000_000000</t>
  </si>
  <si>
    <t>8</t>
  </si>
  <si>
    <t>LSR</t>
  </si>
  <si>
    <t>Logical Shift Right (shift one bit position only)</t>
  </si>
  <si>
    <t>0000_0010001_000000</t>
  </si>
  <si>
    <t>9</t>
  </si>
  <si>
    <t>ASR</t>
  </si>
  <si>
    <t>Arithmetic Shift Right (shift one bit position only)</t>
  </si>
  <si>
    <t>0000_0010011_000000</t>
  </si>
  <si>
    <t>10</t>
  </si>
  <si>
    <t>LSL</t>
  </si>
  <si>
    <t>Logical Shift Left (shift one bit position only)</t>
  </si>
  <si>
    <t>ASL</t>
  </si>
  <si>
    <t>Arithmetic Shift Left (shift one bit position only)</t>
  </si>
  <si>
    <t>0000_0011001_000000</t>
  </si>
  <si>
    <t>11</t>
  </si>
  <si>
    <t>ROR</t>
  </si>
  <si>
    <t>Rotate Right (by one bit position)</t>
  </si>
  <si>
    <t>0000_0011010_000000</t>
  </si>
  <si>
    <t>12</t>
  </si>
  <si>
    <t>ROL</t>
  </si>
  <si>
    <t>Rotate Left (by one bit position)</t>
  </si>
  <si>
    <t>Load/copy</t>
  </si>
  <si>
    <t>0000_0100000_000000</t>
  </si>
  <si>
    <t>13</t>
  </si>
  <si>
    <t>MOVE</t>
  </si>
  <si>
    <t>(Copy)</t>
  </si>
  <si>
    <t>0000_0100001_000000</t>
  </si>
  <si>
    <t>14</t>
  </si>
  <si>
    <t>LBI</t>
  </si>
  <si>
    <t>Load Base with Index</t>
  </si>
  <si>
    <t>0000_0100010_000000</t>
  </si>
  <si>
    <t>15</t>
  </si>
  <si>
    <t>LDRi</t>
  </si>
  <si>
    <t>Load Register Indirect</t>
  </si>
  <si>
    <t>Rsrc2 contains a pointer to the value to be copied into Rdst</t>
  </si>
  <si>
    <t>NOP</t>
  </si>
  <si>
    <t>XXXX_XXXXXXX_111111</t>
  </si>
  <si>
    <t>0</t>
  </si>
  <si>
    <t>No OPeration</t>
  </si>
  <si>
    <t>Format B Loads</t>
  </si>
  <si>
    <t>b</t>
  </si>
  <si>
    <t>32</t>
  </si>
  <si>
    <t>LD #</t>
  </si>
  <si>
    <t>Load immediate</t>
  </si>
  <si>
    <t>The value in the immediate field is sign extended and placed in the Rdst</t>
  </si>
  <si>
    <t>33</t>
  </si>
  <si>
    <t>LDU #</t>
  </si>
  <si>
    <t>Load unsigned immediate</t>
  </si>
  <si>
    <t>The value in the immediate field is padded with zeros to the left and placed in Rdst</t>
  </si>
  <si>
    <t>Phase 3</t>
  </si>
  <si>
    <t>Jumps</t>
  </si>
  <si>
    <t>0000_1000000_000000</t>
  </si>
  <si>
    <t>16</t>
  </si>
  <si>
    <t>JMP</t>
  </si>
  <si>
    <t>Jump</t>
  </si>
  <si>
    <t>Place the contents of Rsrc1 into the PC</t>
  </si>
  <si>
    <t>0000_1000001_000000</t>
  </si>
  <si>
    <t>17</t>
  </si>
  <si>
    <t>JSR</t>
  </si>
  <si>
    <t>Jump to Subroutine</t>
  </si>
  <si>
    <t>Address of subroutine in Register Rsrc1, store return address in LINK register, which is always R30.</t>
  </si>
  <si>
    <t>0000_1000011_000000</t>
  </si>
  <si>
    <t>18</t>
  </si>
  <si>
    <t>RTS</t>
  </si>
  <si>
    <t>Return from Subroutine</t>
  </si>
  <si>
    <t>Rsrc1 contains the register number for the link register (R30).</t>
  </si>
  <si>
    <t>000001</t>
  </si>
  <si>
    <t>34</t>
  </si>
  <si>
    <t>ADD #</t>
  </si>
  <si>
    <t>Add immediate</t>
  </si>
  <si>
    <t>The immediate value is sign extended and added to the contents of Rsrc.  The result is stored in Rdst</t>
  </si>
  <si>
    <t>000100</t>
  </si>
  <si>
    <t>35</t>
  </si>
  <si>
    <t>SUB #</t>
  </si>
  <si>
    <t>Subtract immediate</t>
  </si>
  <si>
    <t>The immediate value is sign extended and subtracted from the contents of Rsrc.  The result is stored in Rdst</t>
  </si>
  <si>
    <t>001000</t>
  </si>
  <si>
    <t>36</t>
  </si>
  <si>
    <t>AND #</t>
  </si>
  <si>
    <t>The immediate value is padded with zeros on the left and ANDed with the contents of Rsrc.  The result is place in Rdst</t>
  </si>
  <si>
    <t>001001</t>
  </si>
  <si>
    <t>37</t>
  </si>
  <si>
    <t>OR #</t>
  </si>
  <si>
    <t>001011</t>
  </si>
  <si>
    <t>38</t>
  </si>
  <si>
    <t>XOR #</t>
  </si>
  <si>
    <t>Conditional Branches</t>
  </si>
  <si>
    <t>001100</t>
  </si>
  <si>
    <t>39</t>
  </si>
  <si>
    <t>BEQ</t>
  </si>
  <si>
    <t>Branch if EQual</t>
  </si>
  <si>
    <t>If the contents of the two registers are equal, add the 2's complement immediate value to the PC</t>
  </si>
  <si>
    <t>001010</t>
  </si>
  <si>
    <t>40</t>
  </si>
  <si>
    <t>BNE</t>
  </si>
  <si>
    <t>Branch if Not Equal</t>
  </si>
  <si>
    <t>001111</t>
  </si>
  <si>
    <t>41</t>
  </si>
  <si>
    <t>BLT</t>
  </si>
  <si>
    <t>Branch if Less Than</t>
  </si>
  <si>
    <t>If the unsigned contents of Rsrc are less than the contents of Rdst, add the 2's complement immediate value to the PC</t>
  </si>
  <si>
    <t>Load/Stores</t>
  </si>
  <si>
    <t>100000</t>
  </si>
  <si>
    <t>42</t>
  </si>
  <si>
    <t>LDA</t>
  </si>
  <si>
    <t>Load Absolute</t>
  </si>
  <si>
    <t>The immediate value is zero-filled to the left and used as an address. Rdst is then loaded from this address. This requires the adder in Figure 5.10 to be able to just pass the immediate value through (without adding to the PC), which requires an additional control line that is not implied by Figure 5.10</t>
  </si>
  <si>
    <t>010000</t>
  </si>
  <si>
    <t>43</t>
  </si>
  <si>
    <t>STA</t>
  </si>
  <si>
    <t>STore Absolute</t>
  </si>
  <si>
    <t>The immediate value is zero-filled to the left and used as an address. Rdst (yes, Rdst!) is then stored to this address. Requires modifications similar to the LDA instruction</t>
  </si>
  <si>
    <t>100001</t>
  </si>
  <si>
    <t>44</t>
  </si>
  <si>
    <t>LDIX</t>
  </si>
  <si>
    <t>LoaD IndeXed</t>
  </si>
  <si>
    <t>The unsigned immediate value is added to the contents of Rsrc to obtain the EA. Rdst is then loaded from the memory location EA</t>
  </si>
  <si>
    <t>010001</t>
  </si>
  <si>
    <t>45</t>
  </si>
  <si>
    <t>STIX</t>
  </si>
  <si>
    <t>STore IndeXed</t>
  </si>
  <si>
    <t>The unsigned immediate value is added to the contents of Rsrc to obtain the EA. Rdst is then stored to the memory location EA</t>
  </si>
  <si>
    <t>Unconditional Branches</t>
  </si>
  <si>
    <t>c</t>
  </si>
  <si>
    <t>110000</t>
  </si>
  <si>
    <t>64</t>
  </si>
  <si>
    <t>BRA</t>
  </si>
  <si>
    <t>Branch</t>
  </si>
  <si>
    <t>Add the 2's complement immediate value to the PC.  (wider address range than Bxx, probably more than we'll actually be able to test)</t>
  </si>
  <si>
    <t>110001</t>
  </si>
  <si>
    <t>65</t>
  </si>
  <si>
    <t>BSR</t>
  </si>
  <si>
    <t>Branch to SubRoutine</t>
  </si>
  <si>
    <t>Add the 2's complement immediate value to the PC and store return address in the LINK register, which is always R30.</t>
  </si>
  <si>
    <t>Kyle's Compiler Key</t>
  </si>
  <si>
    <t>Format A ===</t>
  </si>
  <si>
    <t>OPName</t>
  </si>
  <si>
    <t>Rdestination</t>
  </si>
  <si>
    <t>Rsource1</t>
  </si>
  <si>
    <t>Rsource2</t>
  </si>
  <si>
    <t>Format B ===</t>
  </si>
  <si>
    <t>ImmediateValue</t>
  </si>
  <si>
    <t>Format C ===</t>
  </si>
  <si>
    <t>HEX Contents Of The Register File</t>
  </si>
  <si>
    <t>Conventionally RSRC1</t>
  </si>
  <si>
    <t>Conventionally RSRC2</t>
  </si>
  <si>
    <t>Conventionally RDST</t>
  </si>
  <si>
    <t>OP</t>
  </si>
  <si>
    <t>RTL Instruction</t>
  </si>
  <si>
    <t>Comments</t>
  </si>
  <si>
    <t>Compiler  Format</t>
  </si>
  <si>
    <t>MIF Instruction</t>
  </si>
  <si>
    <t>Instruction Format</t>
  </si>
  <si>
    <t>DEC Rdst</t>
  </si>
  <si>
    <t>DEC Src1</t>
  </si>
  <si>
    <t>DEC Src2</t>
  </si>
  <si>
    <t>DEC Immediate</t>
  </si>
  <si>
    <t>HEX Immediate</t>
  </si>
  <si>
    <t>PC</t>
  </si>
  <si>
    <t>Flags</t>
  </si>
  <si>
    <t>R[0]</t>
  </si>
  <si>
    <t>R[1]</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</si>
  <si>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</si>
  <si>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</si>
  <si>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</si>
  <si>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</si>
  <si>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</si>
  <si>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</si>
  <si>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</si>
  <si>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</si>
  <si>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</si>
  <si>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</si>
  <si>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</si>
  <si>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</si>
  <si>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</si>
  <si>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</si>
  <si>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</si>
  <si>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</si>
  <si>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</si>
  <si>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</si>
  <si>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</si>
  <si>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</si>
  <si>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</si>
  <si>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</si>
  <si>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</si>
  <si>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</si>
  <si>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</si>
  <si>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</si>
  <si>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</si>
  <si>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</si>
  <si>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</si>
  <si>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</si>
  <si>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</si>
  <si>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t>
  </si>
  <si>
    <t>Validate No Operation</t>
  </si>
  <si>
    <t>A</t>
  </si>
  <si>
    <t>JSR, RTS</t>
  </si>
  <si>
    <t>BEQ/BLT/BNE</t>
  </si>
  <si>
    <t>Will Be Very Similar, But Need To Be In 3 Separate Sheets</t>
  </si>
  <si>
    <t>REGISTER FILE</t>
  </si>
  <si>
    <t>REGISTER FILE (0-&gt;31)</t>
  </si>
  <si>
    <t>MIF</t>
  </si>
  <si>
    <t>MEMORY</t>
  </si>
  <si>
    <t>ROM(0-&gt;63)</t>
  </si>
  <si>
    <t>RAM(64-&gt;127)</t>
  </si>
  <si>
    <t>MEM_ERROR(EA&gt;127)</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</si>
  <si>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</si>
  <si>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</si>
  <si>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</si>
  <si>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</si>
  <si>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</si>
  <si>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</si>
  <si>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</si>
  <si>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</si>
  <si>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</si>
  <si>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</si>
  <si>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</si>
  <si>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</si>
  <si>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</si>
  <si>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</si>
  <si>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</si>
  <si>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</si>
  <si>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</si>
  <si>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</si>
  <si>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</si>
  <si>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</si>
  <si>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</si>
  <si>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</si>
  <si>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</si>
  <si>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</si>
  <si>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</si>
  <si>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</si>
  <si>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</si>
  <si>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</si>
  <si>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</si>
  <si>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</si>
  <si>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</si>
  <si>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</si>
  <si>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</si>
  <si>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</si>
  <si>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</si>
  <si>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</si>
  <si>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</si>
  <si>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</si>
  <si>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</si>
  <si>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</si>
  <si>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</si>
  <si>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</si>
  <si>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</si>
  <si>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</si>
  <si>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</si>
  <si>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</si>
  <si>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</si>
  <si>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</si>
  <si>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</si>
  <si>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</si>
  <si>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</si>
  <si>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</si>
  <si>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</si>
  <si>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</si>
  <si>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</si>
  <si>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</si>
  <si>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</si>
  <si>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</si>
  <si>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</si>
  <si>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</si>
  <si>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</si>
  <si>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</si>
  <si>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</si>
  <si>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</si>
  <si>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</si>
  <si>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</si>
  <si>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</si>
  <si>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</si>
  <si>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R[101]</t>
  </si>
  <si>
    <t>R[102]</t>
  </si>
  <si>
    <t>R[103]</t>
  </si>
  <si>
    <t>R[104]</t>
  </si>
  <si>
    <t>R[105]</t>
  </si>
  <si>
    <t>R[106]</t>
  </si>
  <si>
    <t>R[107]</t>
  </si>
  <si>
    <t>R[108]</t>
  </si>
  <si>
    <t>R[109]</t>
  </si>
  <si>
    <t>R[110]</t>
  </si>
  <si>
    <t>R[111]</t>
  </si>
  <si>
    <t>R[112]</t>
  </si>
  <si>
    <t>R[113]</t>
  </si>
  <si>
    <t>R[114]</t>
  </si>
  <si>
    <t>R[115]</t>
  </si>
  <si>
    <t>R[116]</t>
  </si>
  <si>
    <t>R[117]</t>
  </si>
  <si>
    <t>R[118]</t>
  </si>
  <si>
    <t>R[119]</t>
  </si>
  <si>
    <t>R[120]</t>
  </si>
  <si>
    <t>R[121]</t>
  </si>
  <si>
    <t>R[122]</t>
  </si>
  <si>
    <t>R[123]</t>
  </si>
  <si>
    <t>R[124]</t>
  </si>
  <si>
    <t>R[125]</t>
  </si>
  <si>
    <t>R[126]</t>
  </si>
  <si>
    <t>R[127]</t>
  </si>
  <si>
    <t>Test Set Format</t>
  </si>
  <si>
    <t>KEY, Edit Minamally</t>
  </si>
  <si>
    <t>Jordan D. Ulmer &amp;&amp; Patrick J. Schroeder</t>
  </si>
  <si>
    <t>Processor Validation Spreadsheet</t>
  </si>
  <si>
    <t>Max IMMEDIATE</t>
  </si>
  <si>
    <t>FA2014 (11/23/2014)</t>
  </si>
  <si>
    <t>Validate LDU#</t>
  </si>
  <si>
    <t>B</t>
  </si>
  <si>
    <t>LDU</t>
  </si>
  <si>
    <t>Validate ADD Without An Overflow -- 16 Bit Immdiate Values Will Not Produce Overflow</t>
  </si>
  <si>
    <t>Validate LD#</t>
  </si>
  <si>
    <t>LD</t>
  </si>
  <si>
    <t>Validate SUB  (Zero Flag)</t>
  </si>
  <si>
    <t>ZERO_FLAG</t>
  </si>
  <si>
    <t>Validate Twos Complement Negation (Negative Flag)</t>
  </si>
  <si>
    <t>NEGATIVE_FLAG</t>
  </si>
  <si>
    <t>Validate Bitwise AnD</t>
  </si>
  <si>
    <t>Validate Bitwise OR</t>
  </si>
  <si>
    <t>Validate Bitwise XOR</t>
  </si>
  <si>
    <t>Validate Bitwise One's Complement -- Twos Comp Minus One</t>
  </si>
  <si>
    <t>Validate Logical Shift Left One Bit</t>
  </si>
  <si>
    <t>Validate Logical Shift Right One Bit</t>
  </si>
  <si>
    <t>Validate Arithmetical Shift Left One Bit</t>
  </si>
  <si>
    <t>Validate Arithmetical Shift Right One Bit</t>
  </si>
  <si>
    <t>Validate Rotate With Carry Left One Bit</t>
  </si>
  <si>
    <t>Validate Rotate With Carry Right One Bit</t>
  </si>
  <si>
    <t>CARRY_FLAG</t>
  </si>
  <si>
    <t>Validate ADD Immediate Without An Overflow -- 16 Bit Immdiate Values Will Not Produce Overflow</t>
  </si>
  <si>
    <t>Validate Store Absolute</t>
  </si>
  <si>
    <t>Validate Load Absolute</t>
  </si>
  <si>
    <t>Validate Store Indexed</t>
  </si>
  <si>
    <t>Validate Load Indexed</t>
  </si>
  <si>
    <t>Validate Move/Copy</t>
  </si>
  <si>
    <t>Validate Load Base With Index</t>
  </si>
  <si>
    <t>Validate Load Register Indirect</t>
  </si>
  <si>
    <t>Validate Jump PC to RSRC1</t>
  </si>
  <si>
    <t>Validate Jump PC to Subroutine</t>
  </si>
  <si>
    <t>Validate Return From Subroutine</t>
  </si>
  <si>
    <t>Validate Branch if Equal To</t>
  </si>
  <si>
    <t>Validate Branch if NOT Equal To</t>
  </si>
  <si>
    <t>Validate Branch if Less Than</t>
  </si>
  <si>
    <t>C</t>
  </si>
  <si>
    <t>ImmediateLogic.mif</t>
  </si>
  <si>
    <t>Instruction</t>
  </si>
  <si>
    <t>MEM_Data_Out [11]</t>
  </si>
  <si>
    <t>IR_Out [2]</t>
  </si>
  <si>
    <t>Immediate_Out [18]</t>
  </si>
  <si>
    <t>RA_Out [5]</t>
  </si>
  <si>
    <t>RB_Out [6]</t>
  </si>
  <si>
    <t>RZ_Out [7]</t>
  </si>
  <si>
    <t>RY_Out [9]</t>
  </si>
  <si>
    <t>CCF (N,Z,V,C) [3]</t>
  </si>
  <si>
    <t>RTL</t>
  </si>
  <si>
    <t>Hex Value</t>
  </si>
  <si>
    <t>Expected Value</t>
  </si>
  <si>
    <t>Stage</t>
  </si>
  <si>
    <t>HEX Value</t>
  </si>
  <si>
    <t>B LDU R1,R0,1</t>
  </si>
  <si>
    <t>R[1] &lt;= 1</t>
  </si>
  <si>
    <t>00400063</t>
  </si>
  <si>
    <t>00 40 0063</t>
  </si>
  <si>
    <t>00 00 0001</t>
  </si>
  <si>
    <t>00 00 0000</t>
  </si>
  <si>
    <t>B ADD R3,R1,4</t>
  </si>
  <si>
    <t>R[3] &lt;= R[1] + 4</t>
  </si>
  <si>
    <t>08C00101</t>
  </si>
  <si>
    <t>08 C0 0101</t>
  </si>
  <si>
    <t>00 00 0004</t>
  </si>
  <si>
    <t>00 00 0005</t>
  </si>
  <si>
    <t>B LD R1,R0,-3</t>
  </si>
  <si>
    <t>R[1] &lt;= -3</t>
  </si>
  <si>
    <t>007FFF62</t>
  </si>
  <si>
    <t>00 7F FF62</t>
  </si>
  <si>
    <t>FF FF FFFd</t>
  </si>
  <si>
    <t>-3</t>
  </si>
  <si>
    <t>B SUB R3,R1,-3</t>
  </si>
  <si>
    <t>R[3] &lt;= R[1] - (-3)</t>
  </si>
  <si>
    <t>08FFFF44</t>
  </si>
  <si>
    <t>08 FF FF44</t>
  </si>
  <si>
    <t>B LDU R1,R0,15</t>
  </si>
  <si>
    <t>R[1] &lt;= 15</t>
  </si>
  <si>
    <t>004003E3</t>
  </si>
  <si>
    <t>00 40 03E3</t>
  </si>
  <si>
    <t>00 00 000F</t>
  </si>
  <si>
    <t>B AND R3,R1,45</t>
  </si>
  <si>
    <t>R[3] &lt;= R[1] &amp; 45</t>
  </si>
  <si>
    <t>08C00B48</t>
  </si>
  <si>
    <t>08 C0 0648</t>
  </si>
  <si>
    <t>00 00 002d</t>
  </si>
  <si>
    <t>D</t>
  </si>
  <si>
    <t>d</t>
  </si>
  <si>
    <t>00 1111 &amp; 10 1101 = 11 1100</t>
  </si>
  <si>
    <t>B LDU R1,R0,9</t>
  </si>
  <si>
    <t>R[1] &lt;= 9</t>
  </si>
  <si>
    <t>00400263</t>
  </si>
  <si>
    <t>00 40 0263</t>
  </si>
  <si>
    <t>00 00 0009</t>
  </si>
  <si>
    <t>B OR R3,R1,3</t>
  </si>
  <si>
    <t>R[3] &lt;= R[1] | 3</t>
  </si>
  <si>
    <t>08C000C9</t>
  </si>
  <si>
    <t>08 C0 00C9</t>
  </si>
  <si>
    <t>00 00 0003</t>
  </si>
  <si>
    <t>00 1001 | 00 0011 = 00 1100</t>
  </si>
  <si>
    <t>B LDU R1,R0,2</t>
  </si>
  <si>
    <t>R[1] &lt;= 2</t>
  </si>
  <si>
    <t>004000A3</t>
  </si>
  <si>
    <t>00 40 00A3</t>
  </si>
  <si>
    <t>00 00 0002</t>
  </si>
  <si>
    <t>B XOR R3,R1,12</t>
  </si>
  <si>
    <t>R[3] &lt;= XOR(R[1],12)</t>
  </si>
  <si>
    <t>08C0030B</t>
  </si>
  <si>
    <t>08 C0 030b</t>
  </si>
  <si>
    <t>00 00 000C</t>
  </si>
  <si>
    <t>00 00 000E</t>
  </si>
  <si>
    <t>E</t>
  </si>
  <si>
    <t>FF F5 FFFF</t>
  </si>
  <si>
    <t>dF 61 bFCF</t>
  </si>
  <si>
    <t>R[3] &lt;= R[1] - -3</t>
  </si>
  <si>
    <t>dd 25 9FCF</t>
  </si>
  <si>
    <t>Dd 61 9FCF</t>
  </si>
  <si>
    <t>Dd 21 9FCF</t>
  </si>
  <si>
    <t>Dd 61 dFCF</t>
  </si>
  <si>
    <t>DF 61 9FCF</t>
  </si>
  <si>
    <t>Validate Kyle's Compiler</t>
  </si>
  <si>
    <t>Rsrc1</t>
  </si>
  <si>
    <t>Rdst</t>
  </si>
  <si>
    <t>Immediate</t>
  </si>
  <si>
    <t>00000_00001_0000000000001001_100011</t>
  </si>
  <si>
    <t>00001_00011_0000000000101101_001000</t>
  </si>
  <si>
    <t>Jumping.mif</t>
  </si>
  <si>
    <t>Compiler</t>
  </si>
  <si>
    <t>B ADD R2,R2,1</t>
  </si>
  <si>
    <t>R[2] &lt;= R[2] + 1</t>
  </si>
  <si>
    <t>10800041</t>
  </si>
  <si>
    <t>A JMP R1,R1,R0</t>
  </si>
  <si>
    <t>PC &lt;= R[1]</t>
  </si>
  <si>
    <t>08021000</t>
  </si>
  <si>
    <t>```</t>
  </si>
  <si>
    <t>Subroutines.mif</t>
  </si>
  <si>
    <t>B LDU R1,R0,25</t>
  </si>
  <si>
    <t>R[1] &lt;= 25</t>
  </si>
  <si>
    <t>00400663</t>
  </si>
  <si>
    <t>00 40 0663</t>
  </si>
  <si>
    <t>00 00 0019</t>
  </si>
  <si>
    <t>00 00 001d</t>
  </si>
  <si>
    <t>25</t>
  </si>
  <si>
    <t>B ADD R1,R3,4</t>
  </si>
  <si>
    <t>00 00 001E</t>
  </si>
  <si>
    <t>A JSR R30,R1,R0</t>
  </si>
  <si>
    <t>083C1040</t>
  </si>
  <si>
    <t>08 3C 1040</t>
  </si>
  <si>
    <t>00 00 001F</t>
  </si>
  <si>
    <t>26</t>
  </si>
  <si>
    <t>B ADD R3,R3,1</t>
  </si>
  <si>
    <t>R[3] &lt;= R[3] + 1</t>
  </si>
  <si>
    <t>18C00041</t>
  </si>
  <si>
    <t>18 C0 0041</t>
  </si>
  <si>
    <t>00 00 0020</t>
  </si>
  <si>
    <t>A RTS R1,R30,R0</t>
  </si>
  <si>
    <t>F00210C0</t>
  </si>
  <si>
    <t>00 00 0021</t>
  </si>
  <si>
    <t>F0 02 10C0</t>
  </si>
  <si>
    <t>27</t>
  </si>
  <si>
    <t>3-25</t>
  </si>
  <si>
    <t>JumpToSubroutine.mif</t>
  </si>
  <si>
    <t>B LDU R1,R0,32</t>
  </si>
  <si>
    <t>R[1] &lt;= 32</t>
  </si>
  <si>
    <t>00400823</t>
  </si>
  <si>
    <t>00 40 0823</t>
  </si>
  <si>
    <t>20</t>
  </si>
  <si>
    <t>08 02 1000</t>
  </si>
  <si>
    <t>00 00 0840</t>
  </si>
  <si>
    <t>B ADD R3,R1,1</t>
  </si>
  <si>
    <t>R[3] &lt;= R[1] + 1</t>
  </si>
  <si>
    <t>08C00041</t>
  </si>
  <si>
    <t>FF FF F041</t>
  </si>
  <si>
    <t>08 C0 0041</t>
  </si>
  <si>
    <t>MemoryOps.mif</t>
  </si>
  <si>
    <t>Should Only Branch On Yellow</t>
  </si>
  <si>
    <t>BRANCHES NOT WORKING!!!</t>
  </si>
  <si>
    <t>Branches.mif</t>
  </si>
  <si>
    <t>Each set buffered by NOP, NOPs should NOT Be executed</t>
  </si>
  <si>
    <t>MEMORY ADDRESS</t>
  </si>
  <si>
    <t>Psudocode1</t>
  </si>
  <si>
    <t>C BRA 1</t>
  </si>
  <si>
    <t>PC&lt;=PC+ 1</t>
  </si>
  <si>
    <t>00000070</t>
  </si>
  <si>
    <t>A NOP R0,R0,R0</t>
  </si>
  <si>
    <t>0000003F</t>
  </si>
  <si>
    <t>PC DOES NOT INCREMENT ON FIRST INSTRUCTION BUT BRA WORKS…</t>
  </si>
  <si>
    <t>C BSR 1</t>
  </si>
  <si>
    <t>PC&lt;= PC+1
R[30] &lt;= [PC] //R[30]=LINK</t>
  </si>
  <si>
    <t>00000071</t>
  </si>
  <si>
    <t>00400062</t>
  </si>
  <si>
    <t>008000A2</t>
  </si>
  <si>
    <t>008000A3</t>
  </si>
  <si>
    <t>1040004C</t>
  </si>
  <si>
    <t>004000A2</t>
  </si>
  <si>
    <t>0880004C</t>
  </si>
  <si>
    <t>004000E2</t>
  </si>
  <si>
    <t>?</t>
  </si>
  <si>
    <t>004000E3</t>
  </si>
  <si>
    <t>008000E2</t>
  </si>
  <si>
    <t>008000E3</t>
  </si>
  <si>
    <t>1040004A</t>
  </si>
  <si>
    <t>0880004A</t>
  </si>
  <si>
    <t>BNE Maybe Broke</t>
  </si>
  <si>
    <t>00400122</t>
  </si>
  <si>
    <t>00400123</t>
  </si>
  <si>
    <t>00400162</t>
  </si>
  <si>
    <t>00800122</t>
  </si>
  <si>
    <t>107FFB4F</t>
  </si>
  <si>
    <t>19</t>
  </si>
  <si>
    <t>00400163</t>
  </si>
  <si>
    <t>00800123</t>
  </si>
  <si>
    <t>08BFFB4F</t>
  </si>
  <si>
    <t>107FFACF</t>
  </si>
  <si>
    <t>65536</t>
  </si>
  <si>
    <t>08BFFACF</t>
  </si>
  <si>
    <t>PC Wdoesn't jump backwards…</t>
  </si>
  <si>
    <t>21</t>
  </si>
  <si>
    <t>22</t>
  </si>
  <si>
    <t>23</t>
  </si>
  <si>
    <t>24</t>
  </si>
  <si>
    <t>28</t>
  </si>
  <si>
    <t>29</t>
  </si>
  <si>
    <t>30</t>
  </si>
  <si>
    <t>31</t>
  </si>
  <si>
    <t>MIF  Addresses To Branch To</t>
  </si>
  <si>
    <t>UID</t>
  </si>
  <si>
    <t>MEM Address</t>
  </si>
  <si>
    <t>Validating In Section</t>
  </si>
  <si>
    <t>alpha</t>
  </si>
  <si>
    <t>Choose Register File (R[1]=RA)</t>
  </si>
  <si>
    <t>Choose Register File (R[2]=RB)</t>
  </si>
  <si>
    <t>LoadStore.mif</t>
  </si>
  <si>
    <t>RF [38]</t>
  </si>
  <si>
    <t>IR_Out [32]</t>
  </si>
  <si>
    <t>Immediate_Out [33]</t>
  </si>
  <si>
    <t>RA_Out [34]</t>
  </si>
  <si>
    <t>MuxB_Out [35]</t>
  </si>
  <si>
    <t>RZ_Out [36]</t>
  </si>
  <si>
    <t>RY_Out [37]</t>
  </si>
  <si>
    <t>R1</t>
  </si>
  <si>
    <t>R2</t>
  </si>
  <si>
    <t>R3</t>
  </si>
  <si>
    <t>RZ_OUT</t>
  </si>
  <si>
    <t>R1,2</t>
  </si>
  <si>
    <t>R[3] &lt;= XOR(R[1] ,12 )</t>
  </si>
  <si>
    <t>R3,R1^12=E</t>
  </si>
  <si>
    <t>B STA R3,R0,120</t>
  </si>
  <si>
    <t>MEM[120] &lt;= R[3]</t>
  </si>
  <si>
    <t>00C01E10</t>
  </si>
  <si>
    <t>M120,R3=E</t>
  </si>
  <si>
    <t>78</t>
  </si>
  <si>
    <t>B LDA R3,R0,120</t>
  </si>
  <si>
    <t>R[1] &lt;= MEM[120]</t>
  </si>
  <si>
    <t>00C01E20</t>
  </si>
  <si>
    <t>R1,M120=E</t>
  </si>
  <si>
    <t>B STIX R3,R1,1</t>
  </si>
  <si>
    <t>08C00051</t>
  </si>
  <si>
    <t>M3,R1+1=R3</t>
  </si>
  <si>
    <t>R1,1</t>
  </si>
  <si>
    <t>B LDIX R1,R1,119</t>
  </si>
  <si>
    <t>08401DE1</t>
  </si>
  <si>
    <t>119</t>
  </si>
  <si>
    <t>R1,R1+119=M120=E</t>
  </si>
  <si>
    <t>B LDU R1,R0,50</t>
  </si>
  <si>
    <t>R[1] &lt;= 50</t>
  </si>
  <si>
    <t>00400CA3</t>
  </si>
  <si>
    <t>50</t>
  </si>
  <si>
    <t>R1,50</t>
  </si>
  <si>
    <t>A MOVE R3,R1,R2</t>
  </si>
  <si>
    <t>R[3] &lt;= R[1]</t>
  </si>
  <si>
    <t>08860800</t>
  </si>
  <si>
    <t>106</t>
  </si>
  <si>
    <t>R3,R1=50</t>
  </si>
  <si>
    <t>B LDU R1,R0,106</t>
  </si>
  <si>
    <t>R[1] &lt;= 106</t>
  </si>
  <si>
    <t>00401AA3</t>
  </si>
  <si>
    <t>2/3</t>
  </si>
  <si>
    <t>6A</t>
  </si>
  <si>
    <t>R1,106</t>
  </si>
  <si>
    <t>B LDU R2,R0,14</t>
  </si>
  <si>
    <t>R[2] &lt;= 14</t>
  </si>
  <si>
    <t>008003A3</t>
  </si>
  <si>
    <t>R2,14</t>
  </si>
  <si>
    <t>A LBI R3,R1,R2</t>
  </si>
  <si>
    <t>08860840</t>
  </si>
  <si>
    <t>R3,M120=E</t>
  </si>
  <si>
    <t>B LDU R2,R0,120</t>
  </si>
  <si>
    <t>R[2] &lt;= 120</t>
  </si>
  <si>
    <t>00801E23</t>
  </si>
  <si>
    <t>120</t>
  </si>
  <si>
    <t>R2,120</t>
  </si>
  <si>
    <t>A LDRi R1,R1,R2</t>
  </si>
  <si>
    <t>08820880</t>
  </si>
  <si>
    <t>R1,M[R2]=M120=E</t>
  </si>
  <si>
    <t>`</t>
  </si>
  <si>
    <t>OO</t>
  </si>
  <si>
    <t>b ldu  r1,  r0,  #22</t>
  </si>
  <si>
    <t>004005A3</t>
  </si>
  <si>
    <t>R1=22</t>
  </si>
  <si>
    <t>01</t>
  </si>
  <si>
    <t>b ldu  r2,  r0,  #26</t>
  </si>
  <si>
    <t>008006A3</t>
  </si>
  <si>
    <t>R2=26</t>
  </si>
  <si>
    <t>02</t>
  </si>
  <si>
    <t>b ldu  r3,  r0,  #30</t>
  </si>
  <si>
    <t>00C007A3</t>
  </si>
  <si>
    <t>R3=30</t>
  </si>
  <si>
    <t>03</t>
  </si>
  <si>
    <t>b ldu  r4,  r0,  #34</t>
  </si>
  <si>
    <t>010008A3</t>
  </si>
  <si>
    <t>R4=34</t>
  </si>
  <si>
    <t>04</t>
  </si>
  <si>
    <t>b ldu  r5,  r0,  #35</t>
  </si>
  <si>
    <t>R5=35</t>
  </si>
  <si>
    <t>05</t>
  </si>
  <si>
    <t>b ldu  r10, r0,  #37</t>
  </si>
  <si>
    <t>02800963</t>
  </si>
  <si>
    <t>06</t>
  </si>
  <si>
    <t>b ldu  r15, r0,  #38</t>
  </si>
  <si>
    <t>03C009A3</t>
  </si>
  <si>
    <t>07</t>
  </si>
  <si>
    <t>b ldu  r16, r0,  #39</t>
  </si>
  <si>
    <t>08</t>
  </si>
  <si>
    <t>B ldu  r19, r0,  #30</t>
  </si>
  <si>
    <t>04C007A3</t>
  </si>
  <si>
    <t>09</t>
  </si>
  <si>
    <t>A ROL  r26, r19, r0</t>
  </si>
  <si>
    <t>0A</t>
  </si>
  <si>
    <t>b ld   r20, r0,  #43981</t>
  </si>
  <si>
    <t>052AF362</t>
  </si>
  <si>
    <t>0B</t>
  </si>
  <si>
    <t>A rol  r21, r20, r0</t>
  </si>
  <si>
    <t>A02A0680</t>
  </si>
  <si>
    <t>0C</t>
  </si>
  <si>
    <t>a ror  r22, r26, r0</t>
  </si>
  <si>
    <t>D02C0640</t>
  </si>
  <si>
    <t>0D</t>
  </si>
  <si>
    <t>a jsr  r0,  r1,  r0</t>
  </si>
  <si>
    <t>08001040</t>
  </si>
  <si>
    <t>0E</t>
  </si>
  <si>
    <t>a NOP  r0,  r0,  r0</t>
  </si>
  <si>
    <t>0F</t>
  </si>
  <si>
    <t>c BSR  #9</t>
  </si>
  <si>
    <t>00000271</t>
  </si>
  <si>
    <t>b LDIX r11, r0,  #61</t>
  </si>
  <si>
    <t>02C00F61</t>
  </si>
  <si>
    <t>b or   r12, r11, #42400</t>
  </si>
  <si>
    <t>5B296809</t>
  </si>
  <si>
    <t>b and  r13, r11, #42400</t>
  </si>
  <si>
    <t>5B696808</t>
  </si>
  <si>
    <t>b xor  r9,  r20, #4660</t>
  </si>
  <si>
    <t>A2448D0B</t>
  </si>
  <si>
    <t>c bra  #-1</t>
  </si>
  <si>
    <t>FFFFFFF0</t>
  </si>
  <si>
    <t>b add  r25, r19, #30</t>
  </si>
  <si>
    <t>9E400781</t>
  </si>
  <si>
    <t>b sub  r0,  r25, #60</t>
  </si>
  <si>
    <t>C8000F04</t>
  </si>
  <si>
    <t>b sta  r20, r0,  #118</t>
  </si>
  <si>
    <t>05001D90</t>
  </si>
  <si>
    <t>a jmp  r0,  r16, r0</t>
  </si>
  <si>
    <t>b ldix r28, r25, #3</t>
  </si>
  <si>
    <t>CF0000E1</t>
  </si>
  <si>
    <t>a comp r29, r28, r0</t>
  </si>
  <si>
    <t>E03A0300</t>
  </si>
  <si>
    <t>a add  r30, r29, r28</t>
  </si>
  <si>
    <t>EF3C0040</t>
  </si>
  <si>
    <t>b bne  R0,  r28, #8</t>
  </si>
  <si>
    <t>E000020A</t>
  </si>
  <si>
    <t>b beq  r30, r28, #3</t>
  </si>
  <si>
    <t>E78000CC</t>
  </si>
  <si>
    <t>b blt  r30, r28, #5</t>
  </si>
  <si>
    <t>E780014F</t>
  </si>
  <si>
    <t>b bne  r30, r28, #2</t>
  </si>
  <si>
    <t>E780008A</t>
  </si>
  <si>
    <t>a rts  r0,  r0,  r0</t>
  </si>
  <si>
    <t>000010C0</t>
  </si>
  <si>
    <t>a move r30, r0,  r0</t>
  </si>
  <si>
    <t>003C0800</t>
  </si>
  <si>
    <t>c bra  #-7</t>
  </si>
  <si>
    <t>FFFFFE70</t>
  </si>
  <si>
    <t>a move r28, r0,  r0</t>
  </si>
  <si>
    <t>c bra  #-9</t>
  </si>
  <si>
    <t>FFFFFDF0</t>
  </si>
  <si>
    <t>b and  r6,  r20, #63</t>
  </si>
  <si>
    <t>A1800FC8</t>
  </si>
  <si>
    <t>b or   r7,  r6,  #28</t>
  </si>
  <si>
    <t>31C00709</t>
  </si>
  <si>
    <t>b stix r20, r7,  #50</t>
  </si>
  <si>
    <t>3D000C91</t>
  </si>
  <si>
    <t>b ldix r8,  r0,  #118</t>
  </si>
  <si>
    <t>02001DA1</t>
  </si>
  <si>
    <t>b lda  r14, r0,  #79</t>
  </si>
  <si>
    <t>Phase2.mif</t>
  </si>
  <si>
    <t>BIN Src1</t>
  </si>
  <si>
    <t>BIN Src2</t>
  </si>
  <si>
    <t>BIN Rdst</t>
  </si>
  <si>
    <t>Fourney BIN OP Code</t>
  </si>
  <si>
    <t>BIN OP Code</t>
  </si>
  <si>
    <t>BIN Immediate</t>
  </si>
  <si>
    <t>BIN Instruction</t>
  </si>
  <si>
    <t>RY &lt;= 0</t>
  </si>
  <si>
    <t>0000_0000000_111111</t>
  </si>
  <si>
    <t>LD#</t>
  </si>
  <si>
    <t>R[0] &lt;= 0</t>
  </si>
  <si>
    <t>ROM_Out</t>
  </si>
  <si>
    <t>IR_Out</t>
  </si>
  <si>
    <t>Immediate_Out</t>
  </si>
  <si>
    <t>RA</t>
  </si>
  <si>
    <t>Expected RA_Out</t>
  </si>
  <si>
    <t>RB</t>
  </si>
  <si>
    <t>Expected RB_Out</t>
  </si>
  <si>
    <t>RZ_Out</t>
  </si>
  <si>
    <t>Expected RZ_Out</t>
  </si>
  <si>
    <t>RY_Out</t>
  </si>
  <si>
    <t>Expected RY_Out</t>
  </si>
  <si>
    <t>LDU#</t>
  </si>
  <si>
    <t>R[1] &lt;= 32768</t>
  </si>
  <si>
    <t>HEX Instruction</t>
  </si>
  <si>
    <t>BIN Instructions</t>
  </si>
  <si>
    <t>R[2] &lt;= -256</t>
  </si>
  <si>
    <t>0000 0000 0000 0000 0000 0000 0011 1111</t>
  </si>
  <si>
    <t>R[2] &lt;=  - R[2]</t>
  </si>
  <si>
    <t>0000 0000 0000 0000 0000 0000 0010 0010</t>
  </si>
  <si>
    <t>R[3] &lt;= R[1] + R[2]</t>
  </si>
  <si>
    <t>0000 0000 0110 0000 0000 0000 0010 0011</t>
  </si>
  <si>
    <t>00 00 8000</t>
  </si>
  <si>
    <t>R[4] &lt;= R[3] - R[2]</t>
  </si>
  <si>
    <t>00BFC022</t>
  </si>
  <si>
    <t>0000 0000 1011 1111 1100 0000 0010 0010</t>
  </si>
  <si>
    <t>FF FF FF00</t>
  </si>
  <si>
    <t>R[5] &lt;= R[1] &amp; R[2]</t>
  </si>
  <si>
    <t>0001 0000 0000 0100 0000 0010 1000 0000</t>
  </si>
  <si>
    <t>00 00 100A</t>
  </si>
  <si>
    <t>R[6] &lt;= R[1] | R[2]</t>
  </si>
  <si>
    <t>0000 1000 1000 0110 0000 0000 0100 0000</t>
  </si>
  <si>
    <t>00 00 1801</t>
  </si>
  <si>
    <t>00 00 0100</t>
  </si>
  <si>
    <t>R[7] &lt;= R[1] ^ R[2]</t>
  </si>
  <si>
    <t>0001 1000 1000 1000 0000 0001 0000 0000</t>
  </si>
  <si>
    <t>00 00 2004</t>
  </si>
  <si>
    <t>00 00 7F00</t>
  </si>
  <si>
    <t>00 00 8100</t>
  </si>
  <si>
    <t>R[8] &lt;= ~R[2]</t>
  </si>
  <si>
    <t>088A0200</t>
  </si>
  <si>
    <t>0000 1000 1000 1010 0000 0010 0000 0000</t>
  </si>
  <si>
    <t>00 00 2808</t>
  </si>
  <si>
    <t>R[9] &lt;= R[2] &gt;&gt; 1 ; CARRY_FLAG &lt;= R[2]{0}</t>
  </si>
  <si>
    <t>088C0240</t>
  </si>
  <si>
    <t>0000 1000 1000 1100 0000 0010 0100 0000</t>
  </si>
  <si>
    <t>00 00 3009</t>
  </si>
  <si>
    <t>R[10] &lt;= R[3] &gt;&gt;&gt; 1</t>
  </si>
  <si>
    <t>088E02C0</t>
  </si>
  <si>
    <t>0000 1000 1000 1110 0000 0010 1100 0000</t>
  </si>
  <si>
    <t>00 00 3806</t>
  </si>
  <si>
    <t>LSL_ASL</t>
  </si>
  <si>
    <t>R[11] &lt;= R[4] &lt;&lt; 1 ; CARRY_FLAG &lt;= R[4]{31}</t>
  </si>
  <si>
    <t>0001 0000 0001 0000 0000 0011 0000 0000</t>
  </si>
  <si>
    <t>00 00 400C</t>
  </si>
  <si>
    <t>FF FF 7F00</t>
  </si>
  <si>
    <t>R[12] &lt;= {CARRY_FLAG,R[5]{31:1}} ; CARRY_FLAG &lt;= R[5]{0}</t>
  </si>
  <si>
    <t>0001 0000 0001 0010 0000 0100 0000 0000</t>
  </si>
  <si>
    <t>00 00 4810</t>
  </si>
  <si>
    <t>00 00 00FF</t>
  </si>
  <si>
    <t>FF FF FFFF</t>
  </si>
  <si>
    <t>R[13] &lt;= {R[6]{31:1},CARRY_FLAG} ; CARRY_FLAG &lt;= R[6]{31}</t>
  </si>
  <si>
    <t>0001 1000 0001 0100 0000 0100 0100 0000</t>
  </si>
  <si>
    <t>00 00 5011</t>
  </si>
  <si>
    <t>7F FF FF80</t>
  </si>
  <si>
    <t>00 00 0080</t>
  </si>
  <si>
    <t>201604C0</t>
  </si>
  <si>
    <t>0010 0000 0001 0110 0000 0100 1100 0000</t>
  </si>
  <si>
    <t>00 00 5813</t>
  </si>
  <si>
    <t>00 00 4080</t>
  </si>
  <si>
    <t>HEX Src1</t>
  </si>
  <si>
    <t>HEX Src2</t>
  </si>
  <si>
    <t>HEX Rdst</t>
  </si>
  <si>
    <t>HEX OP Code</t>
  </si>
  <si>
    <t>0010 1000 0001 1000 0000 0110 0100 0000</t>
  </si>
  <si>
    <t>F</t>
  </si>
  <si>
    <t>00 00 6019</t>
  </si>
  <si>
    <t>00 01 0000</t>
  </si>
  <si>
    <t>3F</t>
  </si>
  <si>
    <t>301A0680</t>
  </si>
  <si>
    <t>0011 0000 0001 1010 0000 0110 1000 0000</t>
  </si>
  <si>
    <t>00 00 681A</t>
  </si>
  <si>
    <t>00 01 0200</t>
  </si>
  <si>
    <t>FF00</t>
  </si>
  <si>
    <t>2C0</t>
  </si>
  <si>
    <t>4C0</t>
  </si>
  <si>
    <t>0000_0000_0000_0000</t>
  </si>
  <si>
    <t>1000_0000_0000_0000</t>
  </si>
  <si>
    <t>1111_1111_0000_0000</t>
  </si>
  <si>
    <t>0000_0001_0000_0000</t>
  </si>
  <si>
    <t>0000_0000_0000_0000_0000_0001_0000_0000</t>
  </si>
  <si>
    <t>0000_0000_0000_0000_0000_0000_1000_0000</t>
  </si>
  <si>
    <t>0000_0000_0000_0000_1000_0001_0000_0000</t>
  </si>
  <si>
    <t>0000_0000_0000_0000_0100_0000_1000_0000</t>
  </si>
  <si>
    <t>0000_0000_0000_0000_1000_0000_0000_0000</t>
  </si>
  <si>
    <t>0000_0000_0000_0001_0000_0000_0000_0000</t>
  </si>
  <si>
    <t>ROLwC=0</t>
  </si>
  <si>
    <t>0000_0000_0000_0001_0000_0010_0000_0000</t>
  </si>
  <si>
    <t>ROLwC=1</t>
  </si>
  <si>
    <t>0000_0000_0000_0001_0000_0010_0000_0001</t>
  </si>
  <si>
    <t>0000_0000_0000_0000_000_0000_0000_0000</t>
  </si>
  <si>
    <t>RORwC=1</t>
  </si>
  <si>
    <t>1000_0000_0000_0000_000_0000_0000_0000</t>
  </si>
  <si>
    <t>004003A3</t>
  </si>
  <si>
    <t>04C007E3</t>
  </si>
  <si>
    <t>98340680</t>
  </si>
  <si>
    <t>9E400741</t>
  </si>
  <si>
    <t>98001000</t>
  </si>
  <si>
    <t>EF360040</t>
  </si>
  <si>
    <t>E6C000CC</t>
  </si>
  <si>
    <t>E6C0008A</t>
  </si>
  <si>
    <t>F00010C0</t>
  </si>
  <si>
    <t>00360800</t>
  </si>
  <si>
    <t>00380800</t>
  </si>
  <si>
    <t>038013E0</t>
  </si>
  <si>
    <t>Hex Code</t>
  </si>
  <si>
    <t>Line #</t>
  </si>
  <si>
    <t>Hex Line</t>
  </si>
  <si>
    <t>Instuction</t>
  </si>
  <si>
    <t>Destination</t>
  </si>
  <si>
    <t>Source 1</t>
  </si>
  <si>
    <t>Source 2/ Immediate Value</t>
  </si>
  <si>
    <t>R0</t>
  </si>
  <si>
    <t>#14</t>
  </si>
  <si>
    <t>R19</t>
  </si>
  <si>
    <t>#31</t>
  </si>
  <si>
    <t>R26</t>
  </si>
  <si>
    <t>R20</t>
  </si>
  <si>
    <t>#43981</t>
  </si>
  <si>
    <t>R21</t>
  </si>
  <si>
    <t>R22</t>
  </si>
  <si>
    <t>#9</t>
  </si>
  <si>
    <t>R11</t>
  </si>
  <si>
    <t>#61</t>
  </si>
  <si>
    <t>R12</t>
  </si>
  <si>
    <t>#42400</t>
  </si>
  <si>
    <t>R13</t>
  </si>
  <si>
    <t>R9</t>
  </si>
  <si>
    <t>#4660</t>
  </si>
  <si>
    <t># -1</t>
  </si>
  <si>
    <t>R25</t>
  </si>
  <si>
    <t>#60</t>
  </si>
  <si>
    <t>#118</t>
  </si>
  <si>
    <t>R28</t>
  </si>
  <si>
    <t>#3</t>
  </si>
  <si>
    <t>R29</t>
  </si>
  <si>
    <t>R27</t>
  </si>
  <si>
    <t>#8</t>
  </si>
  <si>
    <t>#5</t>
  </si>
  <si>
    <t>#2</t>
  </si>
  <si>
    <t>1A</t>
  </si>
  <si>
    <t>1B</t>
  </si>
  <si>
    <t>R30</t>
  </si>
  <si>
    <t>1C</t>
  </si>
  <si>
    <t>1D</t>
  </si>
  <si>
    <t>1E</t>
  </si>
  <si>
    <t>1F</t>
  </si>
  <si>
    <t>R6</t>
  </si>
  <si>
    <t>#63</t>
  </si>
  <si>
    <t>R7</t>
  </si>
  <si>
    <t>#28</t>
  </si>
  <si>
    <t>#50</t>
  </si>
  <si>
    <t>R8</t>
  </si>
  <si>
    <t>LAD</t>
  </si>
  <si>
    <t>R14</t>
  </si>
  <si>
    <t>#79</t>
  </si>
  <si>
    <t>#29</t>
  </si>
  <si>
    <t>Psudocode</t>
  </si>
  <si>
    <t>Expected @ Stage</t>
  </si>
  <si>
    <t>Observed @ Stage</t>
  </si>
  <si>
    <t>"6"</t>
  </si>
  <si>
    <t>R[1]&lt;=14</t>
  </si>
  <si>
    <t>Citation: Nathan Genetzky And Kyle</t>
  </si>
  <si>
    <t>Label</t>
  </si>
  <si>
    <t>goto</t>
  </si>
  <si>
    <t>CCR</t>
  </si>
  <si>
    <t>CCR('b)</t>
  </si>
  <si>
    <t>Z</t>
  </si>
  <si>
    <t>N</t>
  </si>
  <si>
    <t>NC</t>
  </si>
  <si>
    <t>Sub1</t>
  </si>
  <si>
    <t>smwh</t>
  </si>
  <si>
    <t>Rtn-Sub1</t>
  </si>
  <si>
    <t>Sub2</t>
  </si>
  <si>
    <t>always</t>
  </si>
  <si>
    <t>again</t>
  </si>
  <si>
    <t>same</t>
  </si>
  <si>
    <t>ELOOP</t>
  </si>
  <si>
    <t>B LDU  R1,  R0,  #14</t>
  </si>
  <si>
    <t>B LDU  R19, R0,  #31</t>
  </si>
  <si>
    <t>A ROL  R26, R19, R0</t>
  </si>
  <si>
    <t>B LD   R20, R0,  #43981</t>
  </si>
  <si>
    <t>A ROL  R21, R20, R0</t>
  </si>
  <si>
    <t>A ROR  R22, R26, R0</t>
  </si>
  <si>
    <t>A JSR  R0,  R1,  R0</t>
  </si>
  <si>
    <t>A NOP  R0,  R0,  R0</t>
  </si>
  <si>
    <t>C BSR  #9</t>
  </si>
  <si>
    <t>B LDIX R11, R0,  #61</t>
  </si>
  <si>
    <t>B OR   R12, R11, #42400</t>
  </si>
  <si>
    <t>B AND  R13, R11, #42400</t>
  </si>
  <si>
    <t>B XOR  R9,  R20, #4660</t>
  </si>
  <si>
    <t>C BRA  #-1</t>
  </si>
  <si>
    <t>B ADD  R25, R19, #29</t>
  </si>
  <si>
    <t>B SUB  R0,  R25, #60</t>
  </si>
  <si>
    <t>B STA  R20, R0,  #118</t>
  </si>
  <si>
    <t>A JMP  R0,  R19, R0</t>
  </si>
  <si>
    <t>B LDIX R28, R25, #3</t>
  </si>
  <si>
    <t>A COMP R29, R28, R0</t>
  </si>
  <si>
    <t>A ADD  R27, R29, R28</t>
  </si>
  <si>
    <t>B BNE  R0,  R28, #8</t>
  </si>
  <si>
    <t>B BEQ  R27, R28, #3</t>
  </si>
  <si>
    <t>B BLT  R28, R27, #5</t>
  </si>
  <si>
    <t>B BNE  R27, R28, #2</t>
  </si>
  <si>
    <t>A RTS  R0,  R30,  R0</t>
  </si>
  <si>
    <t>A MOVE R27, R0,  R0</t>
  </si>
  <si>
    <t>C BRA  #-7</t>
  </si>
  <si>
    <t>A MOVE R28, R0,  R0</t>
  </si>
  <si>
    <t>C BRA  #-9</t>
  </si>
  <si>
    <t>B AND  R6,  R20, #63</t>
  </si>
  <si>
    <t>B OR   R7,  R6,  #28</t>
  </si>
  <si>
    <t>B STIX R20, R7,  #50</t>
  </si>
  <si>
    <t>B LDIX R8,  R0,  #118</t>
  </si>
  <si>
    <t>B LDA  R14, R0,  #79</t>
  </si>
  <si>
    <t>R27=-1</t>
  </si>
  <si>
    <t>R28=-Value Greater Than 1</t>
  </si>
  <si>
    <t>*Swapped SRC and DST</t>
  </si>
  <si>
    <t>Evan Said</t>
  </si>
  <si>
    <t>*BLT</t>
  </si>
  <si>
    <t>DF00014F</t>
  </si>
  <si>
    <t>* DOES NOT CONTAIN BLT?????</t>
  </si>
  <si>
    <t>Goto</t>
  </si>
  <si>
    <t>* Got 9E400741</t>
  </si>
  <si>
    <t>* It looks like we goto PC&lt;=E and execute twice</t>
  </si>
  <si>
    <t>* We goto PC&lt;=1F</t>
  </si>
  <si>
    <t>And we load IR&lt;=A1800FC8…. Which is the correct value at the wrong address…</t>
  </si>
  <si>
    <t>But we run this (A1800FC8) instruction TWICE</t>
  </si>
  <si>
    <t>* We goto PC&lt;=7</t>
  </si>
  <si>
    <t>THIS MAYBE BECAUSE THE PC DOESN"T INCREMENT Right after the branch…</t>
  </si>
  <si>
    <t>And we Run a NOP, THE NOP LIGHT SHOWS UP.</t>
  </si>
  <si>
    <t>* We goto PC&lt;=8</t>
  </si>
  <si>
    <t>Maybe We are Right...&gt;&gt;</t>
  </si>
  <si>
    <t>And we Run a NOP again, THE NOP LIGHT SHOWS UP.</t>
  </si>
  <si>
    <t>* We goto PC&lt;=9</t>
  </si>
  <si>
    <t>We Load</t>
  </si>
  <si>
    <t>* We goto PC&lt;=1B</t>
  </si>
  <si>
    <t>But we do load, CF0000E1</t>
  </si>
  <si>
    <t>* We goto PC&lt;=1C</t>
  </si>
  <si>
    <t>We Load 0000001C</t>
  </si>
  <si>
    <t>???????????????????????????????????????</t>
  </si>
  <si>
    <t>sub1</t>
  </si>
  <si>
    <t>Rom is 0-63</t>
  </si>
  <si>
    <t>C&lt;=0 ; R26&lt;=62</t>
  </si>
  <si>
    <t>ImmediateBlock_Out = FFFFABCD</t>
  </si>
  <si>
    <t>Sets C ?????</t>
  </si>
  <si>
    <t>Fourney's Comments</t>
  </si>
  <si>
    <t>sub2</t>
  </si>
  <si>
    <t>R[25] is 60</t>
  </si>
  <si>
    <t>R[0] is 0</t>
  </si>
  <si>
    <t>RAM 64-127</t>
  </si>
  <si>
    <t>R[19] is 31</t>
  </si>
  <si>
    <t>From 63</t>
  </si>
  <si>
    <t>1's comp</t>
  </si>
  <si>
    <t>smlr</t>
  </si>
  <si>
    <t>diff</t>
  </si>
  <si>
    <t>If(R[27]&lt;R[28])</t>
  </si>
  <si>
    <t>My Comments</t>
  </si>
  <si>
    <t>MIF#</t>
  </si>
  <si>
    <t>end</t>
  </si>
  <si>
    <t>Infinite Loop</t>
  </si>
  <si>
    <t>Effects the address of sub1</t>
  </si>
  <si>
    <t>Decoding Fourney's Instructions Step1</t>
  </si>
  <si>
    <t>R[19]&lt;=31</t>
  </si>
  <si>
    <t>Sets Carry Flag</t>
  </si>
  <si>
    <t>R[26]&lt;=62</t>
  </si>
  <si>
    <t>CARRY_FLAG&lt;=0</t>
  </si>
  <si>
    <t>C&lt;=0 ; R26&lt;=62 //DECIMAL</t>
  </si>
  <si>
    <t>MSB of ABCD is 1, Sign extend to get FFFF</t>
  </si>
  <si>
    <t>FFFF579B</t>
  </si>
  <si>
    <t>CARRY_FLAG&lt;=1</t>
  </si>
  <si>
    <t>R[21]&lt;=4294924187</t>
  </si>
  <si>
    <t>R[20]&lt;=-43981</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</si>
</sst>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0000000000000000000000000000"/>
    <numFmt numFmtId="165" formatCode="00000000"/>
    <numFmt numFmtId="166" formatCode="00000"/>
    <numFmt numFmtId="167" formatCode="0000000000000000"/>
    <numFmt numFmtId="168" formatCode="000000"/>
    <numFmt numFmtId="169" formatCode="0.00E+000"/>
  </numFmts>
  <fonts count="12">
    <font>
      <sz val="12"/>
      <color rgb="FF000000"/>
      <name val="Calibri"/>
      <family val="2"/>
      <charset val="1"/>
    </font>
    <font>
      <sz val="12"/>
      <name val="Calibri"/>
      <family val="2"/>
      <charset val="1"/>
    </font>
    <font>
      <sz val="12"/>
      <name val="CMTT12"/>
      <charset val="1"/>
    </font>
    <font>
      <b/>
      <sz val="14"/>
      <name val="Calibri"/>
      <family val="2"/>
      <charset val="1"/>
    </font>
    <font>
      <b/>
      <sz val="12"/>
      <name val="Calibri"/>
      <family val="2"/>
      <charset val="1"/>
    </font>
    <font>
      <b/>
      <sz val="12"/>
      <color rgb="FF000000"/>
      <name val="Calibri"/>
      <family val="2"/>
      <charset val="1"/>
    </font>
    <font>
      <sz val="12"/>
      <color rgb="FF222222"/>
      <name val="Calibri"/>
      <family val="2"/>
      <charset val="1"/>
    </font>
    <font>
      <b/>
      <sz val="14"/>
      <color rgb="FF000000"/>
      <name val="Calibri"/>
      <family val="2"/>
      <charset val="1"/>
    </font>
    <font>
      <b/>
      <sz val="12"/>
      <color rgb="FF222222"/>
      <name val="Calibri"/>
      <family val="2"/>
      <charset val="1"/>
    </font>
    <font>
      <sz val="12"/>
      <name val="Arial"/>
      <family val="2"/>
    </font>
    <font>
      <sz val="12"/>
      <color rgb="FF000000"/>
      <name val="CalB"/>
    </font>
    <font>
      <sz val="12"/>
      <name val="CalB"/>
    </font>
  </fonts>
  <fills count="20">
    <fill>
      <patternFill patternType="none"/>
    </fill>
    <fill>
      <patternFill patternType="gray125"/>
    </fill>
    <fill>
      <patternFill patternType="solid">
        <fgColor rgb="FFC4BD97"/>
        <bgColor rgb="FF95B3D7"/>
      </patternFill>
    </fill>
    <fill>
      <patternFill patternType="solid">
        <fgColor rgb="FFFFFF00"/>
        <bgColor rgb="FFFFFF00"/>
      </patternFill>
    </fill>
    <fill>
      <patternFill patternType="solid">
        <fgColor rgb="FFCFE7F5"/>
        <bgColor rgb="FFC6D9F1"/>
      </patternFill>
    </fill>
    <fill>
      <patternFill patternType="solid">
        <fgColor rgb="FFFFC000"/>
        <bgColor rgb="FFFF9900"/>
      </patternFill>
    </fill>
    <fill>
      <patternFill patternType="solid">
        <fgColor rgb="FFC6D9F1"/>
        <bgColor rgb="FFCFE7F5"/>
      </patternFill>
    </fill>
    <fill>
      <patternFill patternType="solid">
        <fgColor rgb="FF95B3D7"/>
        <bgColor rgb="FF729FCF"/>
      </patternFill>
    </fill>
    <fill>
      <patternFill patternType="solid">
        <fgColor rgb="FFFF0000"/>
        <bgColor rgb="FFDC2300"/>
      </patternFill>
    </fill>
    <fill>
      <patternFill patternType="solid">
        <fgColor rgb="FF558ED5"/>
        <bgColor rgb="FF729FCF"/>
      </patternFill>
    </fill>
    <fill>
      <patternFill patternType="solid">
        <fgColor rgb="FF729FCF"/>
        <bgColor rgb="FF558ED5"/>
      </patternFill>
    </fill>
    <fill>
      <patternFill patternType="solid">
        <fgColor rgb="FF33CC66"/>
        <bgColor rgb="FF00AE00"/>
      </patternFill>
    </fill>
    <fill>
      <patternFill patternType="solid">
        <fgColor rgb="FF00AE00"/>
        <bgColor rgb="FF008000"/>
      </patternFill>
    </fill>
    <fill>
      <patternFill patternType="solid">
        <fgColor rgb="FF0084D1"/>
        <bgColor rgb="FF008080"/>
      </patternFill>
    </fill>
    <fill>
      <patternFill patternType="solid">
        <fgColor rgb="FF008000"/>
        <bgColor rgb="FF00AE00"/>
      </patternFill>
    </fill>
    <fill>
      <patternFill patternType="solid">
        <fgColor rgb="FFDC2300"/>
        <bgColor rgb="FFFF0000"/>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00B050"/>
        <bgColor indexed="64"/>
      </patternFill>
    </fill>
  </fills>
  <borders count="37">
    <border>
      <left/>
      <right/>
      <top/>
      <bottom/>
      <diagonal/>
    </border>
    <border>
      <left style="thick">
        <color auto="1"/>
      </left>
      <right style="thick">
        <color auto="1"/>
      </right>
      <top style="thick">
        <color auto="1"/>
      </top>
      <bottom/>
      <diagonal/>
    </border>
    <border>
      <left style="thick">
        <color auto="1"/>
      </left>
      <right/>
      <top style="thick">
        <color auto="1"/>
      </top>
      <bottom/>
      <diagonal/>
    </border>
    <border>
      <left/>
      <right style="thick">
        <color auto="1"/>
      </right>
      <top style="thick">
        <color auto="1"/>
      </top>
      <bottom/>
      <diagonal/>
    </border>
    <border>
      <left/>
      <right style="thick">
        <color auto="1"/>
      </right>
      <top style="thick">
        <color auto="1"/>
      </top>
      <bottom style="thick">
        <color auto="1"/>
      </bottom>
      <diagonal/>
    </border>
    <border>
      <left style="thick">
        <color auto="1"/>
      </left>
      <right style="thick">
        <color auto="1"/>
      </right>
      <top style="thick">
        <color auto="1"/>
      </top>
      <bottom style="thick">
        <color auto="1"/>
      </bottom>
      <diagonal/>
    </border>
    <border>
      <left style="thick">
        <color auto="1"/>
      </left>
      <right/>
      <top style="thick">
        <color auto="1"/>
      </top>
      <bottom style="thick">
        <color auto="1"/>
      </bottom>
      <diagonal/>
    </border>
    <border>
      <left/>
      <right/>
      <top style="thick">
        <color auto="1"/>
      </top>
      <bottom/>
      <diagonal/>
    </border>
    <border>
      <left/>
      <right style="thick">
        <color auto="1"/>
      </right>
      <top/>
      <bottom/>
      <diagonal/>
    </border>
    <border>
      <left style="thick">
        <color auto="1"/>
      </left>
      <right style="thick">
        <color auto="1"/>
      </right>
      <top/>
      <bottom style="thick">
        <color auto="1"/>
      </bottom>
      <diagonal/>
    </border>
    <border>
      <left style="thick">
        <color auto="1"/>
      </left>
      <right/>
      <top/>
      <bottom style="thick">
        <color auto="1"/>
      </bottom>
      <diagonal/>
    </border>
    <border>
      <left/>
      <right/>
      <top/>
      <bottom style="thick">
        <color auto="1"/>
      </bottom>
      <diagonal/>
    </border>
    <border>
      <left/>
      <right/>
      <top style="thick">
        <color auto="1"/>
      </top>
      <bottom style="thick">
        <color auto="1"/>
      </bottom>
      <diagonal/>
    </border>
    <border>
      <left/>
      <right style="thick">
        <color auto="1"/>
      </right>
      <top/>
      <bottom style="thick">
        <color auto="1"/>
      </bottom>
      <diagonal/>
    </border>
    <border>
      <left style="thick">
        <color auto="1"/>
      </left>
      <right style="thick">
        <color auto="1"/>
      </right>
      <top/>
      <bottom/>
      <diagonal/>
    </border>
    <border>
      <left style="thick">
        <color auto="1"/>
      </left>
      <right/>
      <top/>
      <bottom/>
      <diagonal/>
    </border>
    <border>
      <left style="hair">
        <color auto="1"/>
      </left>
      <right style="hair">
        <color auto="1"/>
      </right>
      <top style="hair">
        <color auto="1"/>
      </top>
      <bottom style="hair">
        <color auto="1"/>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52">
    <xf numFmtId="0" fontId="0" fillId="0" borderId="0" xfId="0"/>
    <xf numFmtId="0" fontId="1" fillId="0" borderId="16" xfId="0" applyFont="1" applyBorder="1" applyAlignment="1">
      <alignment horizontal="center" vertical="center"/>
    </xf>
    <xf numFmtId="0" fontId="1" fillId="10" borderId="16" xfId="0" applyFont="1" applyFill="1" applyBorder="1" applyAlignment="1">
      <alignment horizontal="center" vertical="center"/>
    </xf>
    <xf numFmtId="0" fontId="1" fillId="0" borderId="16" xfId="0" applyFont="1" applyBorder="1" applyAlignment="1">
      <alignment horizontal="center"/>
    </xf>
    <xf numFmtId="49" fontId="4" fillId="13" borderId="5" xfId="0" applyNumberFormat="1" applyFont="1" applyFill="1" applyBorder="1" applyAlignment="1">
      <alignment horizontal="center" vertical="center" shrinkToFit="1"/>
    </xf>
    <xf numFmtId="49" fontId="7" fillId="13" borderId="5" xfId="0" applyNumberFormat="1" applyFont="1" applyFill="1" applyBorder="1" applyAlignment="1">
      <alignment horizontal="center" shrinkToFit="1"/>
    </xf>
    <xf numFmtId="49" fontId="0" fillId="0" borderId="7" xfId="0" applyNumberFormat="1" applyFont="1" applyBorder="1" applyAlignment="1">
      <alignment horizontal="center" vertical="center" shrinkToFit="1"/>
    </xf>
    <xf numFmtId="49" fontId="7" fillId="0" borderId="5" xfId="0" applyNumberFormat="1" applyFont="1" applyBorder="1" applyAlignment="1">
      <alignment horizontal="center" vertical="center" shrinkToFit="1"/>
    </xf>
    <xf numFmtId="49" fontId="7" fillId="10" borderId="5" xfId="0" applyNumberFormat="1" applyFont="1" applyFill="1" applyBorder="1" applyAlignment="1">
      <alignment horizontal="center" vertical="center" shrinkToFit="1"/>
    </xf>
    <xf numFmtId="49" fontId="0" fillId="0" borderId="5" xfId="0" applyNumberFormat="1" applyFont="1" applyBorder="1" applyAlignment="1">
      <alignment horizontal="center" vertical="center" shrinkToFit="1"/>
    </xf>
    <xf numFmtId="49" fontId="0" fillId="0" borderId="0" xfId="0" applyNumberFormat="1" applyFont="1" applyBorder="1" applyAlignment="1">
      <alignment horizontal="center" vertical="center" shrinkToFit="1"/>
    </xf>
    <xf numFmtId="49" fontId="0" fillId="0" borderId="5" xfId="0" applyNumberFormat="1" applyFont="1" applyBorder="1" applyAlignment="1">
      <alignment horizontal="center" shrinkToFit="1"/>
    </xf>
    <xf numFmtId="49" fontId="7" fillId="0" borderId="5" xfId="0" applyNumberFormat="1" applyFont="1" applyBorder="1" applyAlignment="1">
      <alignment horizontal="center" shrinkToFit="1"/>
    </xf>
    <xf numFmtId="49" fontId="7" fillId="10" borderId="5" xfId="0" applyNumberFormat="1" applyFont="1" applyFill="1" applyBorder="1" applyAlignment="1">
      <alignment horizontal="center" shrinkToFit="1"/>
    </xf>
    <xf numFmtId="49" fontId="3" fillId="0" borderId="5" xfId="0" applyNumberFormat="1" applyFont="1" applyBorder="1" applyAlignment="1">
      <alignment horizontal="center" shrinkToFit="1"/>
    </xf>
    <xf numFmtId="0" fontId="1" fillId="0" borderId="0" xfId="0" applyFont="1"/>
    <xf numFmtId="49" fontId="2" fillId="0" borderId="0" xfId="0" applyNumberFormat="1" applyFont="1"/>
    <xf numFmtId="0" fontId="2" fillId="0" borderId="0" xfId="0" applyFont="1"/>
    <xf numFmtId="49" fontId="3" fillId="0" borderId="0" xfId="0" applyNumberFormat="1" applyFont="1" applyAlignment="1">
      <alignment horizontal="center"/>
    </xf>
    <xf numFmtId="0" fontId="1" fillId="0" borderId="0" xfId="0" applyFont="1" applyAlignment="1">
      <alignment horizontal="center"/>
    </xf>
    <xf numFmtId="49" fontId="1" fillId="0" borderId="0" xfId="0" applyNumberFormat="1" applyFont="1" applyAlignment="1">
      <alignment horizontal="center" vertical="center"/>
    </xf>
    <xf numFmtId="0" fontId="1" fillId="0" borderId="0" xfId="0" applyFont="1" applyAlignment="1">
      <alignment horizontal="center" vertical="center"/>
    </xf>
    <xf numFmtId="2" fontId="1" fillId="0" borderId="0" xfId="0" applyNumberFormat="1" applyFont="1" applyAlignment="1">
      <alignment horizontal="center" vertical="center"/>
    </xf>
    <xf numFmtId="49" fontId="4" fillId="0" borderId="0" xfId="0" applyNumberFormat="1" applyFont="1" applyAlignment="1">
      <alignment horizontal="center" vertical="center"/>
    </xf>
    <xf numFmtId="2" fontId="4" fillId="0" borderId="0" xfId="0" applyNumberFormat="1" applyFont="1" applyAlignment="1">
      <alignment horizontal="center" vertical="center"/>
    </xf>
    <xf numFmtId="0" fontId="1" fillId="0" borderId="0" xfId="0" applyFont="1" applyAlignment="1">
      <alignment vertical="center"/>
    </xf>
    <xf numFmtId="49" fontId="1" fillId="0" borderId="0" xfId="0" applyNumberFormat="1" applyFont="1" applyAlignment="1">
      <alignment vertical="center"/>
    </xf>
    <xf numFmtId="2" fontId="1" fillId="0" borderId="0" xfId="0" applyNumberFormat="1" applyFont="1" applyAlignment="1">
      <alignment vertical="center"/>
    </xf>
    <xf numFmtId="49" fontId="4" fillId="0" borderId="0" xfId="0" applyNumberFormat="1" applyFont="1" applyAlignment="1">
      <alignment horizontal="center"/>
    </xf>
    <xf numFmtId="49" fontId="1" fillId="0" borderId="0" xfId="0" applyNumberFormat="1" applyFont="1"/>
    <xf numFmtId="0" fontId="0" fillId="0" borderId="0" xfId="0" applyAlignment="1">
      <alignment wrapText="1"/>
    </xf>
    <xf numFmtId="0" fontId="0" fillId="0" borderId="0" xfId="0" applyFont="1" applyAlignment="1">
      <alignment horizontal="center" vertical="center" wrapText="1"/>
    </xf>
    <xf numFmtId="1" fontId="0" fillId="0" borderId="0" xfId="0" applyNumberFormat="1" applyFont="1" applyAlignment="1">
      <alignment horizontal="center" vertical="center" wrapText="1"/>
    </xf>
    <xf numFmtId="164" fontId="0" fillId="0" borderId="0" xfId="0" applyNumberFormat="1" applyFont="1" applyAlignment="1">
      <alignment horizontal="center" vertical="center" wrapText="1"/>
    </xf>
    <xf numFmtId="0" fontId="0" fillId="2"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0" fillId="0" borderId="1" xfId="0" applyFont="1" applyBorder="1" applyAlignment="1">
      <alignment horizontal="center" vertical="center" wrapText="1"/>
    </xf>
    <xf numFmtId="1" fontId="0" fillId="0" borderId="1" xfId="0" applyNumberFormat="1" applyFont="1" applyBorder="1" applyAlignment="1">
      <alignment horizontal="center" vertical="center" wrapText="1"/>
    </xf>
    <xf numFmtId="164" fontId="0" fillId="0" borderId="2" xfId="0" applyNumberFormat="1" applyFont="1" applyBorder="1" applyAlignment="1">
      <alignment horizontal="center" vertical="center" wrapText="1"/>
    </xf>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4" xfId="0" applyFont="1" applyBorder="1" applyAlignment="1">
      <alignment horizontal="center" vertical="center" wrapText="1"/>
    </xf>
    <xf numFmtId="0" fontId="0" fillId="0" borderId="5" xfId="0" applyFont="1" applyBorder="1" applyAlignment="1">
      <alignment horizontal="center" vertical="center" wrapText="1"/>
    </xf>
    <xf numFmtId="0" fontId="0" fillId="3" borderId="5" xfId="0" applyFont="1" applyFill="1" applyBorder="1" applyAlignment="1">
      <alignment horizontal="center" vertical="center" wrapText="1"/>
    </xf>
    <xf numFmtId="49" fontId="0" fillId="0" borderId="5" xfId="0" applyNumberFormat="1" applyFont="1" applyBorder="1" applyAlignment="1">
      <alignment horizontal="center" vertical="center" wrapText="1"/>
    </xf>
    <xf numFmtId="1" fontId="0" fillId="0" borderId="5" xfId="0" applyNumberFormat="1" applyFont="1" applyBorder="1" applyAlignment="1">
      <alignment horizontal="center" vertical="center" wrapText="1"/>
    </xf>
    <xf numFmtId="1" fontId="1" fillId="0" borderId="5" xfId="0" applyNumberFormat="1" applyFont="1" applyBorder="1" applyAlignment="1">
      <alignment horizontal="center" vertical="center" wrapText="1"/>
    </xf>
    <xf numFmtId="0" fontId="0" fillId="0" borderId="6" xfId="0" applyFont="1" applyBorder="1" applyAlignment="1">
      <alignment horizontal="center" vertical="center" wrapText="1"/>
    </xf>
    <xf numFmtId="0" fontId="5" fillId="0" borderId="0" xfId="0" applyFont="1" applyAlignment="1">
      <alignment horizontal="center" vertical="center" wrapText="1"/>
    </xf>
    <xf numFmtId="164" fontId="0" fillId="0" borderId="1" xfId="0" applyNumberFormat="1" applyFont="1" applyBorder="1" applyAlignment="1">
      <alignment horizontal="center" vertical="center"/>
    </xf>
    <xf numFmtId="0" fontId="0" fillId="0" borderId="0" xfId="0" applyFont="1" applyAlignment="1">
      <alignment horizontal="center" vertical="center"/>
    </xf>
    <xf numFmtId="0" fontId="0" fillId="0" borderId="0" xfId="0" applyFont="1" applyBorder="1" applyAlignment="1">
      <alignment horizontal="center" vertical="center" wrapText="1"/>
    </xf>
    <xf numFmtId="164" fontId="0" fillId="3" borderId="1" xfId="0" applyNumberFormat="1" applyFont="1" applyFill="1" applyBorder="1" applyAlignment="1">
      <alignment horizontal="center" vertical="center"/>
    </xf>
    <xf numFmtId="164" fontId="0" fillId="5" borderId="1" xfId="0" applyNumberFormat="1" applyFont="1" applyFill="1" applyBorder="1" applyAlignment="1">
      <alignment horizontal="center" vertical="center"/>
    </xf>
    <xf numFmtId="0" fontId="0" fillId="5" borderId="5" xfId="0" applyFont="1" applyFill="1" applyBorder="1" applyAlignment="1">
      <alignment horizontal="center" vertical="center" wrapText="1"/>
    </xf>
    <xf numFmtId="0" fontId="0" fillId="0" borderId="7" xfId="0" applyFont="1" applyBorder="1" applyAlignment="1">
      <alignment horizontal="center" vertical="center" wrapText="1"/>
    </xf>
    <xf numFmtId="0" fontId="0" fillId="0" borderId="8" xfId="0" applyFont="1" applyBorder="1" applyAlignment="1">
      <alignment horizontal="center" vertical="center" wrapText="1"/>
    </xf>
    <xf numFmtId="49" fontId="0" fillId="0" borderId="9" xfId="0" applyNumberFormat="1" applyFont="1" applyBorder="1" applyAlignment="1">
      <alignment horizontal="center" vertical="center" wrapText="1"/>
    </xf>
    <xf numFmtId="0" fontId="0" fillId="5" borderId="9" xfId="0" applyFont="1" applyFill="1" applyBorder="1" applyAlignment="1">
      <alignment horizontal="center" vertical="center" wrapText="1"/>
    </xf>
    <xf numFmtId="0" fontId="0" fillId="3" borderId="9" xfId="0" applyFont="1" applyFill="1" applyBorder="1" applyAlignment="1">
      <alignment horizontal="center" vertical="center" wrapText="1"/>
    </xf>
    <xf numFmtId="1" fontId="0" fillId="0" borderId="9" xfId="0" applyNumberFormat="1" applyFont="1" applyBorder="1" applyAlignment="1">
      <alignment horizontal="center" vertical="center" wrapText="1"/>
    </xf>
    <xf numFmtId="1" fontId="1" fillId="0" borderId="9" xfId="0" applyNumberFormat="1" applyFont="1" applyBorder="1" applyAlignment="1">
      <alignment horizontal="center" vertical="center" wrapText="1"/>
    </xf>
    <xf numFmtId="165" fontId="1" fillId="6" borderId="10" xfId="0" applyNumberFormat="1" applyFont="1" applyFill="1" applyBorder="1" applyAlignment="1">
      <alignment horizontal="center" vertical="center" wrapText="1"/>
    </xf>
    <xf numFmtId="0" fontId="0" fillId="0" borderId="9" xfId="0" applyFont="1" applyBorder="1" applyAlignment="1">
      <alignment horizontal="center" vertical="center" wrapText="1"/>
    </xf>
    <xf numFmtId="0" fontId="0" fillId="0" borderId="11" xfId="0" applyFont="1" applyBorder="1" applyAlignment="1">
      <alignment horizontal="center" vertical="center" wrapText="1"/>
    </xf>
    <xf numFmtId="1" fontId="0" fillId="6" borderId="4" xfId="0" applyNumberFormat="1" applyFont="1" applyFill="1" applyBorder="1" applyAlignment="1">
      <alignment horizontal="center" vertical="center" wrapText="1"/>
    </xf>
    <xf numFmtId="0" fontId="0" fillId="0" borderId="0" xfId="0" applyFont="1" applyBorder="1" applyAlignment="1">
      <alignment horizontal="center" vertical="center"/>
    </xf>
    <xf numFmtId="165" fontId="1" fillId="7" borderId="6" xfId="0" applyNumberFormat="1" applyFont="1" applyFill="1" applyBorder="1" applyAlignment="1">
      <alignment horizontal="center" vertical="center" wrapText="1"/>
    </xf>
    <xf numFmtId="0" fontId="0" fillId="0" borderId="12" xfId="0" applyFont="1" applyBorder="1" applyAlignment="1">
      <alignment horizontal="center" vertical="center" wrapText="1"/>
    </xf>
    <xf numFmtId="1" fontId="0" fillId="0" borderId="4" xfId="0" applyNumberFormat="1" applyFont="1" applyBorder="1" applyAlignment="1">
      <alignment horizontal="center" vertical="center" wrapText="1"/>
    </xf>
    <xf numFmtId="1" fontId="0" fillId="7" borderId="5" xfId="0" applyNumberFormat="1" applyFont="1" applyFill="1" applyBorder="1" applyAlignment="1">
      <alignment horizontal="center" vertical="center" wrapText="1"/>
    </xf>
    <xf numFmtId="1" fontId="0" fillId="0" borderId="6" xfId="0" applyNumberFormat="1" applyFont="1" applyBorder="1" applyAlignment="1">
      <alignment horizontal="center" vertical="center" wrapText="1"/>
    </xf>
    <xf numFmtId="1" fontId="0" fillId="3" borderId="5" xfId="0" applyNumberFormat="1" applyFont="1" applyFill="1" applyBorder="1" applyAlignment="1">
      <alignment horizontal="center" vertical="center" wrapText="1"/>
    </xf>
    <xf numFmtId="165" fontId="1" fillId="6" borderId="6" xfId="0" applyNumberFormat="1" applyFont="1" applyFill="1" applyBorder="1" applyAlignment="1">
      <alignment horizontal="center" vertical="center" wrapText="1"/>
    </xf>
    <xf numFmtId="1" fontId="0" fillId="3" borderId="4" xfId="0" applyNumberFormat="1" applyFont="1" applyFill="1" applyBorder="1" applyAlignment="1">
      <alignment horizontal="center" vertical="center" wrapText="1"/>
    </xf>
    <xf numFmtId="0" fontId="0" fillId="3" borderId="7" xfId="0" applyFont="1" applyFill="1" applyBorder="1" applyAlignment="1">
      <alignment horizontal="center" vertical="center" wrapText="1"/>
    </xf>
    <xf numFmtId="49" fontId="0" fillId="0" borderId="1" xfId="0" applyNumberFormat="1" applyFont="1" applyBorder="1" applyAlignment="1">
      <alignment horizontal="center" vertical="center" wrapText="1"/>
    </xf>
    <xf numFmtId="0" fontId="0" fillId="8" borderId="5" xfId="0" applyFont="1" applyFill="1" applyBorder="1" applyAlignment="1">
      <alignment horizontal="center" vertical="center" wrapText="1"/>
    </xf>
    <xf numFmtId="1" fontId="0" fillId="8" borderId="5" xfId="0" applyNumberFormat="1" applyFont="1" applyFill="1" applyBorder="1" applyAlignment="1">
      <alignment horizontal="center" vertical="center" wrapText="1"/>
    </xf>
    <xf numFmtId="0" fontId="0" fillId="3" borderId="12" xfId="0" applyFont="1" applyFill="1" applyBorder="1" applyAlignment="1">
      <alignment horizontal="center" vertical="center" wrapText="1"/>
    </xf>
    <xf numFmtId="0" fontId="0" fillId="0" borderId="13" xfId="0" applyFont="1" applyBorder="1" applyAlignment="1">
      <alignment horizontal="center" vertical="center" wrapText="1"/>
    </xf>
    <xf numFmtId="1" fontId="0" fillId="0" borderId="13" xfId="0" applyNumberFormat="1" applyFont="1" applyBorder="1" applyAlignment="1">
      <alignment horizontal="center" vertical="center" wrapText="1"/>
    </xf>
    <xf numFmtId="0" fontId="0" fillId="5" borderId="1" xfId="0" applyFont="1" applyFill="1" applyBorder="1" applyAlignment="1">
      <alignment horizontal="center" vertical="center" wrapText="1"/>
    </xf>
    <xf numFmtId="1" fontId="0" fillId="0" borderId="2" xfId="0" applyNumberFormat="1" applyFont="1" applyBorder="1" applyAlignment="1">
      <alignment horizontal="center" vertical="center" wrapText="1"/>
    </xf>
    <xf numFmtId="1" fontId="0" fillId="0" borderId="3" xfId="0" applyNumberFormat="1" applyFont="1" applyBorder="1" applyAlignment="1">
      <alignment horizontal="center" vertical="center" wrapText="1"/>
    </xf>
    <xf numFmtId="1" fontId="0" fillId="3" borderId="1" xfId="0" applyNumberFormat="1" applyFont="1" applyFill="1" applyBorder="1" applyAlignment="1">
      <alignment horizontal="center" vertical="center" wrapText="1"/>
    </xf>
    <xf numFmtId="1" fontId="1" fillId="0" borderId="1" xfId="0" applyNumberFormat="1" applyFont="1" applyBorder="1" applyAlignment="1">
      <alignment horizontal="center" vertical="center" wrapText="1"/>
    </xf>
    <xf numFmtId="165" fontId="1" fillId="6" borderId="1" xfId="0" applyNumberFormat="1" applyFont="1" applyFill="1" applyBorder="1" applyAlignment="1">
      <alignment horizontal="center" vertical="center" wrapText="1"/>
    </xf>
    <xf numFmtId="1" fontId="0" fillId="6" borderId="1" xfId="0" applyNumberFormat="1"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49" fontId="5" fillId="0" borderId="5" xfId="0" applyNumberFormat="1" applyFont="1" applyBorder="1" applyAlignment="1">
      <alignment horizontal="center" vertical="center" wrapText="1"/>
    </xf>
    <xf numFmtId="0" fontId="5" fillId="5" borderId="5" xfId="0" applyFont="1" applyFill="1" applyBorder="1" applyAlignment="1">
      <alignment horizontal="center" vertical="center" wrapText="1"/>
    </xf>
    <xf numFmtId="1" fontId="5" fillId="0" borderId="5" xfId="0" applyNumberFormat="1" applyFont="1" applyBorder="1" applyAlignment="1">
      <alignment horizontal="center" vertical="center" wrapText="1"/>
    </xf>
    <xf numFmtId="1" fontId="5" fillId="3" borderId="5" xfId="0" applyNumberFormat="1" applyFont="1" applyFill="1" applyBorder="1" applyAlignment="1">
      <alignment horizontal="center" vertical="center" wrapText="1"/>
    </xf>
    <xf numFmtId="165" fontId="1" fillId="6" borderId="5" xfId="0" applyNumberFormat="1" applyFont="1" applyFill="1" applyBorder="1" applyAlignment="1">
      <alignment horizontal="center" vertical="center" wrapText="1"/>
    </xf>
    <xf numFmtId="165" fontId="1" fillId="7" borderId="5" xfId="0" applyNumberFormat="1" applyFont="1" applyFill="1" applyBorder="1" applyAlignment="1">
      <alignment horizontal="center" vertical="center" wrapText="1"/>
    </xf>
    <xf numFmtId="1" fontId="0" fillId="6" borderId="5" xfId="0" applyNumberFormat="1" applyFont="1" applyFill="1" applyBorder="1" applyAlignment="1">
      <alignment horizontal="center" vertical="center" wrapText="1"/>
    </xf>
    <xf numFmtId="165" fontId="1" fillId="0" borderId="0" xfId="0" applyNumberFormat="1" applyFont="1" applyBorder="1" applyAlignment="1">
      <alignment horizontal="center" vertical="center" wrapText="1"/>
    </xf>
    <xf numFmtId="0" fontId="0" fillId="0" borderId="10" xfId="0" applyFont="1" applyBorder="1" applyAlignment="1">
      <alignment horizontal="center" vertical="center" wrapText="1"/>
    </xf>
    <xf numFmtId="165" fontId="1" fillId="0" borderId="5" xfId="0" applyNumberFormat="1" applyFont="1" applyBorder="1" applyAlignment="1">
      <alignment horizontal="center" vertical="center" wrapText="1"/>
    </xf>
    <xf numFmtId="1" fontId="0" fillId="0" borderId="0" xfId="0" applyNumberFormat="1" applyFont="1" applyBorder="1" applyAlignment="1">
      <alignment horizontal="center" vertical="center" wrapText="1"/>
    </xf>
    <xf numFmtId="0" fontId="6" fillId="0" borderId="5" xfId="0" applyFont="1" applyBorder="1" applyAlignment="1">
      <alignment horizontal="center" vertical="center" wrapText="1"/>
    </xf>
    <xf numFmtId="165" fontId="1" fillId="7" borderId="9" xfId="0" applyNumberFormat="1" applyFont="1" applyFill="1" applyBorder="1" applyAlignment="1">
      <alignment horizontal="center" vertical="center" wrapText="1"/>
    </xf>
    <xf numFmtId="165" fontId="1" fillId="0" borderId="1" xfId="0" applyNumberFormat="1" applyFont="1" applyBorder="1" applyAlignment="1">
      <alignment horizontal="center" vertical="center" wrapText="1"/>
    </xf>
    <xf numFmtId="1" fontId="0" fillId="3" borderId="9" xfId="0" applyNumberFormat="1" applyFont="1" applyFill="1" applyBorder="1" applyAlignment="1">
      <alignment horizontal="center" vertical="center" wrapText="1"/>
    </xf>
    <xf numFmtId="0" fontId="0" fillId="0" borderId="14" xfId="0" applyFont="1" applyBorder="1" applyAlignment="1">
      <alignment horizontal="center" vertical="center" wrapText="1"/>
    </xf>
    <xf numFmtId="49" fontId="0" fillId="0" borderId="14" xfId="0" applyNumberFormat="1" applyFont="1" applyBorder="1" applyAlignment="1">
      <alignment horizontal="center" vertical="center" wrapText="1"/>
    </xf>
    <xf numFmtId="0" fontId="0" fillId="3" borderId="14" xfId="0" applyFont="1" applyFill="1" applyBorder="1" applyAlignment="1">
      <alignment horizontal="center" vertical="center" wrapText="1"/>
    </xf>
    <xf numFmtId="1" fontId="0" fillId="0" borderId="14" xfId="0" applyNumberFormat="1" applyFont="1" applyBorder="1" applyAlignment="1">
      <alignment horizontal="center" vertical="center" wrapText="1"/>
    </xf>
    <xf numFmtId="1" fontId="1" fillId="0" borderId="14" xfId="0" applyNumberFormat="1" applyFont="1" applyBorder="1" applyAlignment="1">
      <alignment horizontal="center" vertical="center" wrapText="1"/>
    </xf>
    <xf numFmtId="165" fontId="1" fillId="0" borderId="14" xfId="0" applyNumberFormat="1" applyFont="1" applyBorder="1" applyAlignment="1">
      <alignment horizontal="center" vertical="center" wrapText="1"/>
    </xf>
    <xf numFmtId="1" fontId="0" fillId="3" borderId="14" xfId="0" applyNumberFormat="1" applyFont="1" applyFill="1" applyBorder="1" applyAlignment="1">
      <alignment horizontal="center" vertical="center" wrapText="1"/>
    </xf>
    <xf numFmtId="0" fontId="0" fillId="0" borderId="15" xfId="0" applyFont="1" applyBorder="1" applyAlignment="1">
      <alignment horizontal="center" vertical="center" wrapText="1"/>
    </xf>
    <xf numFmtId="165" fontId="1" fillId="6" borderId="9" xfId="0" applyNumberFormat="1" applyFont="1" applyFill="1" applyBorder="1" applyAlignment="1">
      <alignment horizontal="center" vertical="center" wrapText="1"/>
    </xf>
    <xf numFmtId="0" fontId="0" fillId="9" borderId="5" xfId="0" applyFont="1" applyFill="1" applyBorder="1" applyAlignment="1">
      <alignment horizontal="center" vertical="center" wrapText="1"/>
    </xf>
    <xf numFmtId="49" fontId="0" fillId="0" borderId="0" xfId="0" applyNumberFormat="1" applyBorder="1" applyAlignment="1">
      <alignment horizontal="center" shrinkToFit="1"/>
    </xf>
    <xf numFmtId="49" fontId="0" fillId="3" borderId="0" xfId="0" applyNumberFormat="1" applyFont="1" applyFill="1" applyBorder="1" applyAlignment="1">
      <alignment horizontal="center" shrinkToFit="1"/>
    </xf>
    <xf numFmtId="49" fontId="0" fillId="0" borderId="0" xfId="0" applyNumberFormat="1" applyFont="1" applyBorder="1" applyAlignment="1">
      <alignment horizontal="center" shrinkToFit="1"/>
    </xf>
    <xf numFmtId="49" fontId="7" fillId="0" borderId="5" xfId="0" applyNumberFormat="1" applyFont="1" applyBorder="1" applyAlignment="1">
      <alignment horizontal="center" shrinkToFit="1"/>
    </xf>
    <xf numFmtId="49" fontId="7" fillId="0" borderId="0" xfId="0" applyNumberFormat="1" applyFont="1" applyBorder="1" applyAlignment="1">
      <alignment horizontal="center" shrinkToFit="1"/>
    </xf>
    <xf numFmtId="49" fontId="5" fillId="0" borderId="5" xfId="0" applyNumberFormat="1" applyFont="1" applyBorder="1" applyAlignment="1">
      <alignment horizontal="center" shrinkToFit="1"/>
    </xf>
    <xf numFmtId="49" fontId="4" fillId="0" borderId="5" xfId="0" applyNumberFormat="1" applyFont="1" applyBorder="1" applyAlignment="1">
      <alignment horizontal="center" vertical="center" shrinkToFit="1"/>
    </xf>
    <xf numFmtId="49" fontId="4" fillId="10" borderId="5" xfId="0" applyNumberFormat="1" applyFont="1" applyFill="1" applyBorder="1" applyAlignment="1">
      <alignment horizontal="center" vertical="center" shrinkToFit="1"/>
    </xf>
    <xf numFmtId="49" fontId="5" fillId="0" borderId="0" xfId="0" applyNumberFormat="1" applyFont="1" applyBorder="1" applyAlignment="1">
      <alignment horizontal="center" shrinkToFit="1"/>
    </xf>
    <xf numFmtId="49" fontId="0" fillId="0" borderId="5" xfId="0" applyNumberFormat="1" applyFont="1" applyBorder="1" applyAlignment="1">
      <alignment horizontal="center" vertical="center" shrinkToFit="1"/>
    </xf>
    <xf numFmtId="49" fontId="0" fillId="0" borderId="5" xfId="0" applyNumberFormat="1" applyFont="1" applyBorder="1" applyAlignment="1">
      <alignment horizontal="center" shrinkToFit="1"/>
    </xf>
    <xf numFmtId="49" fontId="0" fillId="10" borderId="5" xfId="0" applyNumberFormat="1" applyFill="1" applyBorder="1" applyAlignment="1">
      <alignment horizontal="center" shrinkToFit="1"/>
    </xf>
    <xf numFmtId="49" fontId="0" fillId="11" borderId="5" xfId="0" applyNumberFormat="1" applyFont="1" applyFill="1" applyBorder="1" applyAlignment="1">
      <alignment horizontal="center" shrinkToFit="1"/>
    </xf>
    <xf numFmtId="49" fontId="0" fillId="12" borderId="5" xfId="0" applyNumberFormat="1" applyFont="1" applyFill="1" applyBorder="1" applyAlignment="1">
      <alignment horizontal="center" shrinkToFit="1"/>
    </xf>
    <xf numFmtId="49" fontId="0" fillId="0" borderId="5" xfId="0" applyNumberFormat="1" applyBorder="1" applyAlignment="1">
      <alignment horizontal="center" shrinkToFit="1"/>
    </xf>
    <xf numFmtId="49" fontId="5" fillId="0" borderId="5" xfId="0" applyNumberFormat="1" applyFont="1" applyBorder="1" applyAlignment="1">
      <alignment horizontal="center" vertical="center" shrinkToFit="1"/>
    </xf>
    <xf numFmtId="49" fontId="0" fillId="3" borderId="5" xfId="0" applyNumberFormat="1" applyFont="1" applyFill="1" applyBorder="1" applyAlignment="1">
      <alignment horizontal="center" shrinkToFit="1"/>
    </xf>
    <xf numFmtId="49" fontId="0" fillId="0" borderId="0" xfId="0" applyNumberFormat="1" applyAlignment="1">
      <alignment horizontal="center" shrinkToFit="1"/>
    </xf>
    <xf numFmtId="49" fontId="0" fillId="10" borderId="5" xfId="0" applyNumberFormat="1" applyFont="1" applyFill="1" applyBorder="1" applyAlignment="1">
      <alignment horizontal="center" shrinkToFit="1"/>
    </xf>
    <xf numFmtId="49" fontId="0" fillId="0" borderId="9" xfId="0" applyNumberFormat="1" applyFont="1" applyBorder="1" applyAlignment="1">
      <alignment horizontal="center" vertical="center" shrinkToFit="1"/>
    </xf>
    <xf numFmtId="49" fontId="0" fillId="0" borderId="0" xfId="0" applyNumberFormat="1" applyFont="1" applyBorder="1" applyAlignment="1">
      <alignment horizontal="center" vertical="center" shrinkToFit="1"/>
    </xf>
    <xf numFmtId="49" fontId="0" fillId="0" borderId="5" xfId="0" applyNumberFormat="1" applyFont="1" applyBorder="1" applyAlignment="1">
      <alignment horizontal="center" wrapText="1" shrinkToFit="1"/>
    </xf>
    <xf numFmtId="49" fontId="0" fillId="0" borderId="0" xfId="0" applyNumberFormat="1" applyBorder="1" applyAlignment="1">
      <alignment horizontal="center" vertical="center" shrinkToFit="1"/>
    </xf>
    <xf numFmtId="49" fontId="0" fillId="3" borderId="5" xfId="0" applyNumberFormat="1" applyFont="1" applyFill="1" applyBorder="1" applyAlignment="1">
      <alignment horizontal="center" vertical="center" shrinkToFit="1"/>
    </xf>
    <xf numFmtId="49" fontId="0" fillId="0" borderId="0" xfId="0" applyNumberFormat="1" applyFont="1" applyAlignment="1">
      <alignment horizontal="center" vertical="center" shrinkToFit="1"/>
    </xf>
    <xf numFmtId="49" fontId="0" fillId="0" borderId="6" xfId="0" applyNumberFormat="1" applyFont="1" applyBorder="1" applyAlignment="1">
      <alignment horizontal="center" vertical="center" shrinkToFit="1"/>
    </xf>
    <xf numFmtId="49" fontId="0" fillId="0" borderId="1" xfId="0" applyNumberFormat="1" applyFont="1" applyBorder="1" applyAlignment="1">
      <alignment horizontal="center" vertical="center" shrinkToFit="1"/>
    </xf>
    <xf numFmtId="49" fontId="0" fillId="10" borderId="5" xfId="0" applyNumberFormat="1" applyFont="1" applyFill="1" applyBorder="1" applyAlignment="1">
      <alignment horizontal="center" vertical="center" shrinkToFit="1"/>
    </xf>
    <xf numFmtId="49" fontId="0" fillId="0" borderId="5" xfId="0" applyNumberFormat="1" applyBorder="1" applyAlignment="1">
      <alignment horizontal="center" vertical="center" shrinkToFit="1"/>
    </xf>
    <xf numFmtId="49" fontId="0" fillId="0" borderId="14" xfId="0" applyNumberFormat="1" applyFont="1" applyBorder="1" applyAlignment="1">
      <alignment horizontal="center" vertical="center" shrinkToFit="1"/>
    </xf>
    <xf numFmtId="49" fontId="0" fillId="0" borderId="4" xfId="0" applyNumberFormat="1" applyFont="1" applyBorder="1" applyAlignment="1">
      <alignment horizontal="center" vertical="center" shrinkToFit="1"/>
    </xf>
    <xf numFmtId="49" fontId="0" fillId="8" borderId="1" xfId="0" applyNumberFormat="1" applyFont="1" applyFill="1" applyBorder="1" applyAlignment="1">
      <alignment horizontal="center" vertical="center" shrinkToFit="1"/>
    </xf>
    <xf numFmtId="49" fontId="0" fillId="8" borderId="0" xfId="0" applyNumberFormat="1" applyFont="1" applyFill="1" applyBorder="1" applyAlignment="1">
      <alignment horizontal="center" vertical="center" shrinkToFit="1"/>
    </xf>
    <xf numFmtId="49" fontId="0" fillId="8" borderId="5" xfId="0" applyNumberFormat="1" applyFont="1" applyFill="1" applyBorder="1" applyAlignment="1">
      <alignment horizontal="center" vertical="center" shrinkToFit="1"/>
    </xf>
    <xf numFmtId="49" fontId="0" fillId="0" borderId="9" xfId="0" applyNumberFormat="1" applyFont="1" applyBorder="1" applyAlignment="1">
      <alignment horizontal="center" vertical="center" wrapText="1" shrinkToFit="1"/>
    </xf>
    <xf numFmtId="49" fontId="0" fillId="10" borderId="5" xfId="0" applyNumberFormat="1" applyFill="1" applyBorder="1" applyAlignment="1">
      <alignment horizontal="center" vertical="center" shrinkToFit="1"/>
    </xf>
    <xf numFmtId="49" fontId="0" fillId="3" borderId="9" xfId="0" applyNumberFormat="1" applyFont="1" applyFill="1" applyBorder="1" applyAlignment="1">
      <alignment horizontal="center" vertical="center" shrinkToFit="1"/>
    </xf>
    <xf numFmtId="49" fontId="0" fillId="0" borderId="9" xfId="0" applyNumberFormat="1" applyBorder="1" applyAlignment="1">
      <alignment horizontal="center" vertical="center" shrinkToFit="1"/>
    </xf>
    <xf numFmtId="49" fontId="0" fillId="0" borderId="0" xfId="0" applyNumberFormat="1" applyAlignment="1">
      <alignment horizontal="center"/>
    </xf>
    <xf numFmtId="49" fontId="4" fillId="13" borderId="5" xfId="0" applyNumberFormat="1" applyFont="1" applyFill="1" applyBorder="1" applyAlignment="1">
      <alignment horizontal="center" vertical="center" shrinkToFit="1"/>
    </xf>
    <xf numFmtId="49" fontId="0" fillId="13" borderId="0" xfId="0" applyNumberFormat="1" applyFill="1" applyBorder="1" applyAlignment="1">
      <alignment horizontal="center" shrinkToFit="1"/>
    </xf>
    <xf numFmtId="49" fontId="0" fillId="13" borderId="5" xfId="0" applyNumberFormat="1" applyFont="1" applyFill="1" applyBorder="1" applyAlignment="1">
      <alignment horizontal="center" shrinkToFit="1"/>
    </xf>
    <xf numFmtId="49" fontId="0" fillId="13" borderId="5" xfId="0" applyNumberFormat="1" applyFill="1" applyBorder="1" applyAlignment="1">
      <alignment horizontal="center" shrinkToFit="1"/>
    </xf>
    <xf numFmtId="49" fontId="0" fillId="14" borderId="0" xfId="0" applyNumberFormat="1" applyFont="1" applyFill="1" applyAlignment="1">
      <alignment horizontal="center" shrinkToFit="1"/>
    </xf>
    <xf numFmtId="49" fontId="0" fillId="8" borderId="0" xfId="0" applyNumberFormat="1" applyFont="1" applyFill="1" applyAlignment="1">
      <alignment horizontal="center" shrinkToFit="1"/>
    </xf>
    <xf numFmtId="49" fontId="0" fillId="0" borderId="0" xfId="0" applyNumberFormat="1" applyFont="1" applyAlignment="1">
      <alignment horizontal="center" shrinkToFit="1"/>
    </xf>
    <xf numFmtId="1" fontId="0" fillId="0" borderId="0" xfId="0" applyNumberFormat="1" applyFont="1" applyAlignment="1">
      <alignment horizontal="center" vertical="center"/>
    </xf>
    <xf numFmtId="166" fontId="0" fillId="0" borderId="0" xfId="0" applyNumberFormat="1" applyFont="1" applyAlignment="1">
      <alignment horizontal="center" vertical="center"/>
    </xf>
    <xf numFmtId="167" fontId="0" fillId="0" borderId="0" xfId="0" applyNumberFormat="1" applyFont="1" applyAlignment="1">
      <alignment horizontal="center" vertical="center"/>
    </xf>
    <xf numFmtId="164" fontId="0" fillId="0" borderId="0" xfId="0" applyNumberFormat="1" applyFont="1" applyAlignment="1">
      <alignment horizontal="center" vertical="center"/>
    </xf>
    <xf numFmtId="0" fontId="0" fillId="0" borderId="0" xfId="0" applyAlignment="1">
      <alignment horizontal="center"/>
    </xf>
    <xf numFmtId="166" fontId="0" fillId="0" borderId="0" xfId="0" applyNumberFormat="1" applyFont="1" applyAlignment="1">
      <alignment horizontal="center" vertical="center" wrapText="1"/>
    </xf>
    <xf numFmtId="167" fontId="0" fillId="0" borderId="0" xfId="0" applyNumberFormat="1" applyFont="1" applyAlignment="1">
      <alignment horizontal="center" vertical="center" wrapText="1"/>
    </xf>
    <xf numFmtId="166" fontId="0" fillId="0" borderId="0" xfId="0" applyNumberFormat="1" applyFont="1" applyBorder="1" applyAlignment="1">
      <alignment horizontal="center" vertical="center" wrapText="1"/>
    </xf>
    <xf numFmtId="1" fontId="1" fillId="0" borderId="0" xfId="0" applyNumberFormat="1" applyFont="1" applyAlignment="1">
      <alignment horizontal="center" vertical="center"/>
    </xf>
    <xf numFmtId="167" fontId="1" fillId="0" borderId="0" xfId="0" applyNumberFormat="1" applyFont="1" applyAlignment="1">
      <alignment horizontal="center" vertical="center"/>
    </xf>
    <xf numFmtId="164" fontId="1" fillId="0" borderId="0" xfId="0" applyNumberFormat="1" applyFont="1" applyAlignment="1">
      <alignment horizontal="center" vertical="center"/>
    </xf>
    <xf numFmtId="0" fontId="5" fillId="0" borderId="0" xfId="0" applyFont="1" applyAlignment="1">
      <alignment horizontal="center" vertical="center"/>
    </xf>
    <xf numFmtId="0" fontId="1" fillId="0" borderId="16" xfId="0" applyFont="1" applyBorder="1" applyAlignment="1">
      <alignment horizontal="center"/>
    </xf>
    <xf numFmtId="0" fontId="1" fillId="10" borderId="16" xfId="0" applyFont="1" applyFill="1" applyBorder="1" applyAlignment="1">
      <alignment horizontal="center" vertical="center"/>
    </xf>
    <xf numFmtId="0" fontId="1" fillId="0" borderId="16" xfId="0" applyFont="1" applyBorder="1" applyAlignment="1">
      <alignment horizontal="center" vertical="center"/>
    </xf>
    <xf numFmtId="0" fontId="0" fillId="0" borderId="16" xfId="0" applyFont="1" applyBorder="1" applyAlignment="1">
      <alignment horizontal="center" vertical="center"/>
    </xf>
    <xf numFmtId="164" fontId="1" fillId="10" borderId="16" xfId="0" applyNumberFormat="1" applyFont="1" applyFill="1" applyBorder="1" applyAlignment="1">
      <alignment horizontal="center" vertical="center" wrapText="1"/>
    </xf>
    <xf numFmtId="167" fontId="1" fillId="10" borderId="16" xfId="0" applyNumberFormat="1" applyFont="1" applyFill="1" applyBorder="1" applyAlignment="1">
      <alignment horizontal="center" vertical="center"/>
    </xf>
    <xf numFmtId="1" fontId="1" fillId="0" borderId="16" xfId="0" applyNumberFormat="1" applyFont="1" applyBorder="1" applyAlignment="1">
      <alignment horizontal="center" vertical="center"/>
    </xf>
    <xf numFmtId="167" fontId="1" fillId="0" borderId="16" xfId="0" applyNumberFormat="1" applyFont="1" applyBorder="1" applyAlignment="1">
      <alignment horizontal="center" vertical="center"/>
    </xf>
    <xf numFmtId="165" fontId="1" fillId="10" borderId="16" xfId="0" applyNumberFormat="1" applyFont="1" applyFill="1" applyBorder="1" applyAlignment="1">
      <alignment horizontal="center" vertical="center"/>
    </xf>
    <xf numFmtId="164" fontId="1" fillId="10" borderId="16" xfId="0" applyNumberFormat="1" applyFont="1" applyFill="1" applyBorder="1" applyAlignment="1">
      <alignment horizontal="center" vertical="center"/>
    </xf>
    <xf numFmtId="0" fontId="1" fillId="10" borderId="16" xfId="0" applyFont="1" applyFill="1" applyBorder="1" applyAlignment="1">
      <alignment horizontal="center"/>
    </xf>
    <xf numFmtId="0" fontId="0" fillId="0" borderId="16" xfId="0" applyFont="1" applyBorder="1" applyAlignment="1">
      <alignment horizontal="center"/>
    </xf>
    <xf numFmtId="0" fontId="8" fillId="0" borderId="0" xfId="0" applyFont="1" applyAlignment="1">
      <alignment horizontal="center" vertical="center"/>
    </xf>
    <xf numFmtId="0" fontId="1" fillId="3" borderId="16" xfId="0" applyFont="1" applyFill="1" applyBorder="1" applyAlignment="1">
      <alignment horizontal="center" vertical="center"/>
    </xf>
    <xf numFmtId="0" fontId="6" fillId="0" borderId="0" xfId="0" applyFont="1" applyAlignment="1">
      <alignment horizontal="center" vertical="center"/>
    </xf>
    <xf numFmtId="0" fontId="0" fillId="15" borderId="16" xfId="0" applyFont="1" applyFill="1" applyBorder="1" applyAlignment="1">
      <alignment horizontal="center" vertical="center"/>
    </xf>
    <xf numFmtId="1" fontId="0" fillId="11" borderId="16" xfId="0" applyNumberFormat="1" applyFont="1" applyFill="1" applyBorder="1" applyAlignment="1">
      <alignment horizontal="center" vertical="center" wrapText="1"/>
    </xf>
    <xf numFmtId="168" fontId="0" fillId="11" borderId="16" xfId="0" applyNumberFormat="1" applyFont="1" applyFill="1" applyBorder="1" applyAlignment="1">
      <alignment horizontal="center" vertical="center" wrapText="1"/>
    </xf>
    <xf numFmtId="167" fontId="0" fillId="11" borderId="16" xfId="0" applyNumberFormat="1" applyFont="1" applyFill="1" applyBorder="1" applyAlignment="1">
      <alignment horizontal="center" vertical="center" wrapText="1"/>
    </xf>
    <xf numFmtId="0" fontId="0" fillId="11" borderId="16" xfId="0" applyFont="1" applyFill="1" applyBorder="1" applyAlignment="1">
      <alignment horizontal="center"/>
    </xf>
    <xf numFmtId="1" fontId="0" fillId="11" borderId="16" xfId="0" applyNumberFormat="1" applyFont="1" applyFill="1" applyBorder="1" applyAlignment="1">
      <alignment horizontal="center" vertical="center"/>
    </xf>
    <xf numFmtId="166" fontId="0" fillId="11" borderId="16" xfId="0" applyNumberFormat="1" applyFont="1" applyFill="1" applyBorder="1" applyAlignment="1">
      <alignment horizontal="center" vertical="center"/>
    </xf>
    <xf numFmtId="167" fontId="0" fillId="11" borderId="16" xfId="0" applyNumberFormat="1" applyFont="1" applyFill="1" applyBorder="1" applyAlignment="1">
      <alignment horizontal="center" vertical="center"/>
    </xf>
    <xf numFmtId="165" fontId="1" fillId="11" borderId="16" xfId="0" applyNumberFormat="1" applyFont="1" applyFill="1" applyBorder="1" applyAlignment="1">
      <alignment horizontal="center" vertical="center"/>
    </xf>
    <xf numFmtId="164" fontId="5" fillId="0" borderId="0" xfId="0" applyNumberFormat="1" applyFont="1" applyAlignment="1">
      <alignment horizontal="center" vertical="center"/>
    </xf>
    <xf numFmtId="169" fontId="0" fillId="0" borderId="0" xfId="0" applyNumberFormat="1" applyAlignment="1">
      <alignment horizontal="center"/>
    </xf>
    <xf numFmtId="49" fontId="0" fillId="11" borderId="16" xfId="0" applyNumberFormat="1" applyFont="1" applyFill="1" applyBorder="1" applyAlignment="1">
      <alignment horizontal="center" vertical="center"/>
    </xf>
    <xf numFmtId="0" fontId="0" fillId="10" borderId="16" xfId="0" applyFont="1" applyFill="1" applyBorder="1" applyAlignment="1">
      <alignment horizontal="center" vertical="center"/>
    </xf>
    <xf numFmtId="1" fontId="0" fillId="10" borderId="16" xfId="0" applyNumberFormat="1" applyFont="1" applyFill="1" applyBorder="1" applyAlignment="1">
      <alignment horizontal="center" vertical="center"/>
    </xf>
    <xf numFmtId="0" fontId="0" fillId="0" borderId="16" xfId="0" applyBorder="1" applyAlignment="1">
      <alignment horizontal="center"/>
    </xf>
    <xf numFmtId="1" fontId="0" fillId="0" borderId="16" xfId="0" applyNumberFormat="1" applyFont="1" applyBorder="1" applyAlignment="1">
      <alignment horizontal="center" vertical="center"/>
    </xf>
    <xf numFmtId="0" fontId="5" fillId="0" borderId="16" xfId="0" applyFont="1" applyBorder="1" applyAlignment="1">
      <alignment horizontal="center" vertical="center"/>
    </xf>
    <xf numFmtId="0" fontId="9" fillId="0" borderId="0" xfId="0" applyFont="1" applyAlignment="1">
      <alignment horizontal="center" vertical="center" wrapText="1"/>
    </xf>
    <xf numFmtId="49" fontId="9" fillId="0" borderId="0" xfId="0" applyNumberFormat="1" applyFont="1" applyAlignment="1">
      <alignment horizontal="center" vertical="center" wrapText="1"/>
    </xf>
    <xf numFmtId="0" fontId="0" fillId="0" borderId="0" xfId="0"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horizontal="center" vertical="center" wrapText="1"/>
    </xf>
    <xf numFmtId="49" fontId="11" fillId="0" borderId="0" xfId="0" applyNumberFormat="1" applyFont="1" applyAlignment="1">
      <alignment horizontal="center" vertical="center" wrapText="1"/>
    </xf>
    <xf numFmtId="0" fontId="0" fillId="0" borderId="0" xfId="0" applyAlignment="1">
      <alignment horizontal="center" vertical="center"/>
    </xf>
    <xf numFmtId="0" fontId="10" fillId="0" borderId="0" xfId="0" applyFont="1" applyAlignment="1">
      <alignment horizontal="center" vertical="center" wrapText="1"/>
    </xf>
    <xf numFmtId="0" fontId="10" fillId="0" borderId="0" xfId="0" applyNumberFormat="1" applyFont="1" applyAlignment="1">
      <alignment horizontal="center" vertical="center" wrapText="1"/>
    </xf>
    <xf numFmtId="0" fontId="10" fillId="0" borderId="0" xfId="0" applyNumberFormat="1" applyFont="1" applyBorder="1" applyAlignment="1">
      <alignment horizontal="center" vertical="center" wrapText="1"/>
    </xf>
    <xf numFmtId="0" fontId="10" fillId="0" borderId="30" xfId="0" applyNumberFormat="1" applyFont="1" applyBorder="1" applyAlignment="1">
      <alignment horizontal="center" vertical="center" wrapText="1"/>
    </xf>
    <xf numFmtId="0" fontId="10" fillId="0" borderId="31" xfId="0" applyNumberFormat="1" applyFont="1" applyBorder="1" applyAlignment="1">
      <alignment horizontal="center" vertical="center" wrapText="1"/>
    </xf>
    <xf numFmtId="0" fontId="11" fillId="0" borderId="31" xfId="0" applyNumberFormat="1" applyFont="1" applyBorder="1" applyAlignment="1">
      <alignment horizontal="center" vertical="center" wrapText="1"/>
    </xf>
    <xf numFmtId="0" fontId="10" fillId="0" borderId="32" xfId="0" applyNumberFormat="1" applyFont="1" applyBorder="1" applyAlignment="1">
      <alignment horizontal="center" vertical="center" wrapText="1"/>
    </xf>
    <xf numFmtId="0" fontId="10" fillId="0" borderId="33" xfId="0" applyNumberFormat="1" applyFont="1" applyBorder="1" applyAlignment="1">
      <alignment horizontal="center" vertical="center" wrapText="1"/>
    </xf>
    <xf numFmtId="0" fontId="10" fillId="0" borderId="34" xfId="0" applyNumberFormat="1" applyFont="1" applyBorder="1" applyAlignment="1">
      <alignment horizontal="center" vertical="center" wrapText="1"/>
    </xf>
    <xf numFmtId="0" fontId="10" fillId="0" borderId="35" xfId="0" applyNumberFormat="1" applyFont="1" applyBorder="1" applyAlignment="1">
      <alignment horizontal="center" vertical="center" wrapText="1"/>
    </xf>
    <xf numFmtId="0" fontId="11" fillId="0" borderId="0" xfId="0" applyNumberFormat="1" applyFont="1" applyAlignment="1">
      <alignment horizontal="center" vertical="center" wrapText="1"/>
    </xf>
    <xf numFmtId="0" fontId="10" fillId="0" borderId="27" xfId="0" applyNumberFormat="1" applyFont="1" applyBorder="1" applyAlignment="1">
      <alignment horizontal="center" vertical="center" wrapText="1"/>
    </xf>
    <xf numFmtId="0" fontId="10" fillId="0" borderId="28" xfId="0" applyNumberFormat="1" applyFont="1" applyBorder="1" applyAlignment="1">
      <alignment horizontal="center" vertical="center" wrapText="1"/>
    </xf>
    <xf numFmtId="0" fontId="11" fillId="0" borderId="26" xfId="0" applyNumberFormat="1" applyFont="1" applyBorder="1" applyAlignment="1">
      <alignment horizontal="center" vertical="center" wrapText="1"/>
    </xf>
    <xf numFmtId="0" fontId="10" fillId="0" borderId="29" xfId="0" applyNumberFormat="1" applyFont="1" applyBorder="1" applyAlignment="1">
      <alignment horizontal="center" vertical="center" wrapText="1"/>
    </xf>
    <xf numFmtId="0" fontId="11" fillId="0" borderId="19" xfId="0" applyNumberFormat="1" applyFont="1" applyBorder="1" applyAlignment="1">
      <alignment horizontal="center" vertical="center" wrapText="1"/>
    </xf>
    <xf numFmtId="0" fontId="10" fillId="0" borderId="18" xfId="0" applyNumberFormat="1" applyFont="1" applyBorder="1" applyAlignment="1">
      <alignment horizontal="center" vertical="center" wrapText="1"/>
    </xf>
    <xf numFmtId="0" fontId="10" fillId="0" borderId="24" xfId="0" applyNumberFormat="1" applyFont="1" applyBorder="1" applyAlignment="1">
      <alignment horizontal="center" vertical="center" wrapText="1"/>
    </xf>
    <xf numFmtId="0" fontId="10" fillId="0" borderId="19" xfId="0" applyNumberFormat="1" applyFont="1" applyBorder="1" applyAlignment="1">
      <alignment horizontal="center" vertical="center" wrapText="1"/>
    </xf>
    <xf numFmtId="0" fontId="10" fillId="0" borderId="20" xfId="0" applyNumberFormat="1" applyFont="1" applyBorder="1" applyAlignment="1">
      <alignment horizontal="center" vertical="center" wrapText="1"/>
    </xf>
    <xf numFmtId="0" fontId="10" fillId="0" borderId="21" xfId="0" applyNumberFormat="1" applyFont="1" applyBorder="1" applyAlignment="1">
      <alignment horizontal="center" vertical="center" wrapText="1"/>
    </xf>
    <xf numFmtId="0" fontId="10" fillId="0" borderId="22" xfId="0" applyNumberFormat="1" applyFont="1" applyBorder="1" applyAlignment="1">
      <alignment horizontal="center" vertical="center" wrapText="1"/>
    </xf>
    <xf numFmtId="0" fontId="10" fillId="0" borderId="25" xfId="0" applyNumberFormat="1" applyFont="1" applyBorder="1" applyAlignment="1">
      <alignment horizontal="center" vertical="center" wrapText="1"/>
    </xf>
    <xf numFmtId="0" fontId="10" fillId="0" borderId="23" xfId="0" applyNumberFormat="1" applyFont="1" applyBorder="1" applyAlignment="1">
      <alignment horizontal="center" vertical="center" wrapText="1"/>
    </xf>
    <xf numFmtId="49" fontId="9" fillId="16" borderId="0" xfId="0" applyNumberFormat="1" applyFont="1" applyFill="1" applyAlignment="1">
      <alignment horizontal="center" vertical="center" wrapText="1"/>
    </xf>
    <xf numFmtId="0" fontId="0" fillId="16" borderId="0" xfId="0" applyFill="1" applyAlignment="1">
      <alignment horizontal="center" vertical="center" wrapText="1"/>
    </xf>
    <xf numFmtId="0" fontId="9" fillId="16" borderId="0" xfId="0" applyFont="1" applyFill="1" applyAlignment="1">
      <alignment horizontal="center" vertical="center" wrapText="1"/>
    </xf>
    <xf numFmtId="0" fontId="0" fillId="18" borderId="0" xfId="0" applyFill="1" applyAlignment="1">
      <alignment horizontal="center" vertical="center" wrapText="1"/>
    </xf>
    <xf numFmtId="0" fontId="11" fillId="0" borderId="30" xfId="0" applyNumberFormat="1" applyFont="1" applyBorder="1" applyAlignment="1">
      <alignment horizontal="center" vertical="center" wrapText="1"/>
    </xf>
    <xf numFmtId="0" fontId="11" fillId="0" borderId="36" xfId="0" applyNumberFormat="1" applyFont="1" applyBorder="1" applyAlignment="1">
      <alignment horizontal="center" vertical="center" wrapText="1"/>
    </xf>
    <xf numFmtId="0" fontId="0" fillId="19" borderId="0" xfId="0" applyFill="1" applyAlignment="1">
      <alignment horizontal="center" vertical="center" wrapText="1"/>
    </xf>
    <xf numFmtId="0" fontId="11" fillId="0" borderId="0" xfId="0" applyNumberFormat="1" applyFont="1" applyFill="1" applyAlignment="1">
      <alignment horizontal="center" vertical="center" wrapText="1"/>
    </xf>
    <xf numFmtId="0" fontId="11" fillId="16" borderId="0" xfId="0" applyNumberFormat="1" applyFont="1" applyFill="1" applyAlignment="1">
      <alignment horizontal="center" vertical="center" wrapText="1"/>
    </xf>
    <xf numFmtId="0" fontId="10" fillId="0" borderId="17" xfId="0" applyNumberFormat="1" applyFont="1" applyBorder="1" applyAlignment="1">
      <alignment vertical="center" wrapText="1"/>
    </xf>
    <xf numFmtId="0" fontId="0" fillId="0" borderId="17" xfId="0" applyBorder="1" applyAlignment="1">
      <alignment horizontal="center"/>
    </xf>
    <xf numFmtId="0" fontId="10" fillId="17" borderId="0" xfId="0" applyFont="1" applyFill="1" applyAlignment="1">
      <alignment horizontal="center" vertical="center" wrapText="1"/>
    </xf>
    <xf numFmtId="0" fontId="10" fillId="0"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4BD97"/>
      <rgbColor rgb="FF808080"/>
      <rgbColor rgb="FF729FCF"/>
      <rgbColor rgb="FF993366"/>
      <rgbColor rgb="FFFFFFCC"/>
      <rgbColor rgb="FFCFE7F5"/>
      <rgbColor rgb="FF660066"/>
      <rgbColor rgb="FFFF8080"/>
      <rgbColor rgb="FF0084D1"/>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3366FF"/>
      <rgbColor rgb="FF33CC66"/>
      <rgbColor rgb="FF99CC00"/>
      <rgbColor rgb="FFFFC000"/>
      <rgbColor rgb="FFFF9900"/>
      <rgbColor rgb="FFFF6600"/>
      <rgbColor rgb="FF558ED5"/>
      <rgbColor rgb="FF969696"/>
      <rgbColor rgb="FF003366"/>
      <rgbColor rgb="FF00AE00"/>
      <rgbColor rgb="FF003300"/>
      <rgbColor rgb="FF333300"/>
      <rgbColor rgb="FFDC2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K56"/>
  <sheetViews>
    <sheetView topLeftCell="B8" zoomScaleNormal="100" workbookViewId="0">
      <selection activeCell="G50" activeCellId="1" sqref="E3:E38 G50"/>
    </sheetView>
  </sheetViews>
  <sheetFormatPr defaultRowHeight="15.75"/>
  <cols>
    <col min="1" max="1" width="8.125" style="15"/>
    <col min="2" max="2" width="27.875" style="16"/>
    <col min="3" max="3" width="12.625" style="16"/>
    <col min="4" max="4" width="12.5" style="16"/>
    <col min="5" max="5" width="9.375" style="17"/>
    <col min="6" max="6" width="41.375" style="17"/>
    <col min="7" max="7" width="251.125" style="15"/>
    <col min="8" max="1025" width="10.875" style="15"/>
  </cols>
  <sheetData>
    <row r="2" spans="1:7" ht="18.75">
      <c r="B2" s="18" t="s">
        <v>0</v>
      </c>
      <c r="C2" s="18"/>
      <c r="D2" s="18"/>
    </row>
    <row r="3" spans="1:7" s="19" customFormat="1">
      <c r="A3" s="19" t="s">
        <v>1</v>
      </c>
      <c r="B3" s="20"/>
      <c r="C3" s="20"/>
      <c r="D3" s="20"/>
      <c r="E3" s="21"/>
      <c r="F3" s="21"/>
      <c r="G3" s="21"/>
    </row>
    <row r="4" spans="1:7" s="19" customFormat="1">
      <c r="A4" s="19" t="s">
        <v>2</v>
      </c>
      <c r="B4" s="20" t="s">
        <v>3</v>
      </c>
      <c r="C4" s="20" t="s">
        <v>4</v>
      </c>
      <c r="D4" s="22" t="s">
        <v>5</v>
      </c>
      <c r="E4" s="21" t="s">
        <v>6</v>
      </c>
      <c r="F4" s="21"/>
      <c r="G4" s="21"/>
    </row>
    <row r="5" spans="1:7">
      <c r="B5" s="23" t="s">
        <v>7</v>
      </c>
      <c r="C5" s="23"/>
      <c r="D5" s="24"/>
      <c r="E5" s="25"/>
      <c r="F5" s="25"/>
      <c r="G5" s="25"/>
    </row>
    <row r="6" spans="1:7">
      <c r="A6" s="15" t="s">
        <v>8</v>
      </c>
      <c r="B6" s="26" t="s">
        <v>9</v>
      </c>
      <c r="C6" s="26" t="s">
        <v>10</v>
      </c>
      <c r="D6" s="27" t="str">
        <f t="shared" ref="D6:D19" si="0">DEC2HEX(C6)</f>
        <v>1</v>
      </c>
      <c r="E6" s="15" t="s">
        <v>11</v>
      </c>
    </row>
    <row r="7" spans="1:7">
      <c r="A7" s="15" t="s">
        <v>8</v>
      </c>
      <c r="B7" s="26" t="s">
        <v>12</v>
      </c>
      <c r="C7" s="26" t="s">
        <v>13</v>
      </c>
      <c r="D7" s="27" t="str">
        <f t="shared" si="0"/>
        <v>2</v>
      </c>
      <c r="E7" s="15" t="s">
        <v>14</v>
      </c>
    </row>
    <row r="8" spans="1:7">
      <c r="A8" s="15" t="s">
        <v>8</v>
      </c>
      <c r="B8" s="26" t="s">
        <v>15</v>
      </c>
      <c r="C8" s="26" t="s">
        <v>16</v>
      </c>
      <c r="D8" s="27" t="str">
        <f t="shared" si="0"/>
        <v>3</v>
      </c>
      <c r="E8" s="15" t="s">
        <v>17</v>
      </c>
    </row>
    <row r="9" spans="1:7">
      <c r="A9" s="15" t="s">
        <v>8</v>
      </c>
      <c r="B9" s="26" t="s">
        <v>18</v>
      </c>
      <c r="C9" s="26" t="s">
        <v>19</v>
      </c>
      <c r="D9" s="27" t="str">
        <f t="shared" si="0"/>
        <v>4</v>
      </c>
      <c r="E9" s="15" t="s">
        <v>20</v>
      </c>
    </row>
    <row r="10" spans="1:7">
      <c r="A10" s="15" t="s">
        <v>8</v>
      </c>
      <c r="B10" s="26" t="s">
        <v>21</v>
      </c>
      <c r="C10" s="26" t="s">
        <v>22</v>
      </c>
      <c r="D10" s="27" t="str">
        <f t="shared" si="0"/>
        <v>5</v>
      </c>
      <c r="E10" s="15" t="s">
        <v>23</v>
      </c>
    </row>
    <row r="11" spans="1:7">
      <c r="A11" s="15" t="s">
        <v>8</v>
      </c>
      <c r="B11" s="26" t="s">
        <v>24</v>
      </c>
      <c r="C11" s="26" t="s">
        <v>25</v>
      </c>
      <c r="D11" s="27" t="str">
        <f t="shared" si="0"/>
        <v>6</v>
      </c>
      <c r="E11" s="15" t="s">
        <v>26</v>
      </c>
    </row>
    <row r="12" spans="1:7">
      <c r="A12" s="15" t="s">
        <v>8</v>
      </c>
      <c r="B12" s="26" t="s">
        <v>27</v>
      </c>
      <c r="C12" s="26" t="s">
        <v>28</v>
      </c>
      <c r="D12" s="27" t="str">
        <f t="shared" si="0"/>
        <v>7</v>
      </c>
      <c r="E12" s="15" t="s">
        <v>29</v>
      </c>
      <c r="G12" s="15" t="s">
        <v>30</v>
      </c>
    </row>
    <row r="13" spans="1:7">
      <c r="B13" s="23" t="s">
        <v>31</v>
      </c>
      <c r="C13" s="23"/>
      <c r="D13" s="27" t="str">
        <f t="shared" si="0"/>
        <v>0</v>
      </c>
    </row>
    <row r="14" spans="1:7">
      <c r="A14" s="15" t="s">
        <v>8</v>
      </c>
      <c r="B14" s="26" t="s">
        <v>32</v>
      </c>
      <c r="C14" s="26" t="s">
        <v>33</v>
      </c>
      <c r="D14" s="27" t="str">
        <f t="shared" si="0"/>
        <v>8</v>
      </c>
      <c r="E14" s="25" t="s">
        <v>34</v>
      </c>
      <c r="F14" s="25" t="s">
        <v>35</v>
      </c>
    </row>
    <row r="15" spans="1:7">
      <c r="A15" s="15" t="s">
        <v>8</v>
      </c>
      <c r="B15" s="26" t="s">
        <v>36</v>
      </c>
      <c r="C15" s="26" t="s">
        <v>37</v>
      </c>
      <c r="D15" s="27" t="str">
        <f t="shared" si="0"/>
        <v>9</v>
      </c>
      <c r="E15" s="25" t="s">
        <v>38</v>
      </c>
      <c r="F15" s="25" t="s">
        <v>39</v>
      </c>
    </row>
    <row r="16" spans="1:7">
      <c r="A16" s="15" t="s">
        <v>8</v>
      </c>
      <c r="B16" s="26" t="s">
        <v>40</v>
      </c>
      <c r="C16" s="26" t="s">
        <v>41</v>
      </c>
      <c r="D16" s="27" t="str">
        <f t="shared" si="0"/>
        <v>A</v>
      </c>
      <c r="E16" s="25" t="s">
        <v>42</v>
      </c>
      <c r="F16" s="25" t="s">
        <v>43</v>
      </c>
    </row>
    <row r="17" spans="1:7">
      <c r="A17" s="15" t="s">
        <v>8</v>
      </c>
      <c r="B17" s="26" t="s">
        <v>40</v>
      </c>
      <c r="C17" s="26" t="s">
        <v>41</v>
      </c>
      <c r="D17" s="27" t="str">
        <f t="shared" si="0"/>
        <v>A</v>
      </c>
      <c r="E17" s="15" t="s">
        <v>44</v>
      </c>
      <c r="F17" s="15" t="s">
        <v>45</v>
      </c>
    </row>
    <row r="18" spans="1:7">
      <c r="A18" s="15" t="s">
        <v>8</v>
      </c>
      <c r="B18" s="26" t="s">
        <v>46</v>
      </c>
      <c r="C18" s="26" t="s">
        <v>47</v>
      </c>
      <c r="D18" s="27" t="str">
        <f t="shared" si="0"/>
        <v>B</v>
      </c>
      <c r="E18" s="25" t="s">
        <v>48</v>
      </c>
      <c r="F18" s="25" t="s">
        <v>49</v>
      </c>
    </row>
    <row r="19" spans="1:7">
      <c r="A19" s="15" t="s">
        <v>8</v>
      </c>
      <c r="B19" s="26" t="s">
        <v>50</v>
      </c>
      <c r="C19" s="26" t="s">
        <v>51</v>
      </c>
      <c r="D19" s="27" t="str">
        <f t="shared" si="0"/>
        <v>C</v>
      </c>
      <c r="E19" s="25" t="s">
        <v>52</v>
      </c>
      <c r="F19" s="25" t="s">
        <v>53</v>
      </c>
    </row>
    <row r="20" spans="1:7">
      <c r="B20" s="23" t="s">
        <v>54</v>
      </c>
      <c r="C20" s="23"/>
      <c r="D20" s="27"/>
      <c r="E20" s="25"/>
      <c r="F20" s="25"/>
    </row>
    <row r="21" spans="1:7">
      <c r="A21" s="15" t="s">
        <v>8</v>
      </c>
      <c r="B21" s="26" t="s">
        <v>55</v>
      </c>
      <c r="C21" s="26" t="s">
        <v>56</v>
      </c>
      <c r="D21" s="27" t="str">
        <f>DEC2HEX(C21)</f>
        <v>D</v>
      </c>
      <c r="E21" s="25" t="s">
        <v>57</v>
      </c>
      <c r="F21" s="25" t="s">
        <v>58</v>
      </c>
    </row>
    <row r="22" spans="1:7">
      <c r="A22" s="15" t="s">
        <v>8</v>
      </c>
      <c r="B22" s="26" t="s">
        <v>59</v>
      </c>
      <c r="C22" s="26" t="s">
        <v>60</v>
      </c>
      <c r="D22" s="27" t="str">
        <f>DEC2HEX(C22)</f>
        <v>E</v>
      </c>
      <c r="E22" s="25" t="s">
        <v>61</v>
      </c>
      <c r="F22" s="25" t="s">
        <v>62</v>
      </c>
    </row>
    <row r="23" spans="1:7">
      <c r="A23" s="15" t="s">
        <v>8</v>
      </c>
      <c r="B23" s="26" t="s">
        <v>63</v>
      </c>
      <c r="C23" s="26" t="s">
        <v>64</v>
      </c>
      <c r="D23" s="27" t="str">
        <f>DEC2HEX(C23)</f>
        <v>F</v>
      </c>
      <c r="E23" s="25" t="s">
        <v>65</v>
      </c>
      <c r="F23" s="25" t="s">
        <v>66</v>
      </c>
      <c r="G23" s="25" t="s">
        <v>67</v>
      </c>
    </row>
    <row r="24" spans="1:7">
      <c r="B24" s="23" t="s">
        <v>68</v>
      </c>
      <c r="C24" s="23"/>
      <c r="D24" s="27"/>
      <c r="E24" s="25"/>
      <c r="F24" s="25"/>
      <c r="G24" s="25"/>
    </row>
    <row r="25" spans="1:7">
      <c r="A25" s="15" t="s">
        <v>8</v>
      </c>
      <c r="B25" s="26" t="s">
        <v>69</v>
      </c>
      <c r="C25" s="26" t="s">
        <v>70</v>
      </c>
      <c r="D25" s="27" t="str">
        <f>DEC2HEX(C25)</f>
        <v>0</v>
      </c>
      <c r="E25" s="25" t="s">
        <v>68</v>
      </c>
      <c r="F25" s="25" t="s">
        <v>71</v>
      </c>
    </row>
    <row r="26" spans="1:7">
      <c r="B26" s="26"/>
      <c r="C26" s="26"/>
      <c r="D26" s="27"/>
      <c r="E26" s="25"/>
      <c r="F26" s="25"/>
    </row>
    <row r="27" spans="1:7">
      <c r="B27" s="23" t="s">
        <v>72</v>
      </c>
      <c r="C27" s="23"/>
      <c r="D27" s="27"/>
      <c r="E27" s="25"/>
      <c r="F27" s="25"/>
      <c r="G27" s="25"/>
    </row>
    <row r="28" spans="1:7">
      <c r="A28" s="15" t="s">
        <v>73</v>
      </c>
      <c r="B28" s="26">
        <v>100010</v>
      </c>
      <c r="C28" s="26" t="s">
        <v>74</v>
      </c>
      <c r="D28" s="27" t="str">
        <f>DEC2HEX(C28)</f>
        <v>20</v>
      </c>
      <c r="E28" s="25" t="s">
        <v>75</v>
      </c>
      <c r="F28" s="25" t="s">
        <v>76</v>
      </c>
      <c r="G28" s="25" t="s">
        <v>77</v>
      </c>
    </row>
    <row r="29" spans="1:7">
      <c r="A29" s="15" t="s">
        <v>73</v>
      </c>
      <c r="B29" s="26">
        <v>100011</v>
      </c>
      <c r="C29" s="26" t="s">
        <v>78</v>
      </c>
      <c r="D29" s="27" t="str">
        <f>DEC2HEX(C29)</f>
        <v>21</v>
      </c>
      <c r="E29" s="25" t="s">
        <v>79</v>
      </c>
      <c r="F29" s="25" t="s">
        <v>80</v>
      </c>
      <c r="G29" s="25" t="s">
        <v>81</v>
      </c>
    </row>
    <row r="30" spans="1:7">
      <c r="B30" s="26"/>
      <c r="C30" s="26"/>
      <c r="D30" s="27"/>
      <c r="E30" s="25"/>
    </row>
    <row r="31" spans="1:7">
      <c r="D31" s="27"/>
    </row>
    <row r="32" spans="1:7" ht="18.75">
      <c r="B32" s="18" t="s">
        <v>82</v>
      </c>
      <c r="C32" s="18"/>
      <c r="D32" s="27"/>
    </row>
    <row r="33" spans="1:7" s="19" customFormat="1">
      <c r="A33" s="19" t="s">
        <v>1</v>
      </c>
      <c r="B33" s="20"/>
      <c r="C33" s="20"/>
      <c r="D33" s="27"/>
      <c r="E33" s="21"/>
      <c r="F33" s="21"/>
      <c r="G33" s="21"/>
    </row>
    <row r="34" spans="1:7" s="19" customFormat="1">
      <c r="A34" s="19" t="s">
        <v>2</v>
      </c>
      <c r="B34" s="20" t="s">
        <v>3</v>
      </c>
      <c r="C34" s="20"/>
      <c r="D34" s="27"/>
      <c r="E34" s="21" t="s">
        <v>6</v>
      </c>
      <c r="F34" s="21"/>
      <c r="G34" s="21"/>
    </row>
    <row r="35" spans="1:7">
      <c r="B35" s="28" t="s">
        <v>83</v>
      </c>
      <c r="C35" s="28"/>
      <c r="D35" s="27"/>
    </row>
    <row r="36" spans="1:7">
      <c r="A36" s="15" t="s">
        <v>8</v>
      </c>
      <c r="B36" s="29" t="s">
        <v>84</v>
      </c>
      <c r="C36" s="29" t="s">
        <v>85</v>
      </c>
      <c r="D36" s="27" t="str">
        <f>DEC2HEX(C36)</f>
        <v>10</v>
      </c>
      <c r="E36" s="15" t="s">
        <v>86</v>
      </c>
      <c r="F36" s="15" t="s">
        <v>87</v>
      </c>
      <c r="G36" s="15" t="s">
        <v>88</v>
      </c>
    </row>
    <row r="37" spans="1:7">
      <c r="A37" s="15" t="s">
        <v>8</v>
      </c>
      <c r="B37" s="29" t="s">
        <v>89</v>
      </c>
      <c r="C37" s="29" t="s">
        <v>90</v>
      </c>
      <c r="D37" s="27" t="str">
        <f>DEC2HEX(C37)</f>
        <v>11</v>
      </c>
      <c r="E37" s="15" t="s">
        <v>91</v>
      </c>
      <c r="F37" s="15" t="s">
        <v>92</v>
      </c>
      <c r="G37" s="15" t="s">
        <v>93</v>
      </c>
    </row>
    <row r="38" spans="1:7">
      <c r="A38" s="15" t="s">
        <v>8</v>
      </c>
      <c r="B38" s="29" t="s">
        <v>94</v>
      </c>
      <c r="C38" s="29" t="s">
        <v>95</v>
      </c>
      <c r="D38" s="27" t="str">
        <f>DEC2HEX(C38)</f>
        <v>12</v>
      </c>
      <c r="E38" s="15" t="s">
        <v>96</v>
      </c>
      <c r="F38" s="15" t="s">
        <v>97</v>
      </c>
      <c r="G38" s="15" t="s">
        <v>98</v>
      </c>
    </row>
    <row r="39" spans="1:7">
      <c r="B39" s="28" t="s">
        <v>7</v>
      </c>
      <c r="C39" s="28"/>
      <c r="D39" s="27"/>
    </row>
    <row r="40" spans="1:7">
      <c r="A40" s="15" t="s">
        <v>73</v>
      </c>
      <c r="B40" s="29" t="s">
        <v>99</v>
      </c>
      <c r="C40" s="29" t="s">
        <v>100</v>
      </c>
      <c r="D40" s="27" t="str">
        <f>DEC2HEX(C40)</f>
        <v>22</v>
      </c>
      <c r="E40" s="15" t="s">
        <v>101</v>
      </c>
      <c r="F40" s="15" t="s">
        <v>102</v>
      </c>
      <c r="G40" s="15" t="s">
        <v>103</v>
      </c>
    </row>
    <row r="41" spans="1:7">
      <c r="A41" s="15" t="s">
        <v>73</v>
      </c>
      <c r="B41" s="29" t="s">
        <v>104</v>
      </c>
      <c r="C41" s="29" t="s">
        <v>105</v>
      </c>
      <c r="D41" s="27" t="str">
        <f>DEC2HEX(C41)</f>
        <v>23</v>
      </c>
      <c r="E41" s="15" t="s">
        <v>106</v>
      </c>
      <c r="F41" s="15" t="s">
        <v>107</v>
      </c>
      <c r="G41" s="15" t="s">
        <v>108</v>
      </c>
    </row>
    <row r="42" spans="1:7">
      <c r="A42" s="15" t="s">
        <v>73</v>
      </c>
      <c r="B42" s="29" t="s">
        <v>109</v>
      </c>
      <c r="C42" s="29" t="s">
        <v>110</v>
      </c>
      <c r="D42" s="27" t="str">
        <f>DEC2HEX(C42)</f>
        <v>24</v>
      </c>
      <c r="E42" s="15" t="s">
        <v>111</v>
      </c>
      <c r="G42" s="15" t="s">
        <v>112</v>
      </c>
    </row>
    <row r="43" spans="1:7">
      <c r="A43" s="15" t="s">
        <v>73</v>
      </c>
      <c r="B43" s="29" t="s">
        <v>113</v>
      </c>
      <c r="C43" s="29" t="s">
        <v>114</v>
      </c>
      <c r="D43" s="27" t="str">
        <f>DEC2HEX(C43)</f>
        <v>25</v>
      </c>
      <c r="E43" s="15" t="s">
        <v>115</v>
      </c>
    </row>
    <row r="44" spans="1:7">
      <c r="A44" s="15" t="s">
        <v>73</v>
      </c>
      <c r="B44" s="29" t="s">
        <v>116</v>
      </c>
      <c r="C44" s="29" t="s">
        <v>117</v>
      </c>
      <c r="D44" s="27" t="str">
        <f>DEC2HEX(C44)</f>
        <v>26</v>
      </c>
      <c r="E44" s="15" t="s">
        <v>118</v>
      </c>
    </row>
    <row r="45" spans="1:7">
      <c r="B45" s="28" t="s">
        <v>119</v>
      </c>
      <c r="C45" s="28"/>
      <c r="D45" s="27"/>
    </row>
    <row r="46" spans="1:7">
      <c r="A46" s="15" t="s">
        <v>73</v>
      </c>
      <c r="B46" s="29" t="s">
        <v>120</v>
      </c>
      <c r="C46" s="29" t="s">
        <v>121</v>
      </c>
      <c r="D46" s="27" t="str">
        <f>DEC2HEX(C46)</f>
        <v>27</v>
      </c>
      <c r="E46" s="15" t="s">
        <v>122</v>
      </c>
      <c r="F46" s="15" t="s">
        <v>123</v>
      </c>
      <c r="G46" s="15" t="s">
        <v>124</v>
      </c>
    </row>
    <row r="47" spans="1:7">
      <c r="A47" s="15" t="s">
        <v>73</v>
      </c>
      <c r="B47" s="29" t="s">
        <v>125</v>
      </c>
      <c r="C47" s="29" t="s">
        <v>126</v>
      </c>
      <c r="D47" s="27" t="str">
        <f>DEC2HEX(C47)</f>
        <v>28</v>
      </c>
      <c r="E47" s="15" t="s">
        <v>127</v>
      </c>
      <c r="F47" s="15" t="s">
        <v>128</v>
      </c>
    </row>
    <row r="48" spans="1:7">
      <c r="A48" s="15" t="s">
        <v>73</v>
      </c>
      <c r="B48" s="29" t="s">
        <v>129</v>
      </c>
      <c r="C48" s="29" t="s">
        <v>130</v>
      </c>
      <c r="D48" s="27" t="str">
        <f>DEC2HEX(C48)</f>
        <v>29</v>
      </c>
      <c r="E48" s="15" t="s">
        <v>131</v>
      </c>
      <c r="F48" s="15" t="s">
        <v>132</v>
      </c>
      <c r="G48" s="15" t="s">
        <v>133</v>
      </c>
    </row>
    <row r="49" spans="1:7">
      <c r="B49" s="28" t="s">
        <v>134</v>
      </c>
      <c r="C49" s="28"/>
      <c r="D49" s="27"/>
    </row>
    <row r="50" spans="1:7">
      <c r="A50" s="15" t="s">
        <v>73</v>
      </c>
      <c r="B50" s="29" t="s">
        <v>135</v>
      </c>
      <c r="C50" s="29" t="s">
        <v>136</v>
      </c>
      <c r="D50" s="27" t="str">
        <f>DEC2HEX(C50)</f>
        <v>2A</v>
      </c>
      <c r="E50" s="15" t="s">
        <v>137</v>
      </c>
      <c r="F50" s="15" t="s">
        <v>138</v>
      </c>
      <c r="G50" s="15" t="s">
        <v>139</v>
      </c>
    </row>
    <row r="51" spans="1:7">
      <c r="A51" s="15" t="s">
        <v>73</v>
      </c>
      <c r="B51" s="29" t="s">
        <v>140</v>
      </c>
      <c r="C51" s="29" t="s">
        <v>141</v>
      </c>
      <c r="D51" s="27" t="str">
        <f>DEC2HEX(C51)</f>
        <v>2B</v>
      </c>
      <c r="E51" s="15" t="s">
        <v>142</v>
      </c>
      <c r="F51" s="15" t="s">
        <v>143</v>
      </c>
      <c r="G51" s="15" t="s">
        <v>144</v>
      </c>
    </row>
    <row r="52" spans="1:7">
      <c r="A52" s="15" t="s">
        <v>73</v>
      </c>
      <c r="B52" s="29" t="s">
        <v>145</v>
      </c>
      <c r="C52" s="29" t="s">
        <v>146</v>
      </c>
      <c r="D52" s="27" t="str">
        <f>DEC2HEX(C52)</f>
        <v>2C</v>
      </c>
      <c r="E52" s="15" t="s">
        <v>147</v>
      </c>
      <c r="F52" s="15" t="s">
        <v>148</v>
      </c>
      <c r="G52" s="15" t="s">
        <v>149</v>
      </c>
    </row>
    <row r="53" spans="1:7">
      <c r="A53" s="15" t="s">
        <v>73</v>
      </c>
      <c r="B53" s="29" t="s">
        <v>150</v>
      </c>
      <c r="C53" s="29" t="s">
        <v>151</v>
      </c>
      <c r="D53" s="27" t="str">
        <f>DEC2HEX(C53)</f>
        <v>2D</v>
      </c>
      <c r="E53" s="15" t="s">
        <v>152</v>
      </c>
      <c r="F53" s="15" t="s">
        <v>153</v>
      </c>
      <c r="G53" s="15" t="s">
        <v>154</v>
      </c>
    </row>
    <row r="54" spans="1:7">
      <c r="B54" s="28" t="s">
        <v>155</v>
      </c>
      <c r="C54" s="28"/>
      <c r="D54" s="27"/>
    </row>
    <row r="55" spans="1:7">
      <c r="A55" s="15" t="s">
        <v>156</v>
      </c>
      <c r="B55" s="29" t="s">
        <v>157</v>
      </c>
      <c r="C55" s="29" t="s">
        <v>158</v>
      </c>
      <c r="D55" s="27" t="str">
        <f>DEC2HEX(C55)</f>
        <v>40</v>
      </c>
      <c r="E55" s="15" t="s">
        <v>159</v>
      </c>
      <c r="F55" s="15" t="s">
        <v>160</v>
      </c>
      <c r="G55" s="15" t="s">
        <v>161</v>
      </c>
    </row>
    <row r="56" spans="1:7">
      <c r="A56" s="15" t="s">
        <v>156</v>
      </c>
      <c r="B56" s="29" t="s">
        <v>162</v>
      </c>
      <c r="C56" s="29" t="s">
        <v>163</v>
      </c>
      <c r="D56" s="27" t="str">
        <f>DEC2HEX(C56)</f>
        <v>41</v>
      </c>
      <c r="E56" s="15" t="s">
        <v>164</v>
      </c>
      <c r="F56" s="15" t="s">
        <v>165</v>
      </c>
      <c r="G56" s="15" t="s">
        <v>166</v>
      </c>
    </row>
  </sheetData>
  <pageMargins left="0.75" right="0.75" top="1" bottom="1"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0"/>
  <sheetViews>
    <sheetView tabSelected="1" topLeftCell="F1" zoomScale="85" zoomScaleNormal="85" workbookViewId="0">
      <selection activeCell="H8" sqref="H8"/>
    </sheetView>
  </sheetViews>
  <sheetFormatPr defaultRowHeight="15"/>
  <cols>
    <col min="1" max="1" width="11.25" style="211" bestFit="1" customWidth="1"/>
    <col min="2" max="2" width="7.125" style="211" bestFit="1" customWidth="1"/>
    <col min="3" max="3" width="10.75" style="211" bestFit="1" customWidth="1"/>
    <col min="4" max="4" width="12.375" style="211" bestFit="1" customWidth="1"/>
    <col min="5" max="5" width="9.5" style="211" bestFit="1" customWidth="1"/>
    <col min="6" max="6" width="17.125" style="211" bestFit="1" customWidth="1"/>
    <col min="7" max="7" width="12.375" style="211" bestFit="1" customWidth="1"/>
    <col min="8" max="8" width="25.125" style="211" bestFit="1" customWidth="1"/>
    <col min="9" max="9" width="5.625" style="211" bestFit="1" customWidth="1"/>
    <col min="10" max="10" width="9.5" style="211" bestFit="1" customWidth="1"/>
    <col min="11" max="12" width="8.125" style="211" bestFit="1" customWidth="1"/>
    <col min="13" max="13" width="34" style="211" bestFit="1" customWidth="1"/>
    <col min="14" max="14" width="14.25" style="211" bestFit="1" customWidth="1"/>
    <col min="15" max="15" width="4.625" style="211" bestFit="1" customWidth="1"/>
    <col min="16" max="16" width="2.25" style="211" bestFit="1" customWidth="1"/>
    <col min="17" max="17" width="15" style="211" bestFit="1" customWidth="1"/>
    <col min="18" max="18" width="10.625" style="211" bestFit="1" customWidth="1"/>
    <col min="19" max="20" width="2.625" style="211" bestFit="1" customWidth="1"/>
    <col min="21" max="21" width="10.75" style="211" bestFit="1" customWidth="1"/>
    <col min="22" max="22" width="2.25" style="211" bestFit="1" customWidth="1"/>
    <col min="23" max="26" width="2.625" style="211" bestFit="1" customWidth="1"/>
    <col min="27" max="27" width="4.5" style="211" bestFit="1" customWidth="1"/>
    <col min="28" max="31" width="10.5" style="211"/>
    <col min="32" max="33" width="9" style="211"/>
    <col min="34" max="1032" width="10.5" style="211"/>
    <col min="1033" max="16384" width="9" style="211"/>
  </cols>
  <sheetData>
    <row r="1" spans="1:34" ht="75.75" customHeight="1" thickBot="1">
      <c r="A1" s="248"/>
      <c r="B1" s="248"/>
      <c r="C1" s="248"/>
      <c r="D1" s="248"/>
      <c r="E1" s="248"/>
      <c r="F1" s="248"/>
      <c r="G1" s="248"/>
      <c r="H1" s="248"/>
      <c r="I1" s="248"/>
      <c r="J1" s="248"/>
      <c r="K1" s="216"/>
      <c r="L1" s="216"/>
      <c r="M1" s="216"/>
      <c r="N1" s="216"/>
      <c r="O1" s="216" t="s">
        <v>191</v>
      </c>
      <c r="P1" s="217" t="s">
        <v>910</v>
      </c>
      <c r="Q1" s="217"/>
      <c r="R1" s="217"/>
      <c r="S1" s="217"/>
      <c r="T1" s="217"/>
      <c r="U1" s="217"/>
      <c r="V1" s="217" t="s">
        <v>911</v>
      </c>
      <c r="W1" s="217"/>
      <c r="X1" s="217"/>
      <c r="Y1" s="217"/>
      <c r="Z1" s="217"/>
      <c r="AA1" s="217"/>
    </row>
    <row r="2" spans="1:34" ht="30.75" thickBot="1">
      <c r="A2" s="218"/>
      <c r="B2" s="219" t="s">
        <v>858</v>
      </c>
      <c r="C2" s="220" t="s">
        <v>860</v>
      </c>
      <c r="D2" s="220" t="s">
        <v>861</v>
      </c>
      <c r="E2" s="220" t="s">
        <v>862</v>
      </c>
      <c r="F2" s="220" t="s">
        <v>863</v>
      </c>
      <c r="G2" s="220" t="s">
        <v>857</v>
      </c>
      <c r="H2" s="220" t="s">
        <v>909</v>
      </c>
      <c r="I2" s="220" t="s">
        <v>1008</v>
      </c>
      <c r="J2" s="220" t="s">
        <v>859</v>
      </c>
      <c r="K2" s="219" t="s">
        <v>915</v>
      </c>
      <c r="L2" s="219" t="s">
        <v>972</v>
      </c>
      <c r="M2" s="220" t="s">
        <v>996</v>
      </c>
      <c r="N2" s="220" t="s">
        <v>1007</v>
      </c>
      <c r="O2" s="219"/>
      <c r="P2" s="221">
        <v>1</v>
      </c>
      <c r="Q2" s="222">
        <v>2</v>
      </c>
      <c r="R2" s="222">
        <v>3</v>
      </c>
      <c r="S2" s="222">
        <v>4</v>
      </c>
      <c r="T2" s="222">
        <v>5</v>
      </c>
      <c r="U2" s="223" t="s">
        <v>912</v>
      </c>
      <c r="V2" s="221">
        <v>1</v>
      </c>
      <c r="W2" s="222">
        <v>2</v>
      </c>
      <c r="X2" s="222">
        <v>3</v>
      </c>
      <c r="Y2" s="222">
        <v>4</v>
      </c>
      <c r="Z2" s="222">
        <v>5</v>
      </c>
      <c r="AA2" s="224" t="s">
        <v>912</v>
      </c>
      <c r="AC2" s="211" t="s">
        <v>193</v>
      </c>
      <c r="AD2" s="211" t="s">
        <v>194</v>
      </c>
      <c r="AE2" s="211" t="s">
        <v>212</v>
      </c>
      <c r="AF2" s="211" t="s">
        <v>213</v>
      </c>
      <c r="AG2" s="211" t="s">
        <v>214</v>
      </c>
      <c r="AH2" s="211" t="s">
        <v>219</v>
      </c>
    </row>
    <row r="3" spans="1:34" ht="30">
      <c r="A3" s="216"/>
      <c r="B3" s="216">
        <v>1</v>
      </c>
      <c r="C3" s="225" t="s">
        <v>342</v>
      </c>
      <c r="D3" s="225" t="s">
        <v>577</v>
      </c>
      <c r="E3" s="225" t="s">
        <v>864</v>
      </c>
      <c r="F3" s="225" t="s">
        <v>865</v>
      </c>
      <c r="G3" s="225" t="s">
        <v>845</v>
      </c>
      <c r="H3" s="225" t="s">
        <v>930</v>
      </c>
      <c r="I3" s="216">
        <v>0</v>
      </c>
      <c r="J3" s="225" t="str">
        <f>DEC2HEX(I3)</f>
        <v>0</v>
      </c>
      <c r="K3" s="216"/>
      <c r="L3" s="216"/>
      <c r="M3" s="225" t="s">
        <v>1011</v>
      </c>
      <c r="N3" s="225"/>
      <c r="O3" s="216"/>
      <c r="P3" s="226"/>
      <c r="Q3" s="227" t="str">
        <f>"PC&lt;=1"&amp;CHAR(10)&amp;"IR&lt;="&amp;G3</f>
        <v>PC&lt;=1
IR&lt;=004003A3</v>
      </c>
      <c r="R3" s="227"/>
      <c r="S3" s="227"/>
      <c r="T3" s="227"/>
      <c r="U3" s="228" t="s">
        <v>913</v>
      </c>
      <c r="V3" s="226"/>
      <c r="W3" s="227"/>
      <c r="X3" s="227"/>
      <c r="Y3" s="227"/>
      <c r="Z3" s="227"/>
      <c r="AA3" s="229"/>
      <c r="AD3" s="250" t="str">
        <f>DEC2HEX(14)</f>
        <v>E</v>
      </c>
    </row>
    <row r="4" spans="1:34" ht="30">
      <c r="A4" s="216"/>
      <c r="B4" s="216">
        <v>2</v>
      </c>
      <c r="C4" s="225" t="s">
        <v>342</v>
      </c>
      <c r="D4" s="225" t="s">
        <v>866</v>
      </c>
      <c r="E4" s="225" t="s">
        <v>864</v>
      </c>
      <c r="F4" s="225" t="s">
        <v>867</v>
      </c>
      <c r="G4" s="225" t="s">
        <v>846</v>
      </c>
      <c r="H4" s="225" t="s">
        <v>931</v>
      </c>
      <c r="I4" s="216">
        <v>1</v>
      </c>
      <c r="J4" s="225" t="str">
        <f t="shared" ref="J4:J39" si="0">DEC2HEX(I4)</f>
        <v>1</v>
      </c>
      <c r="K4" s="216"/>
      <c r="L4" s="216"/>
      <c r="M4" s="225" t="s">
        <v>992</v>
      </c>
      <c r="N4" s="225"/>
      <c r="O4" s="216"/>
      <c r="P4" s="230"/>
      <c r="Q4" s="227" t="str">
        <f>"PC&lt;=2"&amp;CHAR(10)&amp;"IR&lt;="&amp;G4</f>
        <v>PC&lt;=2
IR&lt;=04C007E3</v>
      </c>
      <c r="R4" s="227"/>
      <c r="S4" s="227"/>
      <c r="T4" s="227"/>
      <c r="U4" s="228" t="s">
        <v>1013</v>
      </c>
      <c r="V4" s="233"/>
      <c r="W4" s="231"/>
      <c r="X4" s="231"/>
      <c r="Y4" s="231"/>
      <c r="Z4" s="231"/>
      <c r="AA4" s="234"/>
      <c r="AE4" s="250" t="str">
        <f>DEC2HEX(31)</f>
        <v>1F</v>
      </c>
    </row>
    <row r="5" spans="1:34" ht="30">
      <c r="A5" s="216"/>
      <c r="B5" s="216">
        <v>3</v>
      </c>
      <c r="C5" s="225" t="s">
        <v>52</v>
      </c>
      <c r="D5" s="225" t="s">
        <v>868</v>
      </c>
      <c r="E5" s="225" t="s">
        <v>866</v>
      </c>
      <c r="F5" s="225" t="s">
        <v>864</v>
      </c>
      <c r="G5" s="225" t="s">
        <v>847</v>
      </c>
      <c r="H5" s="225" t="s">
        <v>932</v>
      </c>
      <c r="I5" s="216">
        <v>2</v>
      </c>
      <c r="J5" s="225" t="str">
        <f t="shared" si="0"/>
        <v>2</v>
      </c>
      <c r="K5" s="216"/>
      <c r="L5" s="216"/>
      <c r="M5" s="225" t="s">
        <v>1017</v>
      </c>
      <c r="N5" s="225"/>
      <c r="O5" s="216"/>
      <c r="P5" s="233"/>
      <c r="Q5" s="227" t="str">
        <f>"PC&lt;=3"&amp;CHAR(10)&amp;"IR&lt;="&amp;G5</f>
        <v>PC&lt;=3
IR&lt;=98340680</v>
      </c>
      <c r="R5" s="231" t="s">
        <v>1016</v>
      </c>
      <c r="S5" s="231"/>
      <c r="T5" s="231"/>
      <c r="U5" s="232" t="s">
        <v>1015</v>
      </c>
      <c r="V5" s="233"/>
      <c r="W5" s="231"/>
      <c r="X5" s="231"/>
      <c r="Y5" s="231"/>
      <c r="Z5" s="231"/>
      <c r="AA5" s="234"/>
      <c r="AH5" s="250" t="str">
        <f>DEC2HEX(62)</f>
        <v>3E</v>
      </c>
    </row>
    <row r="6" spans="1:34" ht="60">
      <c r="A6" s="216"/>
      <c r="B6" s="216">
        <v>4</v>
      </c>
      <c r="C6" s="225" t="s">
        <v>345</v>
      </c>
      <c r="D6" s="225" t="s">
        <v>869</v>
      </c>
      <c r="E6" s="225" t="s">
        <v>864</v>
      </c>
      <c r="F6" s="225" t="s">
        <v>870</v>
      </c>
      <c r="G6" s="225" t="s">
        <v>667</v>
      </c>
      <c r="H6" s="225" t="s">
        <v>933</v>
      </c>
      <c r="I6" s="216">
        <v>3</v>
      </c>
      <c r="J6" s="225" t="str">
        <f t="shared" si="0"/>
        <v>3</v>
      </c>
      <c r="K6" s="216"/>
      <c r="L6" s="216"/>
      <c r="M6" s="225" t="s">
        <v>994</v>
      </c>
      <c r="N6" s="225" t="s">
        <v>1018</v>
      </c>
      <c r="O6" s="216"/>
      <c r="P6" s="233"/>
      <c r="Q6" s="227" t="str">
        <f>"PC&lt;=4"&amp;CHAR(10)&amp;"IR&lt;="&amp;G6</f>
        <v>PC&lt;=4
IR&lt;=052AF362</v>
      </c>
      <c r="R6" s="231"/>
      <c r="S6" s="231"/>
      <c r="T6" s="231"/>
      <c r="U6" s="232" t="s">
        <v>1022</v>
      </c>
      <c r="V6" s="233"/>
      <c r="W6" s="231"/>
      <c r="X6" s="231"/>
      <c r="Y6" s="231"/>
      <c r="Z6" s="231"/>
      <c r="AA6" s="234"/>
      <c r="AF6" s="250" t="str">
        <f>"FFFF"&amp;DEC2HEX(43981)</f>
        <v>FFFFABCD</v>
      </c>
      <c r="AG6" s="251"/>
    </row>
    <row r="7" spans="1:34" ht="30">
      <c r="A7" s="216"/>
      <c r="B7" s="216">
        <v>5</v>
      </c>
      <c r="C7" s="225" t="s">
        <v>52</v>
      </c>
      <c r="D7" s="225" t="s">
        <v>871</v>
      </c>
      <c r="E7" s="225" t="s">
        <v>869</v>
      </c>
      <c r="F7" s="225" t="s">
        <v>864</v>
      </c>
      <c r="G7" s="225" t="s">
        <v>670</v>
      </c>
      <c r="H7" s="225" t="s">
        <v>934</v>
      </c>
      <c r="I7" s="216">
        <v>4</v>
      </c>
      <c r="J7" s="225" t="str">
        <f t="shared" si="0"/>
        <v>4</v>
      </c>
      <c r="K7" s="216"/>
      <c r="L7" s="216"/>
      <c r="M7" s="246" t="s">
        <v>1014</v>
      </c>
      <c r="N7" s="246"/>
      <c r="O7" s="216"/>
      <c r="P7" s="233"/>
      <c r="Q7" s="227" t="str">
        <f>"PC&lt;=5"&amp;CHAR(10)&amp;"IR&lt;="&amp;G7</f>
        <v>PC&lt;=5
IR&lt;=A02A0680</v>
      </c>
      <c r="R7" s="231" t="s">
        <v>1020</v>
      </c>
      <c r="S7" s="231"/>
      <c r="T7" s="231"/>
      <c r="U7" s="232" t="s">
        <v>1021</v>
      </c>
      <c r="V7" s="233"/>
      <c r="W7" s="231"/>
      <c r="X7" s="231"/>
      <c r="Y7" s="231"/>
      <c r="Z7" s="231"/>
      <c r="AA7" s="234"/>
      <c r="AG7" s="250" t="s">
        <v>1019</v>
      </c>
    </row>
    <row r="8" spans="1:34">
      <c r="A8" s="216"/>
      <c r="B8" s="216">
        <v>6</v>
      </c>
      <c r="C8" s="225" t="s">
        <v>48</v>
      </c>
      <c r="D8" s="225" t="s">
        <v>872</v>
      </c>
      <c r="E8" s="225" t="s">
        <v>868</v>
      </c>
      <c r="F8" s="225" t="s">
        <v>864</v>
      </c>
      <c r="G8" s="225" t="s">
        <v>673</v>
      </c>
      <c r="H8" s="225" t="s">
        <v>935</v>
      </c>
      <c r="I8" s="216">
        <v>5</v>
      </c>
      <c r="J8" s="225" t="str">
        <f t="shared" si="0"/>
        <v>5</v>
      </c>
      <c r="K8" s="216"/>
      <c r="L8" s="216"/>
      <c r="M8" s="225"/>
      <c r="N8" s="225"/>
      <c r="O8" s="216"/>
      <c r="P8" s="233"/>
      <c r="Q8" s="231"/>
      <c r="R8" s="231"/>
      <c r="S8" s="231"/>
      <c r="T8" s="231"/>
      <c r="U8" s="232"/>
      <c r="V8" s="233"/>
      <c r="W8" s="231"/>
      <c r="X8" s="231"/>
      <c r="Y8" s="231"/>
      <c r="Z8" s="231"/>
      <c r="AA8" s="234"/>
    </row>
    <row r="9" spans="1:34">
      <c r="A9" s="216"/>
      <c r="B9" s="216">
        <v>7</v>
      </c>
      <c r="C9" s="225" t="s">
        <v>91</v>
      </c>
      <c r="D9" s="225" t="s">
        <v>864</v>
      </c>
      <c r="E9" s="225" t="s">
        <v>577</v>
      </c>
      <c r="F9" s="225" t="s">
        <v>864</v>
      </c>
      <c r="G9" s="225" t="s">
        <v>676</v>
      </c>
      <c r="H9" s="225" t="s">
        <v>936</v>
      </c>
      <c r="I9" s="216">
        <v>6</v>
      </c>
      <c r="J9" s="225" t="str">
        <f t="shared" si="0"/>
        <v>6</v>
      </c>
      <c r="K9" s="216"/>
      <c r="L9" s="216" t="s">
        <v>991</v>
      </c>
      <c r="M9" s="225"/>
      <c r="N9" s="225"/>
      <c r="O9" s="216"/>
      <c r="P9" s="233"/>
      <c r="Q9" s="231"/>
      <c r="R9" s="231"/>
      <c r="S9" s="231"/>
      <c r="T9" s="231"/>
      <c r="U9" s="232"/>
      <c r="V9" s="233"/>
      <c r="W9" s="231"/>
      <c r="X9" s="231"/>
      <c r="Y9" s="231"/>
      <c r="Z9" s="231"/>
      <c r="AA9" s="234"/>
    </row>
    <row r="10" spans="1:34">
      <c r="A10" s="216"/>
      <c r="B10" s="216">
        <v>8</v>
      </c>
      <c r="C10" s="225" t="s">
        <v>68</v>
      </c>
      <c r="D10" s="225" t="s">
        <v>864</v>
      </c>
      <c r="E10" s="225" t="s">
        <v>864</v>
      </c>
      <c r="F10" s="225" t="s">
        <v>864</v>
      </c>
      <c r="G10" s="225" t="s">
        <v>522</v>
      </c>
      <c r="H10" s="225" t="s">
        <v>937</v>
      </c>
      <c r="I10" s="216">
        <v>7</v>
      </c>
      <c r="J10" s="225" t="str">
        <f t="shared" si="0"/>
        <v>7</v>
      </c>
      <c r="K10" s="216"/>
      <c r="L10" s="216"/>
      <c r="M10" s="225"/>
      <c r="N10" s="225"/>
      <c r="O10" s="216"/>
      <c r="P10" s="233"/>
      <c r="Q10" s="231"/>
      <c r="R10" s="231"/>
      <c r="S10" s="231"/>
      <c r="T10" s="231"/>
      <c r="U10" s="232"/>
      <c r="V10" s="233"/>
      <c r="W10" s="231"/>
      <c r="X10" s="231"/>
      <c r="Y10" s="231"/>
      <c r="Z10" s="231"/>
      <c r="AA10" s="234"/>
    </row>
    <row r="11" spans="1:34">
      <c r="A11" s="216"/>
      <c r="B11" s="216">
        <v>9</v>
      </c>
      <c r="C11" s="225" t="s">
        <v>164</v>
      </c>
      <c r="D11" s="225"/>
      <c r="E11" s="225"/>
      <c r="F11" s="225" t="s">
        <v>873</v>
      </c>
      <c r="G11" s="225" t="s">
        <v>681</v>
      </c>
      <c r="H11" s="225" t="s">
        <v>938</v>
      </c>
      <c r="I11" s="216">
        <v>8</v>
      </c>
      <c r="J11" s="225" t="str">
        <f t="shared" si="0"/>
        <v>8</v>
      </c>
      <c r="K11" s="216"/>
      <c r="L11" s="216" t="s">
        <v>997</v>
      </c>
      <c r="M11" s="225"/>
      <c r="N11" s="225"/>
      <c r="O11" s="216"/>
      <c r="P11" s="233"/>
      <c r="Q11" s="231"/>
      <c r="R11" s="231"/>
      <c r="S11" s="231"/>
      <c r="T11" s="231"/>
      <c r="U11" s="232"/>
      <c r="V11" s="233"/>
      <c r="W11" s="231"/>
      <c r="X11" s="231"/>
      <c r="Y11" s="231"/>
      <c r="Z11" s="231"/>
      <c r="AA11" s="234"/>
    </row>
    <row r="12" spans="1:34">
      <c r="A12" s="216"/>
      <c r="B12" s="216">
        <v>10</v>
      </c>
      <c r="C12" s="225" t="s">
        <v>147</v>
      </c>
      <c r="D12" s="225" t="s">
        <v>874</v>
      </c>
      <c r="E12" s="225" t="s">
        <v>864</v>
      </c>
      <c r="F12" s="225" t="s">
        <v>875</v>
      </c>
      <c r="G12" s="225" t="s">
        <v>683</v>
      </c>
      <c r="H12" s="225" t="s">
        <v>939</v>
      </c>
      <c r="I12" s="216">
        <v>9</v>
      </c>
      <c r="J12" s="225" t="str">
        <f t="shared" si="0"/>
        <v>9</v>
      </c>
      <c r="K12" s="216"/>
      <c r="L12" s="216"/>
      <c r="M12" s="225"/>
      <c r="N12" s="225"/>
      <c r="O12" s="216"/>
      <c r="P12" s="233"/>
      <c r="Q12" s="231"/>
      <c r="R12" s="231"/>
      <c r="S12" s="231"/>
      <c r="T12" s="231"/>
      <c r="U12" s="232"/>
      <c r="V12" s="233"/>
      <c r="W12" s="231"/>
      <c r="X12" s="231"/>
      <c r="Y12" s="231"/>
      <c r="Z12" s="231"/>
      <c r="AA12" s="234"/>
    </row>
    <row r="13" spans="1:34">
      <c r="A13" s="216"/>
      <c r="B13" s="216">
        <v>11</v>
      </c>
      <c r="C13" s="225" t="s">
        <v>20</v>
      </c>
      <c r="D13" s="225" t="s">
        <v>876</v>
      </c>
      <c r="E13" s="225" t="s">
        <v>874</v>
      </c>
      <c r="F13" s="225" t="s">
        <v>877</v>
      </c>
      <c r="G13" s="225" t="s">
        <v>685</v>
      </c>
      <c r="H13" s="225" t="s">
        <v>940</v>
      </c>
      <c r="I13" s="216">
        <v>10</v>
      </c>
      <c r="J13" s="225" t="str">
        <f t="shared" si="0"/>
        <v>A</v>
      </c>
      <c r="K13" s="216"/>
      <c r="L13" s="216"/>
      <c r="M13" s="225"/>
      <c r="N13" s="225"/>
      <c r="O13" s="216"/>
      <c r="P13" s="233"/>
      <c r="Q13" s="231"/>
      <c r="R13" s="231"/>
      <c r="S13" s="231"/>
      <c r="T13" s="231"/>
      <c r="U13" s="232"/>
      <c r="V13" s="233"/>
      <c r="W13" s="231"/>
      <c r="X13" s="231"/>
      <c r="Y13" s="231"/>
      <c r="Z13" s="231"/>
      <c r="AA13" s="234"/>
    </row>
    <row r="14" spans="1:34">
      <c r="A14" s="216"/>
      <c r="B14" s="216">
        <v>12</v>
      </c>
      <c r="C14" s="225" t="s">
        <v>17</v>
      </c>
      <c r="D14" s="225" t="s">
        <v>878</v>
      </c>
      <c r="E14" s="225" t="s">
        <v>874</v>
      </c>
      <c r="F14" s="225" t="s">
        <v>877</v>
      </c>
      <c r="G14" s="225" t="s">
        <v>687</v>
      </c>
      <c r="H14" s="225" t="s">
        <v>941</v>
      </c>
      <c r="I14" s="216">
        <v>11</v>
      </c>
      <c r="J14" s="225" t="str">
        <f t="shared" si="0"/>
        <v>B</v>
      </c>
      <c r="K14" s="216"/>
      <c r="L14" s="216"/>
      <c r="M14" s="225"/>
      <c r="N14" s="225"/>
      <c r="O14" s="216"/>
      <c r="P14" s="233"/>
      <c r="Q14" s="231"/>
      <c r="R14" s="231"/>
      <c r="S14" s="231"/>
      <c r="T14" s="231"/>
      <c r="U14" s="232"/>
      <c r="V14" s="233"/>
      <c r="W14" s="231"/>
      <c r="X14" s="231"/>
      <c r="Y14" s="231"/>
      <c r="Z14" s="231"/>
      <c r="AA14" s="234"/>
    </row>
    <row r="15" spans="1:34">
      <c r="A15" s="216"/>
      <c r="B15" s="216">
        <v>13</v>
      </c>
      <c r="C15" s="225" t="s">
        <v>26</v>
      </c>
      <c r="D15" s="225" t="s">
        <v>879</v>
      </c>
      <c r="E15" s="225" t="s">
        <v>869</v>
      </c>
      <c r="F15" s="225" t="s">
        <v>880</v>
      </c>
      <c r="G15" s="225" t="s">
        <v>689</v>
      </c>
      <c r="H15" s="225" t="s">
        <v>942</v>
      </c>
      <c r="I15" s="216">
        <v>12</v>
      </c>
      <c r="J15" s="225" t="str">
        <f t="shared" si="0"/>
        <v>C</v>
      </c>
      <c r="K15" s="216"/>
      <c r="L15" s="216"/>
      <c r="M15" s="225"/>
      <c r="N15" s="225"/>
      <c r="O15" s="216"/>
      <c r="P15" s="233"/>
      <c r="Q15" s="231"/>
      <c r="R15" s="231"/>
      <c r="S15" s="231"/>
      <c r="T15" s="231"/>
      <c r="U15" s="232"/>
      <c r="V15" s="233"/>
      <c r="W15" s="231"/>
      <c r="X15" s="231"/>
      <c r="Y15" s="231"/>
      <c r="Z15" s="231"/>
      <c r="AA15" s="234"/>
    </row>
    <row r="16" spans="1:34">
      <c r="A16" s="216"/>
      <c r="B16" s="216">
        <v>14</v>
      </c>
      <c r="C16" s="225" t="s">
        <v>159</v>
      </c>
      <c r="D16" s="225"/>
      <c r="E16" s="225"/>
      <c r="F16" s="225" t="s">
        <v>881</v>
      </c>
      <c r="G16" s="225" t="s">
        <v>691</v>
      </c>
      <c r="H16" s="225" t="s">
        <v>943</v>
      </c>
      <c r="I16" s="216">
        <v>13</v>
      </c>
      <c r="J16" s="225" t="str">
        <f t="shared" si="0"/>
        <v>D</v>
      </c>
      <c r="K16" s="216" t="s">
        <v>929</v>
      </c>
      <c r="L16" s="216" t="s">
        <v>929</v>
      </c>
      <c r="M16" s="225"/>
      <c r="N16" s="225" t="s">
        <v>1010</v>
      </c>
      <c r="O16" s="216"/>
      <c r="P16" s="233"/>
      <c r="Q16" s="231"/>
      <c r="R16" s="231"/>
      <c r="S16" s="231"/>
      <c r="T16" s="231"/>
      <c r="U16" s="232"/>
      <c r="V16" s="233"/>
      <c r="W16" s="231"/>
      <c r="X16" s="231"/>
      <c r="Y16" s="231"/>
      <c r="Z16" s="231"/>
      <c r="AA16" s="234"/>
    </row>
    <row r="17" spans="1:27">
      <c r="A17" s="216"/>
      <c r="B17" s="216">
        <v>15</v>
      </c>
      <c r="C17" s="225" t="s">
        <v>11</v>
      </c>
      <c r="D17" s="225" t="s">
        <v>882</v>
      </c>
      <c r="E17" s="225" t="s">
        <v>866</v>
      </c>
      <c r="F17" s="225" t="s">
        <v>908</v>
      </c>
      <c r="G17" s="225" t="s">
        <v>848</v>
      </c>
      <c r="H17" s="225" t="s">
        <v>944</v>
      </c>
      <c r="I17" s="216">
        <v>14</v>
      </c>
      <c r="J17" s="225" t="str">
        <f t="shared" si="0"/>
        <v>E</v>
      </c>
      <c r="K17" s="216" t="s">
        <v>991</v>
      </c>
      <c r="L17" s="216"/>
      <c r="M17" s="225" t="s">
        <v>998</v>
      </c>
      <c r="N17" s="225"/>
      <c r="O17" s="216"/>
      <c r="P17" s="233"/>
      <c r="Q17" s="231"/>
      <c r="R17" s="231"/>
      <c r="S17" s="231"/>
      <c r="T17" s="231"/>
      <c r="U17" s="232"/>
      <c r="V17" s="233"/>
      <c r="W17" s="231"/>
      <c r="X17" s="231"/>
      <c r="Y17" s="231"/>
      <c r="Z17" s="231"/>
      <c r="AA17" s="234"/>
    </row>
    <row r="18" spans="1:27">
      <c r="A18" s="216"/>
      <c r="B18" s="216">
        <v>16</v>
      </c>
      <c r="C18" s="225" t="s">
        <v>14</v>
      </c>
      <c r="D18" s="225" t="s">
        <v>864</v>
      </c>
      <c r="E18" s="225" t="s">
        <v>882</v>
      </c>
      <c r="F18" s="225" t="s">
        <v>883</v>
      </c>
      <c r="G18" s="225" t="s">
        <v>695</v>
      </c>
      <c r="H18" s="225" t="s">
        <v>945</v>
      </c>
      <c r="I18" s="216">
        <v>15</v>
      </c>
      <c r="J18" s="225" t="str">
        <f t="shared" si="0"/>
        <v>F</v>
      </c>
      <c r="K18" s="216"/>
      <c r="L18" s="216"/>
      <c r="M18" s="225" t="s">
        <v>999</v>
      </c>
      <c r="N18" s="225"/>
      <c r="O18" s="216"/>
      <c r="P18" s="233"/>
      <c r="Q18" s="231"/>
      <c r="R18" s="231"/>
      <c r="S18" s="231"/>
      <c r="T18" s="231"/>
      <c r="U18" s="232"/>
      <c r="V18" s="233"/>
      <c r="W18" s="231"/>
      <c r="X18" s="231"/>
      <c r="Y18" s="231"/>
      <c r="Z18" s="231"/>
      <c r="AA18" s="234"/>
    </row>
    <row r="19" spans="1:27">
      <c r="A19" s="216"/>
      <c r="B19" s="216">
        <v>17</v>
      </c>
      <c r="C19" s="225" t="s">
        <v>142</v>
      </c>
      <c r="D19" s="225" t="s">
        <v>869</v>
      </c>
      <c r="E19" s="225" t="s">
        <v>864</v>
      </c>
      <c r="F19" s="225" t="s">
        <v>884</v>
      </c>
      <c r="G19" s="225" t="s">
        <v>697</v>
      </c>
      <c r="H19" s="225" t="s">
        <v>946</v>
      </c>
      <c r="I19" s="216">
        <v>16</v>
      </c>
      <c r="J19" s="225" t="str">
        <f t="shared" si="0"/>
        <v>10</v>
      </c>
      <c r="K19" s="216"/>
      <c r="L19" s="216"/>
      <c r="M19" s="225" t="s">
        <v>1000</v>
      </c>
      <c r="N19" s="225"/>
      <c r="O19" s="216"/>
      <c r="P19" s="233"/>
      <c r="Q19" s="231"/>
      <c r="R19" s="231"/>
      <c r="S19" s="231"/>
      <c r="T19" s="231"/>
      <c r="U19" s="232"/>
      <c r="V19" s="233"/>
      <c r="W19" s="231"/>
      <c r="X19" s="231"/>
      <c r="Y19" s="231"/>
      <c r="Z19" s="231"/>
      <c r="AA19" s="234"/>
    </row>
    <row r="20" spans="1:27">
      <c r="A20" s="216"/>
      <c r="B20" s="216">
        <v>18</v>
      </c>
      <c r="C20" s="225" t="s">
        <v>86</v>
      </c>
      <c r="D20" s="225" t="s">
        <v>864</v>
      </c>
      <c r="E20" s="225" t="s">
        <v>866</v>
      </c>
      <c r="F20" s="225" t="s">
        <v>864</v>
      </c>
      <c r="G20" s="225" t="s">
        <v>849</v>
      </c>
      <c r="H20" s="225" t="s">
        <v>947</v>
      </c>
      <c r="I20" s="216">
        <v>17</v>
      </c>
      <c r="J20" s="225" t="str">
        <f t="shared" si="0"/>
        <v>11</v>
      </c>
      <c r="K20" s="216"/>
      <c r="L20" s="216"/>
      <c r="M20" s="225" t="s">
        <v>1001</v>
      </c>
      <c r="N20" s="225"/>
      <c r="O20" s="216"/>
      <c r="P20" s="233"/>
      <c r="Q20" s="231"/>
      <c r="R20" s="231"/>
      <c r="S20" s="231"/>
      <c r="T20" s="231"/>
      <c r="U20" s="232"/>
      <c r="V20" s="233"/>
      <c r="W20" s="231"/>
      <c r="X20" s="231"/>
      <c r="Y20" s="231"/>
      <c r="Z20" s="231"/>
      <c r="AA20" s="234"/>
    </row>
    <row r="21" spans="1:27">
      <c r="A21" s="216"/>
      <c r="B21" s="216">
        <v>19</v>
      </c>
      <c r="C21" s="225" t="s">
        <v>147</v>
      </c>
      <c r="D21" s="225" t="s">
        <v>885</v>
      </c>
      <c r="E21" s="225" t="s">
        <v>882</v>
      </c>
      <c r="F21" s="225" t="s">
        <v>886</v>
      </c>
      <c r="G21" s="225" t="s">
        <v>700</v>
      </c>
      <c r="H21" s="225" t="s">
        <v>948</v>
      </c>
      <c r="I21" s="216">
        <v>18</v>
      </c>
      <c r="J21" s="225" t="str">
        <f t="shared" si="0"/>
        <v>12</v>
      </c>
      <c r="K21" s="216"/>
      <c r="L21" s="216"/>
      <c r="M21" s="225" t="s">
        <v>1002</v>
      </c>
      <c r="N21" s="225"/>
      <c r="O21" s="216"/>
      <c r="P21" s="233"/>
      <c r="Q21" s="231"/>
      <c r="R21" s="231"/>
      <c r="S21" s="231"/>
      <c r="T21" s="231"/>
      <c r="U21" s="232"/>
      <c r="V21" s="233"/>
      <c r="W21" s="231"/>
      <c r="X21" s="231"/>
      <c r="Y21" s="231"/>
      <c r="Z21" s="231"/>
      <c r="AA21" s="234"/>
    </row>
    <row r="22" spans="1:27">
      <c r="A22" s="216"/>
      <c r="B22" s="216">
        <v>20</v>
      </c>
      <c r="C22" s="225" t="s">
        <v>29</v>
      </c>
      <c r="D22" s="225" t="s">
        <v>887</v>
      </c>
      <c r="E22" s="225" t="s">
        <v>885</v>
      </c>
      <c r="F22" s="225" t="s">
        <v>864</v>
      </c>
      <c r="G22" s="225" t="s">
        <v>702</v>
      </c>
      <c r="H22" s="225" t="s">
        <v>949</v>
      </c>
      <c r="I22" s="216">
        <v>19</v>
      </c>
      <c r="J22" s="225" t="str">
        <f t="shared" si="0"/>
        <v>13</v>
      </c>
      <c r="K22" s="216"/>
      <c r="L22" s="216"/>
      <c r="M22" s="225" t="s">
        <v>1003</v>
      </c>
      <c r="N22" s="225"/>
      <c r="O22" s="216"/>
      <c r="P22" s="233"/>
      <c r="Q22" s="231"/>
      <c r="R22" s="231"/>
      <c r="S22" s="231"/>
      <c r="T22" s="231"/>
      <c r="U22" s="232"/>
      <c r="V22" s="233"/>
      <c r="W22" s="231"/>
      <c r="X22" s="231"/>
      <c r="Y22" s="231"/>
      <c r="Z22" s="231"/>
      <c r="AA22" s="234"/>
    </row>
    <row r="23" spans="1:27">
      <c r="A23" s="216"/>
      <c r="B23" s="216">
        <v>21</v>
      </c>
      <c r="C23" s="225" t="s">
        <v>11</v>
      </c>
      <c r="D23" s="225" t="s">
        <v>888</v>
      </c>
      <c r="E23" s="225" t="s">
        <v>887</v>
      </c>
      <c r="F23" s="225" t="s">
        <v>885</v>
      </c>
      <c r="G23" s="225" t="s">
        <v>850</v>
      </c>
      <c r="H23" s="225" t="s">
        <v>950</v>
      </c>
      <c r="I23" s="216">
        <v>20</v>
      </c>
      <c r="J23" s="225" t="str">
        <f t="shared" si="0"/>
        <v>14</v>
      </c>
      <c r="K23" s="216"/>
      <c r="L23" s="216"/>
      <c r="M23" s="225">
        <v>-1</v>
      </c>
      <c r="N23" s="225"/>
      <c r="O23" s="216"/>
      <c r="P23" s="233"/>
      <c r="Q23" s="231"/>
      <c r="R23" s="231"/>
      <c r="S23" s="231"/>
      <c r="T23" s="231"/>
      <c r="U23" s="232"/>
      <c r="V23" s="233"/>
      <c r="W23" s="231"/>
      <c r="X23" s="231"/>
      <c r="Y23" s="231"/>
      <c r="Z23" s="231"/>
      <c r="AA23" s="234"/>
    </row>
    <row r="24" spans="1:27">
      <c r="A24" s="216"/>
      <c r="B24" s="216">
        <v>22</v>
      </c>
      <c r="C24" s="225" t="s">
        <v>127</v>
      </c>
      <c r="D24" s="225" t="s">
        <v>864</v>
      </c>
      <c r="E24" s="225" t="s">
        <v>885</v>
      </c>
      <c r="F24" s="225" t="s">
        <v>889</v>
      </c>
      <c r="G24" s="225" t="s">
        <v>706</v>
      </c>
      <c r="H24" s="225" t="s">
        <v>951</v>
      </c>
      <c r="I24" s="216">
        <v>21</v>
      </c>
      <c r="J24" s="225" t="str">
        <f t="shared" si="0"/>
        <v>15</v>
      </c>
      <c r="L24" s="216" t="s">
        <v>926</v>
      </c>
      <c r="M24" s="225"/>
      <c r="N24" s="225"/>
      <c r="O24" s="216"/>
      <c r="P24" s="233"/>
      <c r="Q24" s="231"/>
      <c r="R24" s="231"/>
      <c r="S24" s="231"/>
      <c r="T24" s="231"/>
      <c r="U24" s="232"/>
      <c r="V24" s="233"/>
      <c r="W24" s="231"/>
      <c r="X24" s="231"/>
      <c r="Y24" s="231"/>
      <c r="Z24" s="231"/>
      <c r="AA24" s="234"/>
    </row>
    <row r="25" spans="1:27">
      <c r="A25" s="216"/>
      <c r="B25" s="216">
        <v>23</v>
      </c>
      <c r="C25" s="225" t="s">
        <v>122</v>
      </c>
      <c r="D25" s="225" t="s">
        <v>888</v>
      </c>
      <c r="E25" s="225" t="s">
        <v>885</v>
      </c>
      <c r="F25" s="225" t="s">
        <v>886</v>
      </c>
      <c r="G25" s="225" t="s">
        <v>851</v>
      </c>
      <c r="H25" s="225" t="s">
        <v>952</v>
      </c>
      <c r="I25" s="216">
        <v>22</v>
      </c>
      <c r="J25" s="225" t="str">
        <f t="shared" si="0"/>
        <v>16</v>
      </c>
      <c r="K25" s="216" t="s">
        <v>927</v>
      </c>
      <c r="L25" s="216" t="s">
        <v>928</v>
      </c>
      <c r="M25" s="225"/>
      <c r="N25" s="225"/>
      <c r="O25" s="216"/>
      <c r="P25" s="233"/>
      <c r="Q25" s="231"/>
      <c r="R25" s="231"/>
      <c r="S25" s="231"/>
      <c r="T25" s="231"/>
      <c r="U25" s="232"/>
      <c r="V25" s="233"/>
      <c r="W25" s="231"/>
      <c r="X25" s="231"/>
      <c r="Y25" s="231"/>
      <c r="Z25" s="231"/>
      <c r="AA25" s="234"/>
    </row>
    <row r="26" spans="1:27">
      <c r="A26" s="216"/>
      <c r="B26" s="216">
        <v>24</v>
      </c>
      <c r="C26" s="225" t="s">
        <v>131</v>
      </c>
      <c r="D26" s="225" t="s">
        <v>885</v>
      </c>
      <c r="E26" s="225" t="s">
        <v>888</v>
      </c>
      <c r="F26" s="225" t="s">
        <v>890</v>
      </c>
      <c r="G26" s="225" t="s">
        <v>970</v>
      </c>
      <c r="H26" s="225" t="s">
        <v>953</v>
      </c>
      <c r="I26" s="216">
        <v>23</v>
      </c>
      <c r="J26" s="225" t="str">
        <f t="shared" si="0"/>
        <v>17</v>
      </c>
      <c r="K26" s="216"/>
      <c r="L26" s="216" t="s">
        <v>1004</v>
      </c>
      <c r="M26" s="225" t="s">
        <v>1006</v>
      </c>
      <c r="N26" s="225"/>
      <c r="O26" s="216"/>
      <c r="P26" s="233"/>
      <c r="Q26" s="231"/>
      <c r="R26" s="231"/>
      <c r="S26" s="231"/>
      <c r="T26" s="231"/>
      <c r="U26" s="232"/>
      <c r="V26" s="233"/>
      <c r="W26" s="231"/>
      <c r="X26" s="231"/>
      <c r="Y26" s="231"/>
      <c r="Z26" s="231"/>
      <c r="AA26" s="234"/>
    </row>
    <row r="27" spans="1:27">
      <c r="A27" s="216"/>
      <c r="B27" s="216">
        <v>25</v>
      </c>
      <c r="C27" s="225" t="s">
        <v>127</v>
      </c>
      <c r="D27" s="225" t="s">
        <v>888</v>
      </c>
      <c r="E27" s="225" t="s">
        <v>885</v>
      </c>
      <c r="F27" s="225" t="s">
        <v>891</v>
      </c>
      <c r="G27" s="225" t="s">
        <v>852</v>
      </c>
      <c r="H27" s="225" t="s">
        <v>954</v>
      </c>
      <c r="I27" s="216">
        <v>24</v>
      </c>
      <c r="J27" s="225" t="str">
        <f t="shared" si="0"/>
        <v>18</v>
      </c>
      <c r="K27" s="216"/>
      <c r="L27" s="216" t="s">
        <v>1005</v>
      </c>
      <c r="M27" s="225"/>
      <c r="N27" s="225"/>
      <c r="O27" s="216"/>
      <c r="P27" s="233"/>
      <c r="Q27" s="231"/>
      <c r="R27" s="231"/>
      <c r="S27" s="231"/>
      <c r="T27" s="231"/>
      <c r="U27" s="232"/>
      <c r="V27" s="233"/>
      <c r="W27" s="231"/>
      <c r="X27" s="231"/>
      <c r="Y27" s="231"/>
      <c r="Z27" s="231"/>
      <c r="AA27" s="234"/>
    </row>
    <row r="28" spans="1:27">
      <c r="A28" s="216"/>
      <c r="B28" s="216">
        <v>26</v>
      </c>
      <c r="C28" s="225" t="s">
        <v>91</v>
      </c>
      <c r="D28" s="225" t="s">
        <v>864</v>
      </c>
      <c r="E28" s="225" t="s">
        <v>577</v>
      </c>
      <c r="F28" s="225" t="s">
        <v>864</v>
      </c>
      <c r="G28" s="225" t="s">
        <v>676</v>
      </c>
      <c r="H28" s="225" t="s">
        <v>936</v>
      </c>
      <c r="I28" s="216">
        <v>25</v>
      </c>
      <c r="J28" s="225" t="str">
        <f t="shared" si="0"/>
        <v>19</v>
      </c>
      <c r="K28" s="216"/>
      <c r="L28" s="216" t="s">
        <v>991</v>
      </c>
      <c r="M28" s="225"/>
      <c r="N28" s="225"/>
      <c r="O28" s="216"/>
      <c r="P28" s="233"/>
      <c r="Q28" s="231"/>
      <c r="R28" s="231"/>
      <c r="S28" s="231"/>
      <c r="T28" s="231"/>
      <c r="U28" s="232"/>
      <c r="V28" s="233"/>
      <c r="W28" s="231"/>
      <c r="X28" s="231"/>
      <c r="Y28" s="231"/>
      <c r="Z28" s="231"/>
      <c r="AA28" s="234"/>
    </row>
    <row r="29" spans="1:27">
      <c r="A29" s="216"/>
      <c r="B29" s="216">
        <v>27</v>
      </c>
      <c r="C29" s="225" t="s">
        <v>96</v>
      </c>
      <c r="D29" s="225" t="s">
        <v>864</v>
      </c>
      <c r="E29" s="225" t="s">
        <v>894</v>
      </c>
      <c r="F29" s="225" t="s">
        <v>864</v>
      </c>
      <c r="G29" s="225" t="s">
        <v>853</v>
      </c>
      <c r="H29" s="225" t="s">
        <v>955</v>
      </c>
      <c r="I29" s="216">
        <v>26</v>
      </c>
      <c r="J29" s="225" t="str">
        <f t="shared" si="0"/>
        <v>1A</v>
      </c>
      <c r="K29" s="216" t="s">
        <v>928</v>
      </c>
      <c r="L29" s="216"/>
      <c r="M29" s="225"/>
      <c r="N29" s="225"/>
      <c r="O29" s="216"/>
      <c r="P29" s="233"/>
      <c r="Q29" s="231"/>
      <c r="R29" s="231"/>
      <c r="S29" s="231"/>
      <c r="T29" s="231"/>
      <c r="U29" s="232"/>
      <c r="V29" s="233"/>
      <c r="W29" s="231"/>
      <c r="X29" s="231"/>
      <c r="Y29" s="231"/>
      <c r="Z29" s="231"/>
      <c r="AA29" s="234"/>
    </row>
    <row r="30" spans="1:27">
      <c r="A30" s="216"/>
      <c r="B30" s="216">
        <v>28</v>
      </c>
      <c r="C30" s="225" t="s">
        <v>57</v>
      </c>
      <c r="D30" s="225" t="s">
        <v>888</v>
      </c>
      <c r="E30" s="225" t="s">
        <v>864</v>
      </c>
      <c r="F30" s="225" t="s">
        <v>864</v>
      </c>
      <c r="G30" s="225" t="s">
        <v>854</v>
      </c>
      <c r="H30" s="225" t="s">
        <v>956</v>
      </c>
      <c r="I30" s="216">
        <v>27</v>
      </c>
      <c r="J30" s="225" t="str">
        <f t="shared" si="0"/>
        <v>1B</v>
      </c>
      <c r="K30" s="216" t="s">
        <v>1005</v>
      </c>
      <c r="L30" s="216"/>
      <c r="M30" s="225"/>
      <c r="N30" s="225"/>
      <c r="O30" s="216"/>
      <c r="P30" s="233"/>
      <c r="Q30" s="231"/>
      <c r="R30" s="231"/>
      <c r="S30" s="231"/>
      <c r="T30" s="231"/>
      <c r="U30" s="232"/>
      <c r="V30" s="233"/>
      <c r="W30" s="231"/>
      <c r="X30" s="231"/>
      <c r="Y30" s="231"/>
      <c r="Z30" s="231"/>
      <c r="AA30" s="234"/>
    </row>
    <row r="31" spans="1:27">
      <c r="A31" s="216"/>
      <c r="B31" s="216">
        <v>29</v>
      </c>
      <c r="C31" s="225" t="s">
        <v>159</v>
      </c>
      <c r="D31" s="225"/>
      <c r="E31" s="225"/>
      <c r="F31" s="225">
        <v>-7</v>
      </c>
      <c r="G31" s="225" t="s">
        <v>718</v>
      </c>
      <c r="H31" s="225" t="s">
        <v>957</v>
      </c>
      <c r="I31" s="216">
        <v>28</v>
      </c>
      <c r="J31" s="225" t="str">
        <f t="shared" si="0"/>
        <v>1C</v>
      </c>
      <c r="K31" s="216"/>
      <c r="L31" s="216" t="s">
        <v>927</v>
      </c>
      <c r="M31" s="225"/>
      <c r="N31" s="225"/>
      <c r="O31" s="216"/>
      <c r="P31" s="233"/>
      <c r="Q31" s="231"/>
      <c r="R31" s="231"/>
      <c r="S31" s="231"/>
      <c r="T31" s="231"/>
      <c r="U31" s="232"/>
      <c r="V31" s="233"/>
      <c r="W31" s="231"/>
      <c r="X31" s="231"/>
      <c r="Y31" s="231"/>
      <c r="Z31" s="231"/>
      <c r="AA31" s="234"/>
    </row>
    <row r="32" spans="1:27">
      <c r="A32" s="216"/>
      <c r="B32" s="216">
        <v>30</v>
      </c>
      <c r="C32" s="225" t="s">
        <v>57</v>
      </c>
      <c r="D32" s="225" t="s">
        <v>885</v>
      </c>
      <c r="E32" s="225" t="s">
        <v>864</v>
      </c>
      <c r="F32" s="225" t="s">
        <v>864</v>
      </c>
      <c r="G32" s="225" t="s">
        <v>855</v>
      </c>
      <c r="H32" s="225" t="s">
        <v>958</v>
      </c>
      <c r="I32" s="216">
        <v>29</v>
      </c>
      <c r="J32" s="225" t="str">
        <f t="shared" si="0"/>
        <v>1D</v>
      </c>
      <c r="K32" s="216" t="s">
        <v>1004</v>
      </c>
      <c r="L32" s="216"/>
      <c r="M32" s="225"/>
      <c r="N32" s="225"/>
      <c r="O32" s="216"/>
      <c r="P32" s="233"/>
      <c r="Q32" s="231"/>
      <c r="R32" s="231"/>
      <c r="S32" s="231"/>
      <c r="T32" s="231"/>
      <c r="U32" s="232"/>
      <c r="V32" s="233"/>
      <c r="W32" s="231"/>
      <c r="X32" s="231"/>
      <c r="Y32" s="231"/>
      <c r="Z32" s="231"/>
      <c r="AA32" s="234"/>
    </row>
    <row r="33" spans="1:27">
      <c r="A33" s="216"/>
      <c r="B33" s="216">
        <v>31</v>
      </c>
      <c r="C33" s="225" t="s">
        <v>159</v>
      </c>
      <c r="D33" s="225"/>
      <c r="E33" s="225"/>
      <c r="F33" s="225">
        <v>-9</v>
      </c>
      <c r="G33" s="225" t="s">
        <v>721</v>
      </c>
      <c r="H33" s="225" t="s">
        <v>959</v>
      </c>
      <c r="I33" s="216">
        <v>30</v>
      </c>
      <c r="J33" s="225" t="str">
        <f t="shared" si="0"/>
        <v>1E</v>
      </c>
      <c r="K33" s="216" t="s">
        <v>926</v>
      </c>
      <c r="L33" s="216"/>
      <c r="M33" s="225"/>
      <c r="N33" s="225"/>
      <c r="O33" s="216"/>
      <c r="P33" s="233"/>
      <c r="Q33" s="231"/>
      <c r="R33" s="231"/>
      <c r="S33" s="231"/>
      <c r="T33" s="231"/>
      <c r="U33" s="232"/>
      <c r="V33" s="233"/>
      <c r="W33" s="231"/>
      <c r="X33" s="231"/>
      <c r="Y33" s="231"/>
      <c r="Z33" s="231"/>
      <c r="AA33" s="234"/>
    </row>
    <row r="34" spans="1:27">
      <c r="A34" s="216"/>
      <c r="B34" s="216">
        <v>32</v>
      </c>
      <c r="C34" s="225" t="s">
        <v>17</v>
      </c>
      <c r="D34" s="225" t="s">
        <v>899</v>
      </c>
      <c r="E34" s="225" t="s">
        <v>869</v>
      </c>
      <c r="F34" s="225" t="s">
        <v>900</v>
      </c>
      <c r="G34" s="225" t="s">
        <v>723</v>
      </c>
      <c r="H34" s="225" t="s">
        <v>960</v>
      </c>
      <c r="I34" s="216">
        <v>31</v>
      </c>
      <c r="J34" s="225" t="str">
        <f t="shared" si="0"/>
        <v>1F</v>
      </c>
      <c r="K34" s="216" t="s">
        <v>923</v>
      </c>
      <c r="L34" s="216"/>
      <c r="M34" s="225"/>
      <c r="N34" s="225"/>
      <c r="O34" s="216"/>
      <c r="P34" s="233"/>
      <c r="Q34" s="231"/>
      <c r="R34" s="231"/>
      <c r="S34" s="231"/>
      <c r="T34" s="231"/>
      <c r="U34" s="232"/>
      <c r="V34" s="233"/>
      <c r="W34" s="231"/>
      <c r="X34" s="231"/>
      <c r="Y34" s="231"/>
      <c r="Z34" s="231"/>
      <c r="AA34" s="234"/>
    </row>
    <row r="35" spans="1:27">
      <c r="A35" s="216"/>
      <c r="B35" s="216">
        <v>33</v>
      </c>
      <c r="C35" s="225" t="s">
        <v>20</v>
      </c>
      <c r="D35" s="225" t="s">
        <v>901</v>
      </c>
      <c r="E35" s="225" t="s">
        <v>899</v>
      </c>
      <c r="F35" s="225" t="s">
        <v>902</v>
      </c>
      <c r="G35" s="225" t="s">
        <v>725</v>
      </c>
      <c r="H35" s="225" t="s">
        <v>961</v>
      </c>
      <c r="I35" s="216">
        <v>32</v>
      </c>
      <c r="J35" s="225" t="str">
        <f t="shared" si="0"/>
        <v>20</v>
      </c>
      <c r="K35" s="216"/>
      <c r="L35" s="216"/>
      <c r="M35" s="225"/>
      <c r="N35" s="225"/>
      <c r="O35" s="216"/>
      <c r="P35" s="233"/>
      <c r="Q35" s="231"/>
      <c r="R35" s="231"/>
      <c r="S35" s="231"/>
      <c r="T35" s="231"/>
      <c r="U35" s="232"/>
      <c r="V35" s="233"/>
      <c r="W35" s="231"/>
      <c r="X35" s="231"/>
      <c r="Y35" s="231"/>
      <c r="Z35" s="231"/>
      <c r="AA35" s="234"/>
    </row>
    <row r="36" spans="1:27">
      <c r="A36" s="216"/>
      <c r="B36" s="216">
        <v>34</v>
      </c>
      <c r="C36" s="225" t="s">
        <v>152</v>
      </c>
      <c r="D36" s="225" t="s">
        <v>869</v>
      </c>
      <c r="E36" s="225" t="s">
        <v>901</v>
      </c>
      <c r="F36" s="225" t="s">
        <v>903</v>
      </c>
      <c r="G36" s="225" t="s">
        <v>727</v>
      </c>
      <c r="H36" s="225" t="s">
        <v>962</v>
      </c>
      <c r="I36" s="216">
        <v>33</v>
      </c>
      <c r="J36" s="225" t="str">
        <f t="shared" si="0"/>
        <v>21</v>
      </c>
      <c r="K36" s="216"/>
      <c r="L36" s="216"/>
      <c r="M36" s="225"/>
      <c r="N36" s="225"/>
      <c r="O36" s="216"/>
      <c r="P36" s="233"/>
      <c r="Q36" s="231"/>
      <c r="R36" s="231"/>
      <c r="S36" s="231"/>
      <c r="T36" s="231"/>
      <c r="U36" s="232"/>
      <c r="V36" s="233"/>
      <c r="W36" s="231"/>
      <c r="X36" s="231"/>
      <c r="Y36" s="231"/>
      <c r="Z36" s="231"/>
      <c r="AA36" s="234"/>
    </row>
    <row r="37" spans="1:27">
      <c r="A37" s="216"/>
      <c r="B37" s="216">
        <v>35</v>
      </c>
      <c r="C37" s="225" t="s">
        <v>147</v>
      </c>
      <c r="D37" s="225" t="s">
        <v>904</v>
      </c>
      <c r="E37" s="225" t="s">
        <v>864</v>
      </c>
      <c r="F37" s="225" t="s">
        <v>884</v>
      </c>
      <c r="G37" s="225" t="s">
        <v>729</v>
      </c>
      <c r="H37" s="225" t="s">
        <v>963</v>
      </c>
      <c r="I37" s="216">
        <v>34</v>
      </c>
      <c r="J37" s="225" t="str">
        <f t="shared" si="0"/>
        <v>22</v>
      </c>
      <c r="K37" s="216"/>
      <c r="L37" s="216"/>
      <c r="M37" s="225"/>
      <c r="N37" s="225"/>
      <c r="O37" s="216"/>
      <c r="P37" s="233"/>
      <c r="Q37" s="231"/>
      <c r="R37" s="231"/>
      <c r="S37" s="231"/>
      <c r="T37" s="231"/>
      <c r="U37" s="232"/>
      <c r="V37" s="233"/>
      <c r="W37" s="231"/>
      <c r="X37" s="231"/>
      <c r="Y37" s="231"/>
      <c r="Z37" s="231"/>
      <c r="AA37" s="234"/>
    </row>
    <row r="38" spans="1:27">
      <c r="A38" s="216"/>
      <c r="B38" s="216">
        <v>36</v>
      </c>
      <c r="C38" s="225" t="s">
        <v>137</v>
      </c>
      <c r="D38" s="225" t="s">
        <v>906</v>
      </c>
      <c r="E38" s="225" t="s">
        <v>864</v>
      </c>
      <c r="F38" s="225" t="s">
        <v>907</v>
      </c>
      <c r="G38" s="225" t="s">
        <v>856</v>
      </c>
      <c r="H38" s="225" t="s">
        <v>964</v>
      </c>
      <c r="I38" s="216">
        <v>35</v>
      </c>
      <c r="J38" s="225" t="str">
        <f t="shared" si="0"/>
        <v>23</v>
      </c>
      <c r="K38" s="216"/>
      <c r="L38" s="216"/>
      <c r="M38" s="225"/>
      <c r="N38" s="225"/>
      <c r="O38" s="216"/>
      <c r="P38" s="233"/>
      <c r="Q38" s="231"/>
      <c r="R38" s="231"/>
      <c r="S38" s="231"/>
      <c r="T38" s="231"/>
      <c r="U38" s="232"/>
      <c r="V38" s="233"/>
      <c r="W38" s="231"/>
      <c r="X38" s="231"/>
      <c r="Y38" s="231"/>
      <c r="Z38" s="231"/>
      <c r="AA38" s="234"/>
    </row>
    <row r="39" spans="1:27" ht="15.75" thickBot="1">
      <c r="A39" s="216"/>
      <c r="B39" s="216">
        <v>37</v>
      </c>
      <c r="C39" s="225" t="s">
        <v>96</v>
      </c>
      <c r="D39" s="225" t="s">
        <v>864</v>
      </c>
      <c r="E39" s="225" t="s">
        <v>894</v>
      </c>
      <c r="F39" s="225" t="s">
        <v>864</v>
      </c>
      <c r="G39" s="225" t="s">
        <v>853</v>
      </c>
      <c r="H39" s="225" t="s">
        <v>955</v>
      </c>
      <c r="I39" s="216">
        <v>36</v>
      </c>
      <c r="J39" s="225" t="str">
        <f t="shared" si="0"/>
        <v>24</v>
      </c>
      <c r="K39" s="216" t="s">
        <v>1009</v>
      </c>
      <c r="L39" s="216"/>
      <c r="M39" s="225"/>
      <c r="N39" s="225"/>
      <c r="O39" s="216"/>
      <c r="P39" s="235"/>
      <c r="Q39" s="236"/>
      <c r="R39" s="236"/>
      <c r="S39" s="236"/>
      <c r="T39" s="236"/>
      <c r="U39" s="237"/>
      <c r="V39" s="235"/>
      <c r="W39" s="236"/>
      <c r="X39" s="236"/>
      <c r="Y39" s="236"/>
      <c r="Z39" s="236"/>
      <c r="AA39" s="238"/>
    </row>
    <row r="40" spans="1:27">
      <c r="F40" s="212"/>
      <c r="G40" s="212"/>
      <c r="H40" s="212"/>
      <c r="I40" s="212"/>
      <c r="M40" s="212"/>
      <c r="N40" s="212"/>
    </row>
  </sheetData>
  <mergeCells count="2">
    <mergeCell ref="P1:U1"/>
    <mergeCell ref="V1:AA1"/>
  </mergeCell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Roman,Regular"&amp;A</oddHeader>
    <oddFooter>&amp;C&amp;"Times New Roman,Regular"Page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topLeftCell="A31" zoomScale="85" zoomScaleNormal="85" workbookViewId="0">
      <selection activeCell="M16" sqref="M16"/>
    </sheetView>
  </sheetViews>
  <sheetFormatPr defaultRowHeight="15.75"/>
  <cols>
    <col min="1" max="1" width="6.5" bestFit="1" customWidth="1"/>
    <col min="2" max="2" width="8.125" customWidth="1"/>
    <col min="3" max="3" width="8.875" bestFit="1" customWidth="1"/>
    <col min="5" max="5" width="8.625" bestFit="1" customWidth="1"/>
    <col min="8" max="8" width="5.5" bestFit="1" customWidth="1"/>
    <col min="9" max="9" width="8.75" bestFit="1" customWidth="1"/>
    <col min="10" max="11" width="8" bestFit="1" customWidth="1"/>
    <col min="12" max="12" width="9.875" customWidth="1"/>
    <col min="13" max="13" width="8.125" bestFit="1" customWidth="1"/>
  </cols>
  <sheetData>
    <row r="1" spans="1:13" ht="16.5" thickBot="1">
      <c r="A1" s="249" t="s">
        <v>1012</v>
      </c>
      <c r="B1" s="249"/>
      <c r="C1" s="249"/>
      <c r="D1" s="249"/>
      <c r="E1" s="249"/>
      <c r="F1" s="249"/>
      <c r="G1" s="249"/>
      <c r="H1" s="249"/>
      <c r="I1" s="249"/>
      <c r="J1" s="249"/>
      <c r="K1" s="249"/>
      <c r="L1" s="249"/>
      <c r="M1" s="249"/>
    </row>
    <row r="2" spans="1:13" ht="60.75" thickBot="1">
      <c r="A2" s="219" t="s">
        <v>858</v>
      </c>
      <c r="B2" s="220" t="s">
        <v>860</v>
      </c>
      <c r="C2" s="220" t="s">
        <v>861</v>
      </c>
      <c r="D2" s="220" t="s">
        <v>862</v>
      </c>
      <c r="E2" s="220" t="s">
        <v>863</v>
      </c>
      <c r="F2" s="220" t="s">
        <v>857</v>
      </c>
      <c r="G2" s="220" t="s">
        <v>909</v>
      </c>
      <c r="H2" s="220" t="s">
        <v>1008</v>
      </c>
      <c r="I2" s="220" t="s">
        <v>859</v>
      </c>
      <c r="J2" s="219" t="s">
        <v>915</v>
      </c>
      <c r="K2" s="219" t="s">
        <v>972</v>
      </c>
      <c r="L2" s="220" t="s">
        <v>996</v>
      </c>
      <c r="M2" s="220" t="s">
        <v>1007</v>
      </c>
    </row>
    <row r="3" spans="1:13" ht="60">
      <c r="A3" s="216">
        <v>1</v>
      </c>
      <c r="B3" s="225" t="s">
        <v>342</v>
      </c>
      <c r="C3" s="225" t="s">
        <v>577</v>
      </c>
      <c r="D3" s="225" t="s">
        <v>864</v>
      </c>
      <c r="E3" s="225" t="s">
        <v>865</v>
      </c>
      <c r="F3" s="225" t="s">
        <v>845</v>
      </c>
      <c r="G3" s="225" t="s">
        <v>930</v>
      </c>
      <c r="H3" s="216">
        <v>0</v>
      </c>
      <c r="I3" s="225" t="str">
        <f>DEC2HEX(H3)</f>
        <v>0</v>
      </c>
      <c r="J3" s="216"/>
      <c r="K3" s="216"/>
      <c r="L3" s="225" t="s">
        <v>1011</v>
      </c>
      <c r="M3" s="225"/>
    </row>
    <row r="4" spans="1:13" ht="45">
      <c r="A4" s="216">
        <v>2</v>
      </c>
      <c r="B4" s="225" t="s">
        <v>342</v>
      </c>
      <c r="C4" s="225" t="s">
        <v>866</v>
      </c>
      <c r="D4" s="225" t="s">
        <v>864</v>
      </c>
      <c r="E4" s="225" t="s">
        <v>867</v>
      </c>
      <c r="F4" s="225" t="s">
        <v>846</v>
      </c>
      <c r="G4" s="225" t="s">
        <v>931</v>
      </c>
      <c r="H4" s="216">
        <v>1</v>
      </c>
      <c r="I4" s="225" t="str">
        <f t="shared" ref="I4:I39" si="0">DEC2HEX(H4)</f>
        <v>1</v>
      </c>
      <c r="J4" s="216"/>
      <c r="K4" s="216"/>
      <c r="L4" s="225" t="s">
        <v>992</v>
      </c>
      <c r="M4" s="225"/>
    </row>
    <row r="5" spans="1:13" ht="45">
      <c r="A5" s="216">
        <v>3</v>
      </c>
      <c r="B5" s="225" t="s">
        <v>52</v>
      </c>
      <c r="C5" s="225" t="s">
        <v>868</v>
      </c>
      <c r="D5" s="225" t="s">
        <v>866</v>
      </c>
      <c r="E5" s="225" t="s">
        <v>864</v>
      </c>
      <c r="F5" s="225" t="s">
        <v>847</v>
      </c>
      <c r="G5" s="225" t="s">
        <v>932</v>
      </c>
      <c r="H5" s="216">
        <v>2</v>
      </c>
      <c r="I5" s="225" t="str">
        <f t="shared" si="0"/>
        <v>2</v>
      </c>
      <c r="J5" s="216"/>
      <c r="K5" s="216"/>
      <c r="L5" s="225" t="s">
        <v>993</v>
      </c>
      <c r="M5" s="225"/>
    </row>
    <row r="6" spans="1:13" ht="75">
      <c r="A6" s="216">
        <v>4</v>
      </c>
      <c r="B6" s="225" t="s">
        <v>345</v>
      </c>
      <c r="C6" s="225" t="s">
        <v>869</v>
      </c>
      <c r="D6" s="225" t="s">
        <v>864</v>
      </c>
      <c r="E6" s="225" t="s">
        <v>870</v>
      </c>
      <c r="F6" s="225" t="s">
        <v>667</v>
      </c>
      <c r="G6" s="225" t="s">
        <v>933</v>
      </c>
      <c r="H6" s="216">
        <v>3</v>
      </c>
      <c r="I6" s="225" t="str">
        <f t="shared" si="0"/>
        <v>3</v>
      </c>
      <c r="J6" s="216"/>
      <c r="K6" s="216"/>
      <c r="L6" s="225" t="s">
        <v>994</v>
      </c>
      <c r="M6" s="225"/>
    </row>
    <row r="7" spans="1:13" ht="45">
      <c r="A7" s="216">
        <v>5</v>
      </c>
      <c r="B7" s="225" t="s">
        <v>52</v>
      </c>
      <c r="C7" s="225" t="s">
        <v>871</v>
      </c>
      <c r="D7" s="225" t="s">
        <v>869</v>
      </c>
      <c r="E7" s="225" t="s">
        <v>864</v>
      </c>
      <c r="F7" s="225" t="s">
        <v>670</v>
      </c>
      <c r="G7" s="225" t="s">
        <v>934</v>
      </c>
      <c r="H7" s="216">
        <v>4</v>
      </c>
      <c r="I7" s="225" t="str">
        <f t="shared" si="0"/>
        <v>4</v>
      </c>
      <c r="J7" s="216"/>
      <c r="K7" s="216"/>
      <c r="L7" s="247" t="s">
        <v>995</v>
      </c>
      <c r="M7" s="246"/>
    </row>
    <row r="8" spans="1:13" ht="45">
      <c r="A8" s="216">
        <v>6</v>
      </c>
      <c r="B8" s="225" t="s">
        <v>48</v>
      </c>
      <c r="C8" s="225" t="s">
        <v>872</v>
      </c>
      <c r="D8" s="225" t="s">
        <v>868</v>
      </c>
      <c r="E8" s="225" t="s">
        <v>864</v>
      </c>
      <c r="F8" s="225" t="s">
        <v>673</v>
      </c>
      <c r="G8" s="225" t="s">
        <v>935</v>
      </c>
      <c r="H8" s="216">
        <v>5</v>
      </c>
      <c r="I8" s="225" t="str">
        <f t="shared" si="0"/>
        <v>5</v>
      </c>
      <c r="J8" s="216"/>
      <c r="K8" s="216"/>
      <c r="L8" s="225"/>
      <c r="M8" s="225"/>
    </row>
    <row r="9" spans="1:13" ht="45">
      <c r="A9" s="216">
        <v>7</v>
      </c>
      <c r="B9" s="225" t="s">
        <v>91</v>
      </c>
      <c r="C9" s="225" t="s">
        <v>864</v>
      </c>
      <c r="D9" s="225" t="s">
        <v>577</v>
      </c>
      <c r="E9" s="225" t="s">
        <v>864</v>
      </c>
      <c r="F9" s="225" t="s">
        <v>676</v>
      </c>
      <c r="G9" s="225" t="s">
        <v>936</v>
      </c>
      <c r="H9" s="216">
        <v>6</v>
      </c>
      <c r="I9" s="225" t="str">
        <f t="shared" si="0"/>
        <v>6</v>
      </c>
      <c r="J9" s="216"/>
      <c r="K9" s="216" t="s">
        <v>991</v>
      </c>
      <c r="L9" s="225"/>
      <c r="M9" s="225"/>
    </row>
    <row r="10" spans="1:13" ht="45">
      <c r="A10" s="216">
        <v>8</v>
      </c>
      <c r="B10" s="225" t="s">
        <v>68</v>
      </c>
      <c r="C10" s="225" t="s">
        <v>864</v>
      </c>
      <c r="D10" s="225" t="s">
        <v>864</v>
      </c>
      <c r="E10" s="225" t="s">
        <v>864</v>
      </c>
      <c r="F10" s="225" t="s">
        <v>522</v>
      </c>
      <c r="G10" s="225" t="s">
        <v>937</v>
      </c>
      <c r="H10" s="216">
        <v>7</v>
      </c>
      <c r="I10" s="225" t="str">
        <f t="shared" si="0"/>
        <v>7</v>
      </c>
      <c r="J10" s="216"/>
      <c r="K10" s="216"/>
      <c r="L10" s="225"/>
      <c r="M10" s="225"/>
    </row>
    <row r="11" spans="1:13" ht="30">
      <c r="A11" s="216">
        <v>9</v>
      </c>
      <c r="B11" s="225" t="s">
        <v>164</v>
      </c>
      <c r="C11" s="225"/>
      <c r="D11" s="225"/>
      <c r="E11" s="225" t="s">
        <v>873</v>
      </c>
      <c r="F11" s="225" t="s">
        <v>681</v>
      </c>
      <c r="G11" s="225" t="s">
        <v>938</v>
      </c>
      <c r="H11" s="216">
        <v>8</v>
      </c>
      <c r="I11" s="225" t="str">
        <f t="shared" si="0"/>
        <v>8</v>
      </c>
      <c r="J11" s="216"/>
      <c r="K11" s="216" t="s">
        <v>997</v>
      </c>
      <c r="L11" s="225"/>
      <c r="M11" s="225"/>
    </row>
    <row r="12" spans="1:13" ht="45">
      <c r="A12" s="216">
        <v>10</v>
      </c>
      <c r="B12" s="225" t="s">
        <v>147</v>
      </c>
      <c r="C12" s="225" t="s">
        <v>874</v>
      </c>
      <c r="D12" s="225" t="s">
        <v>864</v>
      </c>
      <c r="E12" s="225" t="s">
        <v>875</v>
      </c>
      <c r="F12" s="225" t="s">
        <v>683</v>
      </c>
      <c r="G12" s="225" t="s">
        <v>939</v>
      </c>
      <c r="H12" s="216">
        <v>9</v>
      </c>
      <c r="I12" s="225" t="str">
        <f t="shared" si="0"/>
        <v>9</v>
      </c>
      <c r="J12" s="216"/>
      <c r="K12" s="216"/>
      <c r="L12" s="225"/>
      <c r="M12" s="225"/>
    </row>
    <row r="13" spans="1:13" ht="60">
      <c r="A13" s="216">
        <v>11</v>
      </c>
      <c r="B13" s="225" t="s">
        <v>20</v>
      </c>
      <c r="C13" s="225" t="s">
        <v>876</v>
      </c>
      <c r="D13" s="225" t="s">
        <v>874</v>
      </c>
      <c r="E13" s="225" t="s">
        <v>877</v>
      </c>
      <c r="F13" s="225" t="s">
        <v>685</v>
      </c>
      <c r="G13" s="225" t="s">
        <v>940</v>
      </c>
      <c r="H13" s="216">
        <v>10</v>
      </c>
      <c r="I13" s="225" t="str">
        <f t="shared" si="0"/>
        <v>A</v>
      </c>
      <c r="J13" s="216"/>
      <c r="K13" s="216"/>
      <c r="L13" s="225"/>
      <c r="M13" s="225"/>
    </row>
    <row r="14" spans="1:13" ht="60">
      <c r="A14" s="216">
        <v>12</v>
      </c>
      <c r="B14" s="225" t="s">
        <v>17</v>
      </c>
      <c r="C14" s="225" t="s">
        <v>878</v>
      </c>
      <c r="D14" s="225" t="s">
        <v>874</v>
      </c>
      <c r="E14" s="225" t="s">
        <v>877</v>
      </c>
      <c r="F14" s="225" t="s">
        <v>687</v>
      </c>
      <c r="G14" s="225" t="s">
        <v>941</v>
      </c>
      <c r="H14" s="216">
        <v>11</v>
      </c>
      <c r="I14" s="225" t="str">
        <f t="shared" si="0"/>
        <v>B</v>
      </c>
      <c r="J14" s="216"/>
      <c r="K14" s="216"/>
      <c r="L14" s="225"/>
      <c r="M14" s="225"/>
    </row>
    <row r="15" spans="1:13" ht="60">
      <c r="A15" s="216">
        <v>13</v>
      </c>
      <c r="B15" s="225" t="s">
        <v>26</v>
      </c>
      <c r="C15" s="225" t="s">
        <v>879</v>
      </c>
      <c r="D15" s="225" t="s">
        <v>869</v>
      </c>
      <c r="E15" s="225" t="s">
        <v>880</v>
      </c>
      <c r="F15" s="225" t="s">
        <v>689</v>
      </c>
      <c r="G15" s="225" t="s">
        <v>942</v>
      </c>
      <c r="H15" s="216">
        <v>12</v>
      </c>
      <c r="I15" s="225" t="str">
        <f t="shared" si="0"/>
        <v>C</v>
      </c>
      <c r="J15" s="216"/>
      <c r="K15" s="216"/>
      <c r="L15" s="225"/>
      <c r="M15" s="225"/>
    </row>
    <row r="16" spans="1:13" ht="30">
      <c r="A16" s="216">
        <v>14</v>
      </c>
      <c r="B16" s="225" t="s">
        <v>159</v>
      </c>
      <c r="C16" s="225"/>
      <c r="D16" s="225"/>
      <c r="E16" s="225" t="s">
        <v>881</v>
      </c>
      <c r="F16" s="225" t="s">
        <v>691</v>
      </c>
      <c r="G16" s="225" t="s">
        <v>943</v>
      </c>
      <c r="H16" s="216">
        <v>13</v>
      </c>
      <c r="I16" s="225" t="str">
        <f t="shared" si="0"/>
        <v>D</v>
      </c>
      <c r="J16" s="216" t="s">
        <v>929</v>
      </c>
      <c r="K16" s="216" t="s">
        <v>929</v>
      </c>
      <c r="L16" s="225"/>
      <c r="M16" s="225" t="s">
        <v>1010</v>
      </c>
    </row>
    <row r="17" spans="1:13" ht="60">
      <c r="A17" s="216">
        <v>15</v>
      </c>
      <c r="B17" s="225" t="s">
        <v>11</v>
      </c>
      <c r="C17" s="225" t="s">
        <v>882</v>
      </c>
      <c r="D17" s="225" t="s">
        <v>866</v>
      </c>
      <c r="E17" s="225" t="s">
        <v>908</v>
      </c>
      <c r="F17" s="225" t="s">
        <v>848</v>
      </c>
      <c r="G17" s="225" t="s">
        <v>944</v>
      </c>
      <c r="H17" s="216">
        <v>14</v>
      </c>
      <c r="I17" s="225" t="str">
        <f t="shared" si="0"/>
        <v>E</v>
      </c>
      <c r="J17" s="216" t="s">
        <v>991</v>
      </c>
      <c r="K17" s="216"/>
      <c r="L17" s="225" t="s">
        <v>998</v>
      </c>
      <c r="M17" s="225"/>
    </row>
    <row r="18" spans="1:13" ht="60">
      <c r="A18" s="216">
        <v>16</v>
      </c>
      <c r="B18" s="225" t="s">
        <v>14</v>
      </c>
      <c r="C18" s="225" t="s">
        <v>864</v>
      </c>
      <c r="D18" s="225" t="s">
        <v>882</v>
      </c>
      <c r="E18" s="225" t="s">
        <v>883</v>
      </c>
      <c r="F18" s="225" t="s">
        <v>695</v>
      </c>
      <c r="G18" s="225" t="s">
        <v>945</v>
      </c>
      <c r="H18" s="216">
        <v>15</v>
      </c>
      <c r="I18" s="225" t="str">
        <f t="shared" si="0"/>
        <v>F</v>
      </c>
      <c r="J18" s="216"/>
      <c r="K18" s="216"/>
      <c r="L18" s="225" t="s">
        <v>999</v>
      </c>
      <c r="M18" s="225"/>
    </row>
    <row r="19" spans="1:13" ht="45">
      <c r="A19" s="216">
        <v>17</v>
      </c>
      <c r="B19" s="225" t="s">
        <v>142</v>
      </c>
      <c r="C19" s="225" t="s">
        <v>869</v>
      </c>
      <c r="D19" s="225" t="s">
        <v>864</v>
      </c>
      <c r="E19" s="225" t="s">
        <v>884</v>
      </c>
      <c r="F19" s="225" t="s">
        <v>697</v>
      </c>
      <c r="G19" s="225" t="s">
        <v>946</v>
      </c>
      <c r="H19" s="216">
        <v>16</v>
      </c>
      <c r="I19" s="225" t="str">
        <f t="shared" si="0"/>
        <v>10</v>
      </c>
      <c r="J19" s="216"/>
      <c r="K19" s="216"/>
      <c r="L19" s="225" t="s">
        <v>1000</v>
      </c>
      <c r="M19" s="225"/>
    </row>
    <row r="20" spans="1:13" ht="45">
      <c r="A20" s="216">
        <v>18</v>
      </c>
      <c r="B20" s="225" t="s">
        <v>86</v>
      </c>
      <c r="C20" s="225" t="s">
        <v>864</v>
      </c>
      <c r="D20" s="225" t="s">
        <v>866</v>
      </c>
      <c r="E20" s="225" t="s">
        <v>864</v>
      </c>
      <c r="F20" s="225" t="s">
        <v>849</v>
      </c>
      <c r="G20" s="225" t="s">
        <v>947</v>
      </c>
      <c r="H20" s="216">
        <v>17</v>
      </c>
      <c r="I20" s="225" t="str">
        <f t="shared" si="0"/>
        <v>11</v>
      </c>
      <c r="J20" s="216"/>
      <c r="K20" s="216"/>
      <c r="L20" s="225" t="s">
        <v>1001</v>
      </c>
      <c r="M20" s="225"/>
    </row>
    <row r="21" spans="1:13" ht="45">
      <c r="A21" s="216">
        <v>19</v>
      </c>
      <c r="B21" s="225" t="s">
        <v>147</v>
      </c>
      <c r="C21" s="225" t="s">
        <v>885</v>
      </c>
      <c r="D21" s="225" t="s">
        <v>882</v>
      </c>
      <c r="E21" s="225" t="s">
        <v>886</v>
      </c>
      <c r="F21" s="225" t="s">
        <v>700</v>
      </c>
      <c r="G21" s="225" t="s">
        <v>948</v>
      </c>
      <c r="H21" s="216">
        <v>18</v>
      </c>
      <c r="I21" s="225" t="str">
        <f t="shared" si="0"/>
        <v>12</v>
      </c>
      <c r="J21" s="216"/>
      <c r="K21" s="216"/>
      <c r="L21" s="225" t="s">
        <v>1002</v>
      </c>
      <c r="M21" s="225"/>
    </row>
    <row r="22" spans="1:13" ht="45">
      <c r="A22" s="216">
        <v>20</v>
      </c>
      <c r="B22" s="225" t="s">
        <v>29</v>
      </c>
      <c r="C22" s="225" t="s">
        <v>887</v>
      </c>
      <c r="D22" s="225" t="s">
        <v>885</v>
      </c>
      <c r="E22" s="225" t="s">
        <v>864</v>
      </c>
      <c r="F22" s="225" t="s">
        <v>702</v>
      </c>
      <c r="G22" s="225" t="s">
        <v>949</v>
      </c>
      <c r="H22" s="216">
        <v>19</v>
      </c>
      <c r="I22" s="225" t="str">
        <f t="shared" si="0"/>
        <v>13</v>
      </c>
      <c r="J22" s="216"/>
      <c r="K22" s="216"/>
      <c r="L22" s="225" t="s">
        <v>1003</v>
      </c>
      <c r="M22" s="225"/>
    </row>
    <row r="23" spans="1:13" ht="60">
      <c r="A23" s="216">
        <v>21</v>
      </c>
      <c r="B23" s="225" t="s">
        <v>11</v>
      </c>
      <c r="C23" s="225" t="s">
        <v>888</v>
      </c>
      <c r="D23" s="225" t="s">
        <v>887</v>
      </c>
      <c r="E23" s="225" t="s">
        <v>885</v>
      </c>
      <c r="F23" s="225" t="s">
        <v>850</v>
      </c>
      <c r="G23" s="225" t="s">
        <v>950</v>
      </c>
      <c r="H23" s="216">
        <v>20</v>
      </c>
      <c r="I23" s="225" t="str">
        <f t="shared" si="0"/>
        <v>14</v>
      </c>
      <c r="J23" s="216"/>
      <c r="K23" s="216"/>
      <c r="L23" s="225">
        <v>-1</v>
      </c>
      <c r="M23" s="225"/>
    </row>
    <row r="24" spans="1:13" ht="45">
      <c r="A24" s="216">
        <v>22</v>
      </c>
      <c r="B24" s="225" t="s">
        <v>127</v>
      </c>
      <c r="C24" s="225" t="s">
        <v>864</v>
      </c>
      <c r="D24" s="225" t="s">
        <v>885</v>
      </c>
      <c r="E24" s="225" t="s">
        <v>889</v>
      </c>
      <c r="F24" s="225" t="s">
        <v>706</v>
      </c>
      <c r="G24" s="225" t="s">
        <v>951</v>
      </c>
      <c r="H24" s="216">
        <v>21</v>
      </c>
      <c r="I24" s="225" t="str">
        <f t="shared" si="0"/>
        <v>15</v>
      </c>
      <c r="J24" s="211"/>
      <c r="K24" s="216" t="s">
        <v>926</v>
      </c>
      <c r="L24" s="225"/>
      <c r="M24" s="225"/>
    </row>
    <row r="25" spans="1:13" ht="45">
      <c r="A25" s="216">
        <v>23</v>
      </c>
      <c r="B25" s="225" t="s">
        <v>122</v>
      </c>
      <c r="C25" s="225" t="s">
        <v>888</v>
      </c>
      <c r="D25" s="225" t="s">
        <v>885</v>
      </c>
      <c r="E25" s="225" t="s">
        <v>886</v>
      </c>
      <c r="F25" s="225" t="s">
        <v>851</v>
      </c>
      <c r="G25" s="225" t="s">
        <v>952</v>
      </c>
      <c r="H25" s="216">
        <v>22</v>
      </c>
      <c r="I25" s="225" t="str">
        <f t="shared" si="0"/>
        <v>16</v>
      </c>
      <c r="J25" s="216" t="s">
        <v>927</v>
      </c>
      <c r="K25" s="216" t="s">
        <v>928</v>
      </c>
      <c r="L25" s="225"/>
      <c r="M25" s="225"/>
    </row>
    <row r="26" spans="1:13" ht="45">
      <c r="A26" s="216">
        <v>24</v>
      </c>
      <c r="B26" s="225" t="s">
        <v>131</v>
      </c>
      <c r="C26" s="225" t="s">
        <v>885</v>
      </c>
      <c r="D26" s="225" t="s">
        <v>888</v>
      </c>
      <c r="E26" s="225" t="s">
        <v>890</v>
      </c>
      <c r="F26" s="225" t="s">
        <v>970</v>
      </c>
      <c r="G26" s="225" t="s">
        <v>953</v>
      </c>
      <c r="H26" s="216">
        <v>23</v>
      </c>
      <c r="I26" s="225" t="str">
        <f t="shared" si="0"/>
        <v>17</v>
      </c>
      <c r="J26" s="216"/>
      <c r="K26" s="216" t="s">
        <v>1004</v>
      </c>
      <c r="L26" s="225" t="s">
        <v>1006</v>
      </c>
      <c r="M26" s="225"/>
    </row>
    <row r="27" spans="1:13" ht="45">
      <c r="A27" s="216">
        <v>25</v>
      </c>
      <c r="B27" s="225" t="s">
        <v>127</v>
      </c>
      <c r="C27" s="225" t="s">
        <v>888</v>
      </c>
      <c r="D27" s="225" t="s">
        <v>885</v>
      </c>
      <c r="E27" s="225" t="s">
        <v>891</v>
      </c>
      <c r="F27" s="225" t="s">
        <v>852</v>
      </c>
      <c r="G27" s="225" t="s">
        <v>954</v>
      </c>
      <c r="H27" s="216">
        <v>24</v>
      </c>
      <c r="I27" s="225" t="str">
        <f t="shared" si="0"/>
        <v>18</v>
      </c>
      <c r="J27" s="216"/>
      <c r="K27" s="216" t="s">
        <v>1005</v>
      </c>
      <c r="L27" s="225"/>
      <c r="M27" s="225"/>
    </row>
    <row r="28" spans="1:13" ht="45">
      <c r="A28" s="216">
        <v>26</v>
      </c>
      <c r="B28" s="225" t="s">
        <v>91</v>
      </c>
      <c r="C28" s="225" t="s">
        <v>864</v>
      </c>
      <c r="D28" s="225" t="s">
        <v>577</v>
      </c>
      <c r="E28" s="225" t="s">
        <v>864</v>
      </c>
      <c r="F28" s="225" t="s">
        <v>676</v>
      </c>
      <c r="G28" s="225" t="s">
        <v>936</v>
      </c>
      <c r="H28" s="216">
        <v>25</v>
      </c>
      <c r="I28" s="225" t="str">
        <f t="shared" si="0"/>
        <v>19</v>
      </c>
      <c r="J28" s="216"/>
      <c r="K28" s="216" t="s">
        <v>991</v>
      </c>
      <c r="L28" s="225"/>
      <c r="M28" s="225"/>
    </row>
    <row r="29" spans="1:13" ht="45">
      <c r="A29" s="216">
        <v>27</v>
      </c>
      <c r="B29" s="225" t="s">
        <v>96</v>
      </c>
      <c r="C29" s="225" t="s">
        <v>864</v>
      </c>
      <c r="D29" s="225" t="s">
        <v>894</v>
      </c>
      <c r="E29" s="225" t="s">
        <v>864</v>
      </c>
      <c r="F29" s="225" t="s">
        <v>853</v>
      </c>
      <c r="G29" s="225" t="s">
        <v>955</v>
      </c>
      <c r="H29" s="216">
        <v>26</v>
      </c>
      <c r="I29" s="225" t="str">
        <f t="shared" si="0"/>
        <v>1A</v>
      </c>
      <c r="J29" s="216" t="s">
        <v>928</v>
      </c>
      <c r="K29" s="216"/>
      <c r="L29" s="225"/>
      <c r="M29" s="225"/>
    </row>
    <row r="30" spans="1:13" ht="45">
      <c r="A30" s="216">
        <v>28</v>
      </c>
      <c r="B30" s="225" t="s">
        <v>57</v>
      </c>
      <c r="C30" s="225" t="s">
        <v>888</v>
      </c>
      <c r="D30" s="225" t="s">
        <v>864</v>
      </c>
      <c r="E30" s="225" t="s">
        <v>864</v>
      </c>
      <c r="F30" s="225" t="s">
        <v>854</v>
      </c>
      <c r="G30" s="225" t="s">
        <v>956</v>
      </c>
      <c r="H30" s="216">
        <v>27</v>
      </c>
      <c r="I30" s="225" t="str">
        <f t="shared" si="0"/>
        <v>1B</v>
      </c>
      <c r="J30" s="216" t="s">
        <v>1005</v>
      </c>
      <c r="K30" s="216"/>
      <c r="L30" s="225"/>
      <c r="M30" s="225"/>
    </row>
    <row r="31" spans="1:13" ht="30">
      <c r="A31" s="216">
        <v>29</v>
      </c>
      <c r="B31" s="225" t="s">
        <v>159</v>
      </c>
      <c r="C31" s="225"/>
      <c r="D31" s="225"/>
      <c r="E31" s="225">
        <v>-7</v>
      </c>
      <c r="F31" s="225" t="s">
        <v>718</v>
      </c>
      <c r="G31" s="225" t="s">
        <v>957</v>
      </c>
      <c r="H31" s="216">
        <v>28</v>
      </c>
      <c r="I31" s="225" t="str">
        <f t="shared" si="0"/>
        <v>1C</v>
      </c>
      <c r="J31" s="216"/>
      <c r="K31" s="216" t="s">
        <v>927</v>
      </c>
      <c r="L31" s="225"/>
      <c r="M31" s="225"/>
    </row>
    <row r="32" spans="1:13" ht="45">
      <c r="A32" s="216">
        <v>30</v>
      </c>
      <c r="B32" s="225" t="s">
        <v>57</v>
      </c>
      <c r="C32" s="225" t="s">
        <v>885</v>
      </c>
      <c r="D32" s="225" t="s">
        <v>864</v>
      </c>
      <c r="E32" s="225" t="s">
        <v>864</v>
      </c>
      <c r="F32" s="225" t="s">
        <v>855</v>
      </c>
      <c r="G32" s="225" t="s">
        <v>958</v>
      </c>
      <c r="H32" s="216">
        <v>29</v>
      </c>
      <c r="I32" s="225" t="str">
        <f t="shared" si="0"/>
        <v>1D</v>
      </c>
      <c r="J32" s="216" t="s">
        <v>1004</v>
      </c>
      <c r="K32" s="216"/>
      <c r="L32" s="225"/>
      <c r="M32" s="225"/>
    </row>
    <row r="33" spans="1:13" ht="30">
      <c r="A33" s="216">
        <v>31</v>
      </c>
      <c r="B33" s="225" t="s">
        <v>159</v>
      </c>
      <c r="C33" s="225"/>
      <c r="D33" s="225"/>
      <c r="E33" s="225">
        <v>-9</v>
      </c>
      <c r="F33" s="225" t="s">
        <v>721</v>
      </c>
      <c r="G33" s="225" t="s">
        <v>959</v>
      </c>
      <c r="H33" s="216">
        <v>30</v>
      </c>
      <c r="I33" s="225" t="str">
        <f t="shared" si="0"/>
        <v>1E</v>
      </c>
      <c r="J33" s="216" t="s">
        <v>926</v>
      </c>
      <c r="K33" s="216"/>
      <c r="L33" s="225"/>
      <c r="M33" s="225"/>
    </row>
    <row r="34" spans="1:13" ht="60">
      <c r="A34" s="216">
        <v>32</v>
      </c>
      <c r="B34" s="225" t="s">
        <v>17</v>
      </c>
      <c r="C34" s="225" t="s">
        <v>899</v>
      </c>
      <c r="D34" s="225" t="s">
        <v>869</v>
      </c>
      <c r="E34" s="225" t="s">
        <v>900</v>
      </c>
      <c r="F34" s="225" t="s">
        <v>723</v>
      </c>
      <c r="G34" s="225" t="s">
        <v>960</v>
      </c>
      <c r="H34" s="216">
        <v>31</v>
      </c>
      <c r="I34" s="225" t="str">
        <f t="shared" si="0"/>
        <v>1F</v>
      </c>
      <c r="J34" s="216" t="s">
        <v>923</v>
      </c>
      <c r="K34" s="216"/>
      <c r="L34" s="225"/>
      <c r="M34" s="225"/>
    </row>
    <row r="35" spans="1:13" ht="45">
      <c r="A35" s="216">
        <v>33</v>
      </c>
      <c r="B35" s="225" t="s">
        <v>20</v>
      </c>
      <c r="C35" s="225" t="s">
        <v>901</v>
      </c>
      <c r="D35" s="225" t="s">
        <v>899</v>
      </c>
      <c r="E35" s="225" t="s">
        <v>902</v>
      </c>
      <c r="F35" s="225" t="s">
        <v>725</v>
      </c>
      <c r="G35" s="225" t="s">
        <v>961</v>
      </c>
      <c r="H35" s="216">
        <v>32</v>
      </c>
      <c r="I35" s="225" t="str">
        <f t="shared" si="0"/>
        <v>20</v>
      </c>
      <c r="J35" s="216"/>
      <c r="K35" s="216"/>
      <c r="L35" s="225"/>
      <c r="M35" s="225"/>
    </row>
    <row r="36" spans="1:13" ht="45">
      <c r="A36" s="216">
        <v>34</v>
      </c>
      <c r="B36" s="225" t="s">
        <v>152</v>
      </c>
      <c r="C36" s="225" t="s">
        <v>869</v>
      </c>
      <c r="D36" s="225" t="s">
        <v>901</v>
      </c>
      <c r="E36" s="225" t="s">
        <v>903</v>
      </c>
      <c r="F36" s="225" t="s">
        <v>727</v>
      </c>
      <c r="G36" s="225" t="s">
        <v>962</v>
      </c>
      <c r="H36" s="216">
        <v>33</v>
      </c>
      <c r="I36" s="225" t="str">
        <f t="shared" si="0"/>
        <v>21</v>
      </c>
      <c r="J36" s="216"/>
      <c r="K36" s="216"/>
      <c r="L36" s="225"/>
      <c r="M36" s="225"/>
    </row>
    <row r="37" spans="1:13" ht="45">
      <c r="A37" s="216">
        <v>35</v>
      </c>
      <c r="B37" s="225" t="s">
        <v>147</v>
      </c>
      <c r="C37" s="225" t="s">
        <v>904</v>
      </c>
      <c r="D37" s="225" t="s">
        <v>864</v>
      </c>
      <c r="E37" s="225" t="s">
        <v>884</v>
      </c>
      <c r="F37" s="225" t="s">
        <v>729</v>
      </c>
      <c r="G37" s="225" t="s">
        <v>963</v>
      </c>
      <c r="H37" s="216">
        <v>34</v>
      </c>
      <c r="I37" s="225" t="str">
        <f t="shared" si="0"/>
        <v>22</v>
      </c>
      <c r="J37" s="216"/>
      <c r="K37" s="216"/>
      <c r="L37" s="225"/>
      <c r="M37" s="225"/>
    </row>
    <row r="38" spans="1:13" ht="45">
      <c r="A38" s="216">
        <v>36</v>
      </c>
      <c r="B38" s="225" t="s">
        <v>137</v>
      </c>
      <c r="C38" s="225" t="s">
        <v>906</v>
      </c>
      <c r="D38" s="225" t="s">
        <v>864</v>
      </c>
      <c r="E38" s="225" t="s">
        <v>907</v>
      </c>
      <c r="F38" s="225" t="s">
        <v>856</v>
      </c>
      <c r="G38" s="225" t="s">
        <v>964</v>
      </c>
      <c r="H38" s="216">
        <v>35</v>
      </c>
      <c r="I38" s="225" t="str">
        <f t="shared" si="0"/>
        <v>23</v>
      </c>
      <c r="J38" s="216"/>
      <c r="K38" s="216"/>
      <c r="L38" s="225"/>
      <c r="M38" s="225"/>
    </row>
    <row r="39" spans="1:13" ht="45">
      <c r="A39" s="216">
        <v>37</v>
      </c>
      <c r="B39" s="225" t="s">
        <v>96</v>
      </c>
      <c r="C39" s="225" t="s">
        <v>864</v>
      </c>
      <c r="D39" s="225" t="s">
        <v>894</v>
      </c>
      <c r="E39" s="225" t="s">
        <v>864</v>
      </c>
      <c r="F39" s="225" t="s">
        <v>853</v>
      </c>
      <c r="G39" s="225" t="s">
        <v>955</v>
      </c>
      <c r="H39" s="216">
        <v>36</v>
      </c>
      <c r="I39" s="225" t="str">
        <f t="shared" si="0"/>
        <v>24</v>
      </c>
      <c r="J39" s="216" t="s">
        <v>1009</v>
      </c>
      <c r="K39" s="216"/>
      <c r="L39" s="225"/>
      <c r="M39" s="225"/>
    </row>
  </sheetData>
  <mergeCells count="1">
    <mergeCell ref="A1:M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1"/>
  <sheetViews>
    <sheetView topLeftCell="A10" zoomScale="70" zoomScaleNormal="70" workbookViewId="0">
      <selection activeCell="P27" sqref="P27"/>
    </sheetView>
  </sheetViews>
  <sheetFormatPr defaultRowHeight="15.75"/>
  <cols>
    <col min="1" max="1" width="11.5" style="210" bestFit="1" customWidth="1"/>
    <col min="2" max="2" width="6.5" style="210" bestFit="1" customWidth="1"/>
    <col min="3" max="3" width="8.75" style="210" bestFit="1" customWidth="1"/>
    <col min="4" max="4" width="9.125" style="210" bestFit="1" customWidth="1"/>
    <col min="5" max="5" width="11" style="210" bestFit="1" customWidth="1"/>
    <col min="6" max="6" width="9" style="210"/>
    <col min="7" max="7" width="25" style="210" bestFit="1" customWidth="1"/>
    <col min="8" max="8" width="8" style="210" bestFit="1" customWidth="1"/>
    <col min="9" max="9" width="9.25" style="210" bestFit="1" customWidth="1"/>
    <col min="10" max="10" width="9" style="210"/>
    <col min="11" max="11" width="5.5" style="210" bestFit="1" customWidth="1"/>
    <col min="12" max="12" width="8.25" style="210" bestFit="1" customWidth="1"/>
    <col min="13" max="13" width="6" style="210" bestFit="1" customWidth="1"/>
    <col min="14" max="14" width="16.25" style="210" bestFit="1" customWidth="1"/>
    <col min="15" max="15" width="17.625" style="210" bestFit="1" customWidth="1"/>
    <col min="16" max="16384" width="9" style="210"/>
  </cols>
  <sheetData>
    <row r="1" spans="1:26" ht="63">
      <c r="A1" s="215" t="s">
        <v>914</v>
      </c>
      <c r="B1" s="215"/>
      <c r="C1" s="215"/>
      <c r="D1" s="215"/>
      <c r="E1" s="215"/>
      <c r="F1" s="215"/>
      <c r="G1" s="215"/>
      <c r="H1" s="215"/>
      <c r="I1" s="215"/>
      <c r="J1" s="215"/>
      <c r="K1" s="215"/>
      <c r="L1" s="215"/>
      <c r="M1" s="215"/>
      <c r="O1" s="210" t="s">
        <v>971</v>
      </c>
    </row>
    <row r="2" spans="1:26">
      <c r="A2" s="208" t="s">
        <v>857</v>
      </c>
      <c r="B2" s="208" t="s">
        <v>858</v>
      </c>
      <c r="C2" s="208" t="s">
        <v>859</v>
      </c>
      <c r="D2" s="208" t="s">
        <v>860</v>
      </c>
      <c r="E2" s="208" t="s">
        <v>861</v>
      </c>
      <c r="F2" s="208" t="s">
        <v>862</v>
      </c>
      <c r="G2" s="208" t="s">
        <v>863</v>
      </c>
      <c r="H2" s="208" t="s">
        <v>915</v>
      </c>
      <c r="I2" s="208" t="s">
        <v>916</v>
      </c>
      <c r="J2" s="208"/>
      <c r="K2" s="208" t="s">
        <v>917</v>
      </c>
      <c r="L2" s="208" t="s">
        <v>918</v>
      </c>
      <c r="M2" s="208" t="s">
        <v>192</v>
      </c>
    </row>
    <row r="3" spans="1:26">
      <c r="A3" s="209" t="s">
        <v>845</v>
      </c>
      <c r="B3" s="208">
        <v>1</v>
      </c>
      <c r="C3" s="208" t="str">
        <f>DEC2HEX(B3)</f>
        <v>1</v>
      </c>
      <c r="D3" s="208" t="s">
        <v>342</v>
      </c>
      <c r="E3" s="208" t="s">
        <v>577</v>
      </c>
      <c r="F3" s="208" t="s">
        <v>864</v>
      </c>
      <c r="G3" s="208" t="s">
        <v>865</v>
      </c>
      <c r="H3" s="208"/>
      <c r="I3" s="208"/>
      <c r="J3" s="208"/>
      <c r="K3" s="208">
        <v>1</v>
      </c>
      <c r="L3" s="208" t="str">
        <f>DEC2BIN(K3)</f>
        <v>1</v>
      </c>
      <c r="M3" s="208" t="s">
        <v>375</v>
      </c>
    </row>
    <row r="4" spans="1:26" ht="15.75" customHeight="1">
      <c r="A4" s="209" t="s">
        <v>846</v>
      </c>
      <c r="B4" s="208">
        <v>2</v>
      </c>
      <c r="C4" s="208" t="str">
        <f t="shared" ref="C4:C29" si="0">DEC2HEX(B4)</f>
        <v>2</v>
      </c>
      <c r="D4" s="208" t="s">
        <v>342</v>
      </c>
      <c r="E4" s="208" t="s">
        <v>866</v>
      </c>
      <c r="F4" s="208" t="s">
        <v>864</v>
      </c>
      <c r="G4" s="208" t="s">
        <v>867</v>
      </c>
      <c r="H4" s="208"/>
      <c r="I4" s="208"/>
      <c r="J4" s="208"/>
      <c r="K4" s="208">
        <v>1</v>
      </c>
      <c r="L4" s="208" t="str">
        <f t="shared" ref="L4:L41" si="1">DEC2BIN(K4)</f>
        <v>1</v>
      </c>
      <c r="M4" s="208" t="s">
        <v>375</v>
      </c>
    </row>
    <row r="5" spans="1:26">
      <c r="A5" s="209" t="s">
        <v>847</v>
      </c>
      <c r="B5" s="208">
        <v>3</v>
      </c>
      <c r="C5" s="208" t="str">
        <f t="shared" si="0"/>
        <v>3</v>
      </c>
      <c r="D5" s="208" t="s">
        <v>52</v>
      </c>
      <c r="E5" s="208" t="s">
        <v>868</v>
      </c>
      <c r="F5" s="208" t="s">
        <v>866</v>
      </c>
      <c r="G5" s="208" t="s">
        <v>864</v>
      </c>
      <c r="H5" s="208"/>
      <c r="I5" s="208"/>
      <c r="J5" s="208"/>
      <c r="K5" s="208">
        <v>4</v>
      </c>
      <c r="L5" s="208" t="str">
        <f t="shared" si="1"/>
        <v>100</v>
      </c>
      <c r="M5" s="208" t="s">
        <v>919</v>
      </c>
    </row>
    <row r="6" spans="1:26">
      <c r="A6" s="209" t="s">
        <v>667</v>
      </c>
      <c r="B6" s="208">
        <v>4</v>
      </c>
      <c r="C6" s="208" t="str">
        <f t="shared" si="0"/>
        <v>4</v>
      </c>
      <c r="D6" s="208" t="s">
        <v>345</v>
      </c>
      <c r="E6" s="208" t="s">
        <v>869</v>
      </c>
      <c r="F6" s="208" t="s">
        <v>864</v>
      </c>
      <c r="G6" s="208" t="s">
        <v>870</v>
      </c>
      <c r="H6" s="208"/>
      <c r="I6" s="208"/>
      <c r="J6" s="208"/>
      <c r="K6" s="208">
        <v>8</v>
      </c>
      <c r="L6" s="208" t="str">
        <f t="shared" si="1"/>
        <v>1000</v>
      </c>
      <c r="M6" s="208" t="s">
        <v>920</v>
      </c>
    </row>
    <row r="7" spans="1:26">
      <c r="A7" s="209" t="s">
        <v>670</v>
      </c>
      <c r="B7" s="208">
        <v>5</v>
      </c>
      <c r="C7" s="208" t="str">
        <f t="shared" si="0"/>
        <v>5</v>
      </c>
      <c r="D7" s="208" t="s">
        <v>52</v>
      </c>
      <c r="E7" s="208" t="s">
        <v>871</v>
      </c>
      <c r="F7" s="208" t="s">
        <v>869</v>
      </c>
      <c r="G7" s="208" t="s">
        <v>864</v>
      </c>
      <c r="H7" s="208"/>
      <c r="I7" s="208"/>
      <c r="J7" s="208"/>
      <c r="K7" s="208">
        <v>4</v>
      </c>
      <c r="L7" s="208" t="str">
        <f t="shared" si="1"/>
        <v>100</v>
      </c>
      <c r="M7" s="208" t="s">
        <v>919</v>
      </c>
    </row>
    <row r="8" spans="1:26">
      <c r="A8" s="209" t="s">
        <v>673</v>
      </c>
      <c r="B8" s="208">
        <v>6</v>
      </c>
      <c r="C8" s="208" t="str">
        <f t="shared" si="0"/>
        <v>6</v>
      </c>
      <c r="D8" s="208" t="s">
        <v>48</v>
      </c>
      <c r="E8" s="208" t="s">
        <v>872</v>
      </c>
      <c r="F8" s="208" t="s">
        <v>868</v>
      </c>
      <c r="G8" s="208" t="s">
        <v>864</v>
      </c>
      <c r="H8" s="208"/>
      <c r="I8" s="208"/>
      <c r="J8" s="208"/>
      <c r="K8" s="208">
        <v>9</v>
      </c>
      <c r="L8" s="208" t="str">
        <f t="shared" si="1"/>
        <v>1001</v>
      </c>
      <c r="M8" s="208" t="s">
        <v>921</v>
      </c>
    </row>
    <row r="9" spans="1:26">
      <c r="A9" s="209" t="s">
        <v>676</v>
      </c>
      <c r="B9" s="208">
        <v>7</v>
      </c>
      <c r="C9" s="208" t="str">
        <f t="shared" si="0"/>
        <v>7</v>
      </c>
      <c r="D9" s="208" t="s">
        <v>91</v>
      </c>
      <c r="E9" s="208" t="s">
        <v>864</v>
      </c>
      <c r="F9" s="208" t="s">
        <v>577</v>
      </c>
      <c r="G9" s="208" t="s">
        <v>864</v>
      </c>
      <c r="H9" s="208"/>
      <c r="I9" s="208" t="s">
        <v>922</v>
      </c>
      <c r="J9" s="208"/>
      <c r="K9" s="208">
        <v>0</v>
      </c>
      <c r="L9" s="208" t="str">
        <f t="shared" si="1"/>
        <v>0</v>
      </c>
      <c r="M9" s="208"/>
    </row>
    <row r="10" spans="1:26">
      <c r="A10" s="209"/>
      <c r="B10" s="208"/>
      <c r="C10" s="208"/>
      <c r="D10" s="208"/>
      <c r="E10" s="208"/>
      <c r="F10" s="208"/>
      <c r="G10" s="208"/>
      <c r="H10" s="208"/>
      <c r="I10" s="208"/>
      <c r="J10" s="208"/>
      <c r="K10" s="208"/>
      <c r="L10" s="208" t="str">
        <f t="shared" si="1"/>
        <v>0</v>
      </c>
      <c r="M10" s="208"/>
    </row>
    <row r="11" spans="1:26" ht="110.25">
      <c r="A11" s="239" t="s">
        <v>693</v>
      </c>
      <c r="B11" s="241">
        <v>15</v>
      </c>
      <c r="C11" s="241" t="str">
        <f t="shared" si="0"/>
        <v>F</v>
      </c>
      <c r="D11" s="241" t="s">
        <v>11</v>
      </c>
      <c r="E11" s="241" t="s">
        <v>882</v>
      </c>
      <c r="F11" s="241" t="s">
        <v>866</v>
      </c>
      <c r="G11" s="241" t="s">
        <v>908</v>
      </c>
      <c r="H11" s="241" t="s">
        <v>922</v>
      </c>
      <c r="I11" s="241"/>
      <c r="J11" s="241"/>
      <c r="K11" s="241">
        <v>0</v>
      </c>
      <c r="L11" s="241" t="str">
        <f t="shared" si="1"/>
        <v>0</v>
      </c>
      <c r="M11" s="241"/>
      <c r="N11" s="240" t="s">
        <v>973</v>
      </c>
      <c r="O11" s="240" t="s">
        <v>974</v>
      </c>
    </row>
    <row r="12" spans="1:26">
      <c r="A12" s="209" t="s">
        <v>695</v>
      </c>
      <c r="B12" s="208">
        <v>16</v>
      </c>
      <c r="C12" s="208" t="str">
        <f t="shared" si="0"/>
        <v>10</v>
      </c>
      <c r="D12" s="208" t="s">
        <v>14</v>
      </c>
      <c r="E12" s="208" t="s">
        <v>864</v>
      </c>
      <c r="F12" s="208" t="s">
        <v>882</v>
      </c>
      <c r="G12" s="208" t="s">
        <v>883</v>
      </c>
      <c r="H12" s="208"/>
      <c r="I12" s="208"/>
      <c r="J12" s="208"/>
      <c r="K12" s="208">
        <v>8</v>
      </c>
      <c r="L12" s="208" t="str">
        <f t="shared" si="1"/>
        <v>1000</v>
      </c>
      <c r="M12" s="208" t="s">
        <v>920</v>
      </c>
    </row>
    <row r="13" spans="1:26">
      <c r="A13" s="209" t="s">
        <v>697</v>
      </c>
      <c r="B13" s="208">
        <v>17</v>
      </c>
      <c r="C13" s="208" t="str">
        <f t="shared" si="0"/>
        <v>11</v>
      </c>
      <c r="D13" s="208" t="s">
        <v>142</v>
      </c>
      <c r="E13" s="208" t="s">
        <v>869</v>
      </c>
      <c r="F13" s="208" t="s">
        <v>864</v>
      </c>
      <c r="G13" s="208" t="s">
        <v>884</v>
      </c>
      <c r="H13" s="208"/>
      <c r="I13" s="208"/>
      <c r="J13" s="208"/>
      <c r="K13" s="208">
        <v>0</v>
      </c>
      <c r="L13" s="208" t="str">
        <f t="shared" si="1"/>
        <v>0</v>
      </c>
      <c r="M13" s="208"/>
    </row>
    <row r="14" spans="1:26">
      <c r="A14" s="209" t="s">
        <v>849</v>
      </c>
      <c r="B14" s="208">
        <v>18</v>
      </c>
      <c r="C14" s="208" t="str">
        <f t="shared" si="0"/>
        <v>12</v>
      </c>
      <c r="D14" s="208" t="s">
        <v>86</v>
      </c>
      <c r="E14" s="208" t="s">
        <v>864</v>
      </c>
      <c r="F14" s="208" t="s">
        <v>866</v>
      </c>
      <c r="G14" s="208" t="s">
        <v>864</v>
      </c>
      <c r="H14" s="208"/>
      <c r="I14" s="208" t="s">
        <v>923</v>
      </c>
      <c r="J14" s="208"/>
      <c r="K14" s="208">
        <v>0</v>
      </c>
      <c r="L14" s="208" t="str">
        <f t="shared" si="1"/>
        <v>0</v>
      </c>
      <c r="M14" s="208"/>
    </row>
    <row r="15" spans="1:26" ht="16.5" thickBot="1">
      <c r="A15" s="208"/>
      <c r="B15" s="208"/>
      <c r="C15" s="208"/>
      <c r="D15" s="208"/>
      <c r="E15" s="208"/>
      <c r="F15" s="208"/>
      <c r="G15" s="208"/>
      <c r="H15" s="208"/>
      <c r="I15" s="208"/>
      <c r="J15" s="208"/>
      <c r="K15" s="208"/>
      <c r="L15" s="208" t="str">
        <f t="shared" si="1"/>
        <v>0</v>
      </c>
      <c r="M15" s="208"/>
    </row>
    <row r="16" spans="1:26" ht="158.25" thickBot="1">
      <c r="A16" s="209" t="s">
        <v>723</v>
      </c>
      <c r="B16" s="208">
        <v>32</v>
      </c>
      <c r="C16" s="208" t="str">
        <f t="shared" si="0"/>
        <v>20</v>
      </c>
      <c r="D16" s="208" t="s">
        <v>17</v>
      </c>
      <c r="E16" s="208" t="s">
        <v>899</v>
      </c>
      <c r="F16" s="208" t="s">
        <v>869</v>
      </c>
      <c r="G16" s="208" t="s">
        <v>900</v>
      </c>
      <c r="H16" s="208" t="s">
        <v>923</v>
      </c>
      <c r="I16" s="208"/>
      <c r="J16" s="208"/>
      <c r="K16" s="208">
        <v>0</v>
      </c>
      <c r="L16" s="208" t="str">
        <f t="shared" si="1"/>
        <v>0</v>
      </c>
      <c r="M16" s="208"/>
      <c r="N16" s="242" t="s">
        <v>975</v>
      </c>
      <c r="O16" s="242" t="s">
        <v>976</v>
      </c>
      <c r="P16" s="239" t="s">
        <v>977</v>
      </c>
      <c r="Q16" s="240" t="s">
        <v>979</v>
      </c>
      <c r="S16" s="210" t="s">
        <v>982</v>
      </c>
      <c r="T16" s="243" t="s">
        <v>723</v>
      </c>
      <c r="U16" s="220">
        <v>31</v>
      </c>
      <c r="V16" s="220" t="str">
        <f t="shared" ref="V16" si="2">DEC2HEX(U16)</f>
        <v>1F</v>
      </c>
      <c r="W16" s="220" t="s">
        <v>17</v>
      </c>
      <c r="X16" s="220" t="s">
        <v>899</v>
      </c>
      <c r="Y16" s="220" t="s">
        <v>869</v>
      </c>
      <c r="Z16" s="244" t="s">
        <v>900</v>
      </c>
    </row>
    <row r="17" spans="1:16">
      <c r="A17" s="209" t="s">
        <v>725</v>
      </c>
      <c r="B17" s="208">
        <v>33</v>
      </c>
      <c r="C17" s="208" t="str">
        <f t="shared" si="0"/>
        <v>21</v>
      </c>
      <c r="D17" s="208" t="s">
        <v>20</v>
      </c>
      <c r="E17" s="208" t="s">
        <v>901</v>
      </c>
      <c r="F17" s="208" t="s">
        <v>899</v>
      </c>
      <c r="G17" s="208" t="s">
        <v>902</v>
      </c>
      <c r="H17" s="208"/>
      <c r="I17" s="208"/>
      <c r="J17" s="208"/>
      <c r="K17" s="208">
        <v>8</v>
      </c>
      <c r="L17" s="208" t="str">
        <f t="shared" si="1"/>
        <v>1000</v>
      </c>
      <c r="M17" s="208" t="s">
        <v>920</v>
      </c>
    </row>
    <row r="18" spans="1:16">
      <c r="A18" s="209" t="s">
        <v>727</v>
      </c>
      <c r="B18" s="208">
        <v>34</v>
      </c>
      <c r="C18" s="208" t="str">
        <f t="shared" si="0"/>
        <v>22</v>
      </c>
      <c r="D18" s="208" t="s">
        <v>152</v>
      </c>
      <c r="E18" s="208" t="s">
        <v>869</v>
      </c>
      <c r="F18" s="208" t="s">
        <v>901</v>
      </c>
      <c r="G18" s="208" t="s">
        <v>903</v>
      </c>
      <c r="H18" s="208"/>
      <c r="I18" s="208"/>
      <c r="J18" s="208"/>
      <c r="K18" s="208">
        <v>0</v>
      </c>
      <c r="L18" s="208" t="str">
        <f t="shared" si="1"/>
        <v>0</v>
      </c>
      <c r="M18" s="208"/>
    </row>
    <row r="19" spans="1:16">
      <c r="A19" s="209" t="s">
        <v>729</v>
      </c>
      <c r="B19" s="208">
        <v>35</v>
      </c>
      <c r="C19" s="208" t="str">
        <f t="shared" si="0"/>
        <v>23</v>
      </c>
      <c r="D19" s="208" t="s">
        <v>147</v>
      </c>
      <c r="E19" s="208" t="s">
        <v>904</v>
      </c>
      <c r="F19" s="208" t="s">
        <v>864</v>
      </c>
      <c r="G19" s="208" t="s">
        <v>884</v>
      </c>
      <c r="H19" s="208"/>
      <c r="I19" s="208"/>
      <c r="J19" s="208"/>
      <c r="K19" s="208">
        <v>0</v>
      </c>
      <c r="L19" s="208" t="str">
        <f t="shared" si="1"/>
        <v>0</v>
      </c>
      <c r="M19" s="208"/>
    </row>
    <row r="20" spans="1:16">
      <c r="A20" s="209" t="s">
        <v>856</v>
      </c>
      <c r="B20" s="208">
        <v>36</v>
      </c>
      <c r="C20" s="208" t="str">
        <f t="shared" si="0"/>
        <v>24</v>
      </c>
      <c r="D20" s="208" t="s">
        <v>905</v>
      </c>
      <c r="E20" s="208" t="s">
        <v>906</v>
      </c>
      <c r="F20" s="208" t="s">
        <v>864</v>
      </c>
      <c r="G20" s="208" t="s">
        <v>907</v>
      </c>
      <c r="H20" s="208"/>
      <c r="I20" s="208"/>
      <c r="J20" s="208"/>
      <c r="K20" s="208">
        <v>0</v>
      </c>
      <c r="L20" s="208" t="str">
        <f t="shared" si="1"/>
        <v>0</v>
      </c>
      <c r="M20" s="208"/>
    </row>
    <row r="21" spans="1:16">
      <c r="A21" s="209" t="s">
        <v>853</v>
      </c>
      <c r="B21" s="208">
        <v>37</v>
      </c>
      <c r="C21" s="208" t="str">
        <f t="shared" si="0"/>
        <v>25</v>
      </c>
      <c r="D21" s="208" t="s">
        <v>96</v>
      </c>
      <c r="E21" s="208" t="s">
        <v>864</v>
      </c>
      <c r="F21" s="208" t="s">
        <v>894</v>
      </c>
      <c r="G21" s="208" t="s">
        <v>864</v>
      </c>
      <c r="H21" s="208"/>
      <c r="I21" s="208" t="s">
        <v>924</v>
      </c>
      <c r="J21" s="208"/>
      <c r="K21" s="208">
        <v>0</v>
      </c>
      <c r="L21" s="208" t="str">
        <f t="shared" si="1"/>
        <v>0</v>
      </c>
      <c r="M21" s="208"/>
    </row>
    <row r="22" spans="1:16" ht="110.25">
      <c r="A22" s="208"/>
      <c r="B22" s="208"/>
      <c r="C22" s="208"/>
      <c r="D22" s="208"/>
      <c r="E22" s="208"/>
      <c r="F22" s="208"/>
      <c r="G22" s="208"/>
      <c r="H22" s="208"/>
      <c r="I22" s="208"/>
      <c r="J22" s="208"/>
      <c r="K22" s="208"/>
      <c r="L22" s="208" t="str">
        <f t="shared" si="1"/>
        <v>0</v>
      </c>
      <c r="M22" s="208"/>
      <c r="N22" s="242" t="s">
        <v>978</v>
      </c>
      <c r="O22" s="242" t="s">
        <v>980</v>
      </c>
    </row>
    <row r="23" spans="1:16" ht="126">
      <c r="A23" s="209" t="s">
        <v>522</v>
      </c>
      <c r="B23" s="208">
        <v>8</v>
      </c>
      <c r="C23" s="208" t="str">
        <f t="shared" si="0"/>
        <v>8</v>
      </c>
      <c r="D23" s="208" t="s">
        <v>68</v>
      </c>
      <c r="E23" s="208" t="s">
        <v>864</v>
      </c>
      <c r="F23" s="208" t="s">
        <v>864</v>
      </c>
      <c r="G23" s="208" t="s">
        <v>864</v>
      </c>
      <c r="H23" s="208"/>
      <c r="I23" s="208"/>
      <c r="J23" s="208"/>
      <c r="K23" s="208">
        <v>4</v>
      </c>
      <c r="L23" s="208" t="str">
        <f t="shared" si="1"/>
        <v>100</v>
      </c>
      <c r="M23" s="208" t="s">
        <v>919</v>
      </c>
      <c r="N23" s="242" t="s">
        <v>981</v>
      </c>
      <c r="O23" s="242" t="s">
        <v>983</v>
      </c>
    </row>
    <row r="24" spans="1:16">
      <c r="A24" s="209" t="s">
        <v>681</v>
      </c>
      <c r="B24" s="208">
        <v>9</v>
      </c>
      <c r="C24" s="208" t="str">
        <f t="shared" si="0"/>
        <v>9</v>
      </c>
      <c r="D24" s="208" t="s">
        <v>164</v>
      </c>
      <c r="E24" s="208"/>
      <c r="F24" s="208"/>
      <c r="G24" s="208" t="s">
        <v>873</v>
      </c>
      <c r="H24" s="208"/>
      <c r="I24" s="208" t="s">
        <v>925</v>
      </c>
      <c r="J24" s="208"/>
      <c r="K24" s="208">
        <v>4</v>
      </c>
      <c r="L24" s="208" t="str">
        <f t="shared" si="1"/>
        <v>100</v>
      </c>
      <c r="M24" s="208" t="s">
        <v>919</v>
      </c>
      <c r="N24" s="242" t="s">
        <v>984</v>
      </c>
      <c r="O24" s="210" t="s">
        <v>985</v>
      </c>
    </row>
    <row r="25" spans="1:16">
      <c r="A25" s="208"/>
      <c r="B25" s="208"/>
      <c r="C25" s="208"/>
      <c r="D25" s="208"/>
      <c r="E25" s="208"/>
      <c r="F25" s="208"/>
      <c r="G25" s="208"/>
      <c r="H25" s="208"/>
      <c r="I25" s="208"/>
      <c r="J25" s="208"/>
      <c r="K25" s="208"/>
      <c r="L25" s="208" t="str">
        <f t="shared" si="1"/>
        <v>0</v>
      </c>
      <c r="M25" s="208"/>
    </row>
    <row r="26" spans="1:16" ht="47.25">
      <c r="A26" s="209" t="s">
        <v>700</v>
      </c>
      <c r="B26" s="208">
        <v>19</v>
      </c>
      <c r="C26" s="208" t="str">
        <f t="shared" si="0"/>
        <v>13</v>
      </c>
      <c r="D26" s="208" t="s">
        <v>147</v>
      </c>
      <c r="E26" s="208" t="s">
        <v>885</v>
      </c>
      <c r="F26" s="208" t="s">
        <v>882</v>
      </c>
      <c r="G26" s="208" t="s">
        <v>886</v>
      </c>
      <c r="H26" s="208" t="s">
        <v>925</v>
      </c>
      <c r="I26" s="208"/>
      <c r="J26" s="208"/>
      <c r="K26" s="208">
        <v>0</v>
      </c>
      <c r="L26" s="208" t="str">
        <f t="shared" si="1"/>
        <v>0</v>
      </c>
      <c r="M26" s="208"/>
      <c r="N26" s="240" t="s">
        <v>986</v>
      </c>
      <c r="O26" s="245" t="s">
        <v>987</v>
      </c>
    </row>
    <row r="27" spans="1:16" ht="78.75">
      <c r="A27" s="209" t="s">
        <v>702</v>
      </c>
      <c r="B27" s="208">
        <v>20</v>
      </c>
      <c r="C27" s="208" t="str">
        <f t="shared" si="0"/>
        <v>14</v>
      </c>
      <c r="D27" s="208" t="s">
        <v>29</v>
      </c>
      <c r="E27" s="208" t="s">
        <v>887</v>
      </c>
      <c r="F27" s="208" t="s">
        <v>885</v>
      </c>
      <c r="G27" s="208" t="s">
        <v>864</v>
      </c>
      <c r="H27" s="208"/>
      <c r="I27" s="208"/>
      <c r="J27" s="208"/>
      <c r="K27" s="208">
        <v>8</v>
      </c>
      <c r="L27" s="208" t="str">
        <f t="shared" si="1"/>
        <v>1000</v>
      </c>
      <c r="M27" s="208" t="s">
        <v>920</v>
      </c>
      <c r="N27" s="240" t="s">
        <v>988</v>
      </c>
      <c r="O27" s="210" t="s">
        <v>989</v>
      </c>
      <c r="P27" s="210" t="s">
        <v>990</v>
      </c>
    </row>
    <row r="28" spans="1:16">
      <c r="A28" s="209" t="s">
        <v>850</v>
      </c>
      <c r="B28" s="208">
        <v>21</v>
      </c>
      <c r="C28" s="208" t="str">
        <f t="shared" si="0"/>
        <v>15</v>
      </c>
      <c r="D28" s="208" t="s">
        <v>11</v>
      </c>
      <c r="E28" s="208" t="s">
        <v>888</v>
      </c>
      <c r="F28" s="208" t="s">
        <v>887</v>
      </c>
      <c r="G28" s="208" t="s">
        <v>885</v>
      </c>
      <c r="H28" s="208"/>
      <c r="I28" s="208"/>
      <c r="J28" s="208"/>
      <c r="K28" s="208">
        <v>8</v>
      </c>
      <c r="L28" s="208" t="str">
        <f t="shared" si="1"/>
        <v>1000</v>
      </c>
      <c r="M28" s="208" t="s">
        <v>920</v>
      </c>
    </row>
    <row r="29" spans="1:16">
      <c r="A29" s="209" t="s">
        <v>706</v>
      </c>
      <c r="B29" s="208">
        <v>22</v>
      </c>
      <c r="C29" s="208" t="str">
        <f t="shared" si="0"/>
        <v>16</v>
      </c>
      <c r="D29" s="208" t="s">
        <v>127</v>
      </c>
      <c r="E29" s="208" t="s">
        <v>864</v>
      </c>
      <c r="F29" s="208" t="s">
        <v>885</v>
      </c>
      <c r="G29" s="208" t="s">
        <v>889</v>
      </c>
      <c r="H29" s="208"/>
      <c r="I29" s="208"/>
      <c r="J29" s="208"/>
      <c r="K29" s="208">
        <v>8</v>
      </c>
      <c r="L29" s="208" t="str">
        <f t="shared" si="1"/>
        <v>1000</v>
      </c>
      <c r="M29" s="208" t="s">
        <v>920</v>
      </c>
    </row>
    <row r="30" spans="1:16">
      <c r="A30" s="209"/>
      <c r="B30" s="208"/>
      <c r="C30" s="208"/>
      <c r="D30" s="208"/>
      <c r="E30" s="208"/>
      <c r="F30" s="208"/>
      <c r="G30" s="208"/>
      <c r="H30" s="208"/>
      <c r="I30" s="208"/>
      <c r="J30" s="208"/>
      <c r="K30" s="208"/>
      <c r="L30" s="208" t="str">
        <f t="shared" si="1"/>
        <v>0</v>
      </c>
      <c r="M30" s="208"/>
    </row>
    <row r="31" spans="1:16">
      <c r="A31" s="209" t="s">
        <v>721</v>
      </c>
      <c r="B31" s="208">
        <v>31</v>
      </c>
      <c r="C31" s="209" t="s">
        <v>898</v>
      </c>
      <c r="D31" s="208" t="s">
        <v>159</v>
      </c>
      <c r="E31" s="208"/>
      <c r="F31" s="208"/>
      <c r="G31" s="208">
        <v>-9</v>
      </c>
      <c r="H31" s="208" t="s">
        <v>926</v>
      </c>
      <c r="I31" s="208" t="s">
        <v>927</v>
      </c>
      <c r="J31" s="208"/>
      <c r="K31" s="208">
        <v>0</v>
      </c>
      <c r="L31" s="208" t="str">
        <f t="shared" si="1"/>
        <v>0</v>
      </c>
      <c r="M31" s="208"/>
    </row>
    <row r="32" spans="1:16">
      <c r="A32" s="208"/>
      <c r="B32" s="208"/>
      <c r="C32" s="208"/>
      <c r="D32" s="208"/>
      <c r="E32" s="208"/>
      <c r="F32" s="208"/>
      <c r="G32" s="208"/>
      <c r="H32" s="208"/>
      <c r="I32" s="208"/>
      <c r="J32" s="208"/>
      <c r="K32" s="208"/>
      <c r="L32" s="208" t="str">
        <f t="shared" si="1"/>
        <v>0</v>
      </c>
      <c r="M32" s="208"/>
    </row>
    <row r="33" spans="1:13">
      <c r="A33" s="209" t="s">
        <v>851</v>
      </c>
      <c r="B33" s="208">
        <v>23</v>
      </c>
      <c r="C33" s="209" t="s">
        <v>90</v>
      </c>
      <c r="D33" s="208" t="s">
        <v>122</v>
      </c>
      <c r="E33" s="208" t="s">
        <v>888</v>
      </c>
      <c r="F33" s="208" t="s">
        <v>885</v>
      </c>
      <c r="G33" s="208" t="s">
        <v>886</v>
      </c>
      <c r="H33" s="208" t="s">
        <v>927</v>
      </c>
      <c r="I33" s="208" t="s">
        <v>928</v>
      </c>
      <c r="J33" s="208"/>
      <c r="K33" s="208">
        <v>4</v>
      </c>
      <c r="L33" s="208" t="str">
        <f t="shared" si="1"/>
        <v>100</v>
      </c>
      <c r="M33" s="208" t="s">
        <v>919</v>
      </c>
    </row>
    <row r="34" spans="1:13">
      <c r="A34" s="239"/>
      <c r="B34" s="241"/>
      <c r="C34" s="239"/>
      <c r="D34" s="241"/>
      <c r="E34" s="241"/>
      <c r="F34" s="241"/>
      <c r="G34" s="241"/>
      <c r="H34" s="241"/>
      <c r="I34" s="241"/>
      <c r="J34" s="241"/>
      <c r="K34" s="241"/>
      <c r="L34" s="241" t="str">
        <f t="shared" si="1"/>
        <v>0</v>
      </c>
      <c r="M34" s="241"/>
    </row>
    <row r="35" spans="1:13">
      <c r="A35" s="239" t="s">
        <v>853</v>
      </c>
      <c r="B35" s="241">
        <v>27</v>
      </c>
      <c r="C35" s="239" t="s">
        <v>893</v>
      </c>
      <c r="D35" s="241" t="s">
        <v>96</v>
      </c>
      <c r="E35" s="241" t="s">
        <v>864</v>
      </c>
      <c r="F35" s="241" t="s">
        <v>894</v>
      </c>
      <c r="G35" s="241" t="s">
        <v>864</v>
      </c>
      <c r="H35" s="241"/>
      <c r="I35" s="241"/>
      <c r="J35" s="241"/>
      <c r="K35" s="241">
        <v>0</v>
      </c>
      <c r="L35" s="241" t="str">
        <f t="shared" si="1"/>
        <v>0</v>
      </c>
      <c r="M35" s="241"/>
    </row>
    <row r="36" spans="1:13">
      <c r="A36" s="239"/>
      <c r="B36" s="241"/>
      <c r="C36" s="239"/>
      <c r="D36" s="241"/>
      <c r="E36" s="241"/>
      <c r="F36" s="241"/>
      <c r="G36" s="241"/>
      <c r="H36" s="241"/>
      <c r="I36" s="241"/>
      <c r="J36" s="241"/>
      <c r="K36" s="241"/>
      <c r="L36" s="241" t="str">
        <f t="shared" si="1"/>
        <v>0</v>
      </c>
      <c r="M36" s="241"/>
    </row>
    <row r="37" spans="1:13">
      <c r="A37" s="239" t="s">
        <v>683</v>
      </c>
      <c r="B37" s="241">
        <v>10</v>
      </c>
      <c r="C37" s="239" t="s">
        <v>228</v>
      </c>
      <c r="D37" s="241" t="s">
        <v>147</v>
      </c>
      <c r="E37" s="241" t="s">
        <v>874</v>
      </c>
      <c r="F37" s="241" t="s">
        <v>864</v>
      </c>
      <c r="G37" s="241" t="s">
        <v>875</v>
      </c>
      <c r="H37" s="241"/>
      <c r="I37" s="241"/>
      <c r="J37" s="241"/>
      <c r="K37" s="241">
        <v>0</v>
      </c>
      <c r="L37" s="241" t="str">
        <f t="shared" si="1"/>
        <v>0</v>
      </c>
      <c r="M37" s="241"/>
    </row>
    <row r="38" spans="1:13">
      <c r="A38" s="239" t="s">
        <v>685</v>
      </c>
      <c r="B38" s="241">
        <v>11</v>
      </c>
      <c r="C38" s="239" t="s">
        <v>341</v>
      </c>
      <c r="D38" s="241" t="s">
        <v>20</v>
      </c>
      <c r="E38" s="241" t="s">
        <v>876</v>
      </c>
      <c r="F38" s="241" t="s">
        <v>874</v>
      </c>
      <c r="G38" s="241" t="s">
        <v>877</v>
      </c>
      <c r="H38" s="241"/>
      <c r="I38" s="241"/>
      <c r="J38" s="241"/>
      <c r="K38" s="241">
        <v>0</v>
      </c>
      <c r="L38" s="241" t="str">
        <f t="shared" si="1"/>
        <v>0</v>
      </c>
      <c r="M38" s="241"/>
    </row>
    <row r="39" spans="1:13">
      <c r="A39" s="239" t="s">
        <v>687</v>
      </c>
      <c r="B39" s="241">
        <v>12</v>
      </c>
      <c r="C39" s="239" t="s">
        <v>375</v>
      </c>
      <c r="D39" s="241" t="s">
        <v>17</v>
      </c>
      <c r="E39" s="241" t="s">
        <v>878</v>
      </c>
      <c r="F39" s="241" t="s">
        <v>874</v>
      </c>
      <c r="G39" s="241" t="s">
        <v>877</v>
      </c>
      <c r="H39" s="241"/>
      <c r="I39" s="241"/>
      <c r="J39" s="241"/>
      <c r="K39" s="241">
        <v>0</v>
      </c>
      <c r="L39" s="241" t="str">
        <f t="shared" si="1"/>
        <v>0</v>
      </c>
      <c r="M39" s="241"/>
    </row>
    <row r="40" spans="1:13">
      <c r="A40" s="239" t="s">
        <v>689</v>
      </c>
      <c r="B40" s="241">
        <v>13</v>
      </c>
      <c r="C40" s="239" t="s">
        <v>423</v>
      </c>
      <c r="D40" s="241" t="s">
        <v>26</v>
      </c>
      <c r="E40" s="241" t="s">
        <v>879</v>
      </c>
      <c r="F40" s="241" t="s">
        <v>869</v>
      </c>
      <c r="G40" s="241" t="s">
        <v>880</v>
      </c>
      <c r="H40" s="241"/>
      <c r="I40" s="241"/>
      <c r="J40" s="241"/>
      <c r="K40" s="241">
        <v>8</v>
      </c>
      <c r="L40" s="241" t="str">
        <f t="shared" si="1"/>
        <v>1000</v>
      </c>
      <c r="M40" s="241" t="s">
        <v>920</v>
      </c>
    </row>
    <row r="41" spans="1:13">
      <c r="A41" s="239" t="s">
        <v>691</v>
      </c>
      <c r="B41" s="241">
        <v>14</v>
      </c>
      <c r="C41" s="239" t="s">
        <v>448</v>
      </c>
      <c r="D41" s="241" t="s">
        <v>159</v>
      </c>
      <c r="E41" s="241"/>
      <c r="F41" s="241"/>
      <c r="G41" s="241" t="s">
        <v>881</v>
      </c>
      <c r="H41" s="241" t="s">
        <v>929</v>
      </c>
      <c r="I41" s="241" t="s">
        <v>929</v>
      </c>
      <c r="J41" s="241"/>
      <c r="K41" s="241">
        <v>0</v>
      </c>
      <c r="L41" s="241" t="str">
        <f t="shared" si="1"/>
        <v>0</v>
      </c>
      <c r="M41" s="241"/>
    </row>
  </sheetData>
  <mergeCells count="1">
    <mergeCell ref="A1:M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zoomScale="85" zoomScaleNormal="85" workbookViewId="0">
      <selection sqref="A1:I1"/>
    </sheetView>
  </sheetViews>
  <sheetFormatPr defaultColWidth="14.5" defaultRowHeight="15.75"/>
  <cols>
    <col min="1" max="1" width="14.125" style="214" bestFit="1" customWidth="1"/>
    <col min="2" max="2" width="25.75" style="214" bestFit="1" customWidth="1"/>
    <col min="3" max="3" width="11.625" style="214" bestFit="1" customWidth="1"/>
    <col min="4" max="4" width="6.75" style="214" bestFit="1" customWidth="1"/>
    <col min="5" max="5" width="9" style="214" bestFit="1" customWidth="1"/>
    <col min="6" max="6" width="9.875" style="214" bestFit="1" customWidth="1"/>
    <col min="7" max="7" width="11.5" style="214" bestFit="1" customWidth="1"/>
    <col min="8" max="8" width="9.375" style="214" bestFit="1" customWidth="1"/>
    <col min="9" max="9" width="10.375" style="214" customWidth="1"/>
    <col min="10" max="10" width="20.625" style="214" bestFit="1" customWidth="1"/>
    <col min="11" max="16384" width="14.5" style="214"/>
  </cols>
  <sheetData>
    <row r="1" spans="1:9">
      <c r="A1" s="215" t="s">
        <v>914</v>
      </c>
      <c r="B1" s="215"/>
      <c r="C1" s="215"/>
      <c r="D1" s="215"/>
      <c r="E1" s="215"/>
      <c r="F1" s="215"/>
      <c r="G1" s="215"/>
      <c r="H1" s="215"/>
      <c r="I1" s="215"/>
    </row>
    <row r="2" spans="1:9" ht="45">
      <c r="A2" s="211"/>
      <c r="B2" s="211" t="s">
        <v>909</v>
      </c>
      <c r="C2" s="212" t="s">
        <v>857</v>
      </c>
      <c r="D2" s="212" t="s">
        <v>858</v>
      </c>
      <c r="E2" s="212" t="s">
        <v>859</v>
      </c>
      <c r="F2" s="212" t="s">
        <v>860</v>
      </c>
      <c r="G2" s="212" t="s">
        <v>861</v>
      </c>
      <c r="H2" s="212" t="s">
        <v>862</v>
      </c>
      <c r="I2" s="212" t="s">
        <v>863</v>
      </c>
    </row>
    <row r="3" spans="1:9">
      <c r="A3" s="211"/>
      <c r="B3" s="211" t="s">
        <v>930</v>
      </c>
      <c r="C3" s="213" t="s">
        <v>845</v>
      </c>
      <c r="D3" s="212">
        <v>1</v>
      </c>
      <c r="E3" s="213" t="s">
        <v>10</v>
      </c>
      <c r="F3" s="212" t="s">
        <v>342</v>
      </c>
      <c r="G3" s="212" t="s">
        <v>577</v>
      </c>
      <c r="H3" s="212" t="s">
        <v>864</v>
      </c>
      <c r="I3" s="212" t="s">
        <v>865</v>
      </c>
    </row>
    <row r="4" spans="1:9">
      <c r="A4" s="211"/>
      <c r="B4" s="211" t="s">
        <v>931</v>
      </c>
      <c r="C4" s="213" t="s">
        <v>846</v>
      </c>
      <c r="D4" s="212">
        <v>2</v>
      </c>
      <c r="E4" s="213" t="s">
        <v>13</v>
      </c>
      <c r="F4" s="212" t="s">
        <v>342</v>
      </c>
      <c r="G4" s="212" t="s">
        <v>866</v>
      </c>
      <c r="H4" s="212" t="s">
        <v>864</v>
      </c>
      <c r="I4" s="212" t="s">
        <v>867</v>
      </c>
    </row>
    <row r="5" spans="1:9">
      <c r="A5" s="211"/>
      <c r="B5" s="211" t="s">
        <v>932</v>
      </c>
      <c r="C5" s="213" t="s">
        <v>847</v>
      </c>
      <c r="D5" s="212">
        <v>3</v>
      </c>
      <c r="E5" s="213" t="s">
        <v>16</v>
      </c>
      <c r="F5" s="212" t="s">
        <v>52</v>
      </c>
      <c r="G5" s="212" t="s">
        <v>868</v>
      </c>
      <c r="H5" s="212" t="s">
        <v>866</v>
      </c>
      <c r="I5" s="212" t="s">
        <v>864</v>
      </c>
    </row>
    <row r="6" spans="1:9">
      <c r="A6" s="211"/>
      <c r="B6" s="211" t="s">
        <v>933</v>
      </c>
      <c r="C6" s="213" t="s">
        <v>667</v>
      </c>
      <c r="D6" s="212">
        <v>4</v>
      </c>
      <c r="E6" s="213" t="s">
        <v>19</v>
      </c>
      <c r="F6" s="212" t="s">
        <v>345</v>
      </c>
      <c r="G6" s="212" t="s">
        <v>869</v>
      </c>
      <c r="H6" s="212" t="s">
        <v>864</v>
      </c>
      <c r="I6" s="212" t="s">
        <v>870</v>
      </c>
    </row>
    <row r="7" spans="1:9">
      <c r="A7" s="211"/>
      <c r="B7" s="211" t="s">
        <v>934</v>
      </c>
      <c r="C7" s="213" t="s">
        <v>670</v>
      </c>
      <c r="D7" s="212">
        <v>5</v>
      </c>
      <c r="E7" s="213" t="s">
        <v>22</v>
      </c>
      <c r="F7" s="212" t="s">
        <v>52</v>
      </c>
      <c r="G7" s="212" t="s">
        <v>871</v>
      </c>
      <c r="H7" s="212" t="s">
        <v>869</v>
      </c>
      <c r="I7" s="212" t="s">
        <v>864</v>
      </c>
    </row>
    <row r="8" spans="1:9">
      <c r="A8" s="211"/>
      <c r="B8" s="211" t="s">
        <v>935</v>
      </c>
      <c r="C8" s="213" t="s">
        <v>673</v>
      </c>
      <c r="D8" s="212">
        <v>6</v>
      </c>
      <c r="E8" s="213" t="s">
        <v>25</v>
      </c>
      <c r="F8" s="212" t="s">
        <v>48</v>
      </c>
      <c r="G8" s="212" t="s">
        <v>872</v>
      </c>
      <c r="H8" s="212" t="s">
        <v>868</v>
      </c>
      <c r="I8" s="212" t="s">
        <v>864</v>
      </c>
    </row>
    <row r="9" spans="1:9">
      <c r="A9" s="211"/>
      <c r="B9" s="211" t="s">
        <v>936</v>
      </c>
      <c r="C9" s="213" t="s">
        <v>676</v>
      </c>
      <c r="D9" s="212">
        <v>7</v>
      </c>
      <c r="E9" s="213" t="s">
        <v>28</v>
      </c>
      <c r="F9" s="212" t="s">
        <v>91</v>
      </c>
      <c r="G9" s="212" t="s">
        <v>864</v>
      </c>
      <c r="H9" s="212" t="s">
        <v>577</v>
      </c>
      <c r="I9" s="212" t="s">
        <v>864</v>
      </c>
    </row>
    <row r="10" spans="1:9">
      <c r="A10" s="211"/>
      <c r="B10" s="211" t="s">
        <v>937</v>
      </c>
      <c r="C10" s="213" t="s">
        <v>522</v>
      </c>
      <c r="D10" s="212">
        <v>8</v>
      </c>
      <c r="E10" s="213" t="s">
        <v>33</v>
      </c>
      <c r="F10" s="212" t="s">
        <v>68</v>
      </c>
      <c r="G10" s="212" t="s">
        <v>864</v>
      </c>
      <c r="H10" s="212" t="s">
        <v>864</v>
      </c>
      <c r="I10" s="212" t="s">
        <v>864</v>
      </c>
    </row>
    <row r="11" spans="1:9">
      <c r="A11" s="211"/>
      <c r="B11" s="211" t="s">
        <v>938</v>
      </c>
      <c r="C11" s="213" t="s">
        <v>681</v>
      </c>
      <c r="D11" s="212">
        <v>9</v>
      </c>
      <c r="E11" s="213" t="s">
        <v>37</v>
      </c>
      <c r="F11" s="212" t="s">
        <v>164</v>
      </c>
      <c r="G11" s="212"/>
      <c r="H11" s="212"/>
      <c r="I11" s="212" t="s">
        <v>873</v>
      </c>
    </row>
    <row r="12" spans="1:9">
      <c r="A12" s="211"/>
      <c r="B12" s="211" t="s">
        <v>939</v>
      </c>
      <c r="C12" s="213" t="s">
        <v>683</v>
      </c>
      <c r="D12" s="212">
        <v>10</v>
      </c>
      <c r="E12" s="213" t="s">
        <v>228</v>
      </c>
      <c r="F12" s="212" t="s">
        <v>147</v>
      </c>
      <c r="G12" s="212" t="s">
        <v>874</v>
      </c>
      <c r="H12" s="212" t="s">
        <v>864</v>
      </c>
      <c r="I12" s="212" t="s">
        <v>875</v>
      </c>
    </row>
    <row r="13" spans="1:9">
      <c r="A13" s="211"/>
      <c r="B13" s="211" t="s">
        <v>940</v>
      </c>
      <c r="C13" s="213" t="s">
        <v>685</v>
      </c>
      <c r="D13" s="212">
        <v>11</v>
      </c>
      <c r="E13" s="213" t="s">
        <v>341</v>
      </c>
      <c r="F13" s="212" t="s">
        <v>20</v>
      </c>
      <c r="G13" s="212" t="s">
        <v>876</v>
      </c>
      <c r="H13" s="212" t="s">
        <v>874</v>
      </c>
      <c r="I13" s="212" t="s">
        <v>877</v>
      </c>
    </row>
    <row r="14" spans="1:9">
      <c r="A14" s="211"/>
      <c r="B14" s="211" t="s">
        <v>941</v>
      </c>
      <c r="C14" s="213" t="s">
        <v>687</v>
      </c>
      <c r="D14" s="212">
        <v>12</v>
      </c>
      <c r="E14" s="213" t="s">
        <v>375</v>
      </c>
      <c r="F14" s="212" t="s">
        <v>17</v>
      </c>
      <c r="G14" s="212" t="s">
        <v>878</v>
      </c>
      <c r="H14" s="212" t="s">
        <v>874</v>
      </c>
      <c r="I14" s="212" t="s">
        <v>877</v>
      </c>
    </row>
    <row r="15" spans="1:9">
      <c r="A15" s="211"/>
      <c r="B15" s="211" t="s">
        <v>942</v>
      </c>
      <c r="C15" s="213" t="s">
        <v>689</v>
      </c>
      <c r="D15" s="212">
        <v>13</v>
      </c>
      <c r="E15" s="213" t="s">
        <v>423</v>
      </c>
      <c r="F15" s="212" t="s">
        <v>26</v>
      </c>
      <c r="G15" s="212" t="s">
        <v>879</v>
      </c>
      <c r="H15" s="212" t="s">
        <v>869</v>
      </c>
      <c r="I15" s="212" t="s">
        <v>880</v>
      </c>
    </row>
    <row r="16" spans="1:9">
      <c r="A16" s="211"/>
      <c r="B16" s="211" t="s">
        <v>943</v>
      </c>
      <c r="C16" s="213" t="s">
        <v>691</v>
      </c>
      <c r="D16" s="212">
        <v>14</v>
      </c>
      <c r="E16" s="213" t="s">
        <v>448</v>
      </c>
      <c r="F16" s="212" t="s">
        <v>159</v>
      </c>
      <c r="G16" s="212"/>
      <c r="H16" s="212"/>
      <c r="I16" s="212" t="s">
        <v>881</v>
      </c>
    </row>
    <row r="17" spans="1:12">
      <c r="A17" s="211"/>
      <c r="B17" s="211" t="s">
        <v>944</v>
      </c>
      <c r="C17" s="213" t="s">
        <v>848</v>
      </c>
      <c r="D17" s="212">
        <v>15</v>
      </c>
      <c r="E17" s="213" t="s">
        <v>817</v>
      </c>
      <c r="F17" s="212" t="s">
        <v>11</v>
      </c>
      <c r="G17" s="212" t="s">
        <v>882</v>
      </c>
      <c r="H17" s="212" t="s">
        <v>866</v>
      </c>
      <c r="I17" s="212" t="s">
        <v>908</v>
      </c>
    </row>
    <row r="18" spans="1:12">
      <c r="A18" s="211"/>
      <c r="B18" s="211" t="s">
        <v>945</v>
      </c>
      <c r="C18" s="213" t="s">
        <v>695</v>
      </c>
      <c r="D18" s="212">
        <v>16</v>
      </c>
      <c r="E18" s="213" t="s">
        <v>41</v>
      </c>
      <c r="F18" s="212" t="s">
        <v>14</v>
      </c>
      <c r="G18" s="212" t="s">
        <v>864</v>
      </c>
      <c r="H18" s="212" t="s">
        <v>882</v>
      </c>
      <c r="I18" s="212" t="s">
        <v>883</v>
      </c>
    </row>
    <row r="19" spans="1:12">
      <c r="A19" s="211"/>
      <c r="B19" s="211" t="s">
        <v>946</v>
      </c>
      <c r="C19" s="213" t="s">
        <v>697</v>
      </c>
      <c r="D19" s="212">
        <v>17</v>
      </c>
      <c r="E19" s="213" t="s">
        <v>47</v>
      </c>
      <c r="F19" s="212" t="s">
        <v>142</v>
      </c>
      <c r="G19" s="212" t="s">
        <v>869</v>
      </c>
      <c r="H19" s="212" t="s">
        <v>864</v>
      </c>
      <c r="I19" s="212" t="s">
        <v>884</v>
      </c>
    </row>
    <row r="20" spans="1:12">
      <c r="A20" s="211"/>
      <c r="B20" s="211" t="s">
        <v>947</v>
      </c>
      <c r="C20" s="213" t="s">
        <v>849</v>
      </c>
      <c r="D20" s="212">
        <v>18</v>
      </c>
      <c r="E20" s="213" t="s">
        <v>51</v>
      </c>
      <c r="F20" s="212" t="s">
        <v>86</v>
      </c>
      <c r="G20" s="212" t="s">
        <v>864</v>
      </c>
      <c r="H20" s="212" t="s">
        <v>866</v>
      </c>
      <c r="I20" s="212" t="s">
        <v>864</v>
      </c>
    </row>
    <row r="21" spans="1:12">
      <c r="A21" s="211"/>
      <c r="B21" s="211" t="s">
        <v>948</v>
      </c>
      <c r="C21" s="213" t="s">
        <v>700</v>
      </c>
      <c r="D21" s="212">
        <v>19</v>
      </c>
      <c r="E21" s="213" t="s">
        <v>56</v>
      </c>
      <c r="F21" s="212" t="s">
        <v>147</v>
      </c>
      <c r="G21" s="212" t="s">
        <v>885</v>
      </c>
      <c r="H21" s="212" t="s">
        <v>882</v>
      </c>
      <c r="I21" s="212" t="s">
        <v>886</v>
      </c>
    </row>
    <row r="22" spans="1:12">
      <c r="A22" s="211"/>
      <c r="B22" s="211" t="s">
        <v>949</v>
      </c>
      <c r="C22" s="213" t="s">
        <v>702</v>
      </c>
      <c r="D22" s="212">
        <v>20</v>
      </c>
      <c r="E22" s="213" t="s">
        <v>60</v>
      </c>
      <c r="F22" s="212" t="s">
        <v>29</v>
      </c>
      <c r="G22" s="212" t="s">
        <v>887</v>
      </c>
      <c r="H22" s="212" t="s">
        <v>885</v>
      </c>
      <c r="I22" s="212" t="s">
        <v>864</v>
      </c>
    </row>
    <row r="23" spans="1:12">
      <c r="A23" s="211"/>
      <c r="B23" s="211" t="s">
        <v>950</v>
      </c>
      <c r="C23" s="213" t="s">
        <v>850</v>
      </c>
      <c r="D23" s="212">
        <v>21</v>
      </c>
      <c r="E23" s="213" t="s">
        <v>64</v>
      </c>
      <c r="F23" s="212" t="s">
        <v>11</v>
      </c>
      <c r="G23" s="212" t="s">
        <v>888</v>
      </c>
      <c r="H23" s="212" t="s">
        <v>887</v>
      </c>
      <c r="I23" s="212" t="s">
        <v>885</v>
      </c>
    </row>
    <row r="24" spans="1:12">
      <c r="A24" s="211"/>
      <c r="B24" s="211" t="s">
        <v>951</v>
      </c>
      <c r="C24" s="213" t="s">
        <v>706</v>
      </c>
      <c r="D24" s="212">
        <v>22</v>
      </c>
      <c r="E24" s="213" t="s">
        <v>85</v>
      </c>
      <c r="F24" s="212" t="s">
        <v>127</v>
      </c>
      <c r="G24" s="212" t="s">
        <v>864</v>
      </c>
      <c r="H24" s="212" t="s">
        <v>885</v>
      </c>
      <c r="I24" s="212" t="s">
        <v>889</v>
      </c>
    </row>
    <row r="25" spans="1:12">
      <c r="A25" s="211"/>
      <c r="B25" s="211" t="s">
        <v>952</v>
      </c>
      <c r="C25" s="213" t="s">
        <v>851</v>
      </c>
      <c r="D25" s="212">
        <v>23</v>
      </c>
      <c r="E25" s="213" t="s">
        <v>90</v>
      </c>
      <c r="F25" s="212" t="s">
        <v>122</v>
      </c>
      <c r="G25" s="212" t="s">
        <v>888</v>
      </c>
      <c r="H25" s="212" t="s">
        <v>885</v>
      </c>
      <c r="I25" s="212" t="s">
        <v>886</v>
      </c>
      <c r="K25" s="214" t="s">
        <v>968</v>
      </c>
      <c r="L25" s="214" t="s">
        <v>968</v>
      </c>
    </row>
    <row r="26" spans="1:12" ht="30">
      <c r="A26" s="211" t="s">
        <v>969</v>
      </c>
      <c r="B26" s="211" t="s">
        <v>953</v>
      </c>
      <c r="C26" s="213" t="s">
        <v>970</v>
      </c>
      <c r="D26" s="212">
        <v>24</v>
      </c>
      <c r="E26" s="213" t="s">
        <v>95</v>
      </c>
      <c r="F26" s="212" t="s">
        <v>131</v>
      </c>
      <c r="G26" s="212" t="s">
        <v>885</v>
      </c>
      <c r="H26" s="212" t="s">
        <v>888</v>
      </c>
      <c r="I26" s="212" t="s">
        <v>890</v>
      </c>
      <c r="J26" s="214" t="s">
        <v>967</v>
      </c>
      <c r="K26" s="212" t="s">
        <v>965</v>
      </c>
      <c r="L26" s="212" t="s">
        <v>966</v>
      </c>
    </row>
    <row r="27" spans="1:12">
      <c r="A27" s="211"/>
      <c r="B27" s="211" t="s">
        <v>954</v>
      </c>
      <c r="C27" s="213" t="s">
        <v>852</v>
      </c>
      <c r="D27" s="212">
        <v>25</v>
      </c>
      <c r="E27" s="213" t="s">
        <v>546</v>
      </c>
      <c r="F27" s="212" t="s">
        <v>127</v>
      </c>
      <c r="G27" s="212" t="s">
        <v>888</v>
      </c>
      <c r="H27" s="212" t="s">
        <v>885</v>
      </c>
      <c r="I27" s="212" t="s">
        <v>891</v>
      </c>
    </row>
    <row r="28" spans="1:12">
      <c r="A28" s="211"/>
      <c r="B28" s="211" t="s">
        <v>936</v>
      </c>
      <c r="C28" s="213" t="s">
        <v>676</v>
      </c>
      <c r="D28" s="212">
        <v>26</v>
      </c>
      <c r="E28" s="213" t="s">
        <v>892</v>
      </c>
      <c r="F28" s="212" t="s">
        <v>91</v>
      </c>
      <c r="G28" s="212" t="s">
        <v>864</v>
      </c>
      <c r="H28" s="212" t="s">
        <v>577</v>
      </c>
      <c r="I28" s="212" t="s">
        <v>864</v>
      </c>
    </row>
    <row r="29" spans="1:12">
      <c r="A29" s="211"/>
      <c r="B29" s="211" t="s">
        <v>955</v>
      </c>
      <c r="C29" s="213" t="s">
        <v>853</v>
      </c>
      <c r="D29" s="212">
        <v>27</v>
      </c>
      <c r="E29" s="213" t="s">
        <v>893</v>
      </c>
      <c r="F29" s="212" t="s">
        <v>96</v>
      </c>
      <c r="G29" s="212" t="s">
        <v>864</v>
      </c>
      <c r="H29" s="212" t="s">
        <v>894</v>
      </c>
      <c r="I29" s="212" t="s">
        <v>864</v>
      </c>
    </row>
    <row r="30" spans="1:12">
      <c r="A30" s="211"/>
      <c r="B30" s="211" t="s">
        <v>956</v>
      </c>
      <c r="C30" s="213" t="s">
        <v>854</v>
      </c>
      <c r="D30" s="212">
        <v>28</v>
      </c>
      <c r="E30" s="213" t="s">
        <v>895</v>
      </c>
      <c r="F30" s="212" t="s">
        <v>57</v>
      </c>
      <c r="G30" s="212" t="s">
        <v>888</v>
      </c>
      <c r="H30" s="212" t="s">
        <v>864</v>
      </c>
      <c r="I30" s="212" t="s">
        <v>864</v>
      </c>
    </row>
    <row r="31" spans="1:12">
      <c r="A31" s="211"/>
      <c r="B31" s="211" t="s">
        <v>957</v>
      </c>
      <c r="C31" s="213" t="s">
        <v>718</v>
      </c>
      <c r="D31" s="212">
        <v>29</v>
      </c>
      <c r="E31" s="213" t="s">
        <v>896</v>
      </c>
      <c r="F31" s="212" t="s">
        <v>159</v>
      </c>
      <c r="G31" s="212"/>
      <c r="H31" s="212"/>
      <c r="I31" s="212">
        <v>-7</v>
      </c>
    </row>
    <row r="32" spans="1:12">
      <c r="A32" s="211"/>
      <c r="B32" s="211" t="s">
        <v>958</v>
      </c>
      <c r="C32" s="213" t="s">
        <v>855</v>
      </c>
      <c r="D32" s="212">
        <v>30</v>
      </c>
      <c r="E32" s="213" t="s">
        <v>897</v>
      </c>
      <c r="F32" s="212" t="s">
        <v>57</v>
      </c>
      <c r="G32" s="212" t="s">
        <v>885</v>
      </c>
      <c r="H32" s="212" t="s">
        <v>864</v>
      </c>
      <c r="I32" s="212" t="s">
        <v>864</v>
      </c>
    </row>
    <row r="33" spans="1:9">
      <c r="A33" s="211"/>
      <c r="B33" s="211" t="s">
        <v>959</v>
      </c>
      <c r="C33" s="213" t="s">
        <v>721</v>
      </c>
      <c r="D33" s="212">
        <v>31</v>
      </c>
      <c r="E33" s="213" t="s">
        <v>898</v>
      </c>
      <c r="F33" s="212" t="s">
        <v>159</v>
      </c>
      <c r="G33" s="212"/>
      <c r="H33" s="212"/>
      <c r="I33" s="212">
        <v>-9</v>
      </c>
    </row>
    <row r="34" spans="1:9">
      <c r="A34" s="211"/>
      <c r="B34" s="211" t="s">
        <v>960</v>
      </c>
      <c r="C34" s="213" t="s">
        <v>723</v>
      </c>
      <c r="D34" s="212">
        <v>32</v>
      </c>
      <c r="E34" s="213" t="s">
        <v>503</v>
      </c>
      <c r="F34" s="212" t="s">
        <v>17</v>
      </c>
      <c r="G34" s="212" t="s">
        <v>899</v>
      </c>
      <c r="H34" s="212" t="s">
        <v>869</v>
      </c>
      <c r="I34" s="212" t="s">
        <v>900</v>
      </c>
    </row>
    <row r="35" spans="1:9">
      <c r="A35" s="211"/>
      <c r="B35" s="211" t="s">
        <v>961</v>
      </c>
      <c r="C35" s="213" t="s">
        <v>725</v>
      </c>
      <c r="D35" s="212">
        <v>33</v>
      </c>
      <c r="E35" s="213" t="s">
        <v>554</v>
      </c>
      <c r="F35" s="212" t="s">
        <v>20</v>
      </c>
      <c r="G35" s="212" t="s">
        <v>901</v>
      </c>
      <c r="H35" s="212" t="s">
        <v>899</v>
      </c>
      <c r="I35" s="212" t="s">
        <v>902</v>
      </c>
    </row>
    <row r="36" spans="1:9">
      <c r="A36" s="211"/>
      <c r="B36" s="211" t="s">
        <v>962</v>
      </c>
      <c r="C36" s="213" t="s">
        <v>727</v>
      </c>
      <c r="D36" s="212">
        <v>34</v>
      </c>
      <c r="E36" s="213" t="s">
        <v>555</v>
      </c>
      <c r="F36" s="212" t="s">
        <v>152</v>
      </c>
      <c r="G36" s="212" t="s">
        <v>869</v>
      </c>
      <c r="H36" s="212" t="s">
        <v>901</v>
      </c>
      <c r="I36" s="212" t="s">
        <v>903</v>
      </c>
    </row>
    <row r="37" spans="1:9">
      <c r="A37" s="211"/>
      <c r="B37" s="211" t="s">
        <v>963</v>
      </c>
      <c r="C37" s="213" t="s">
        <v>729</v>
      </c>
      <c r="D37" s="212">
        <v>35</v>
      </c>
      <c r="E37" s="213" t="s">
        <v>556</v>
      </c>
      <c r="F37" s="212" t="s">
        <v>147</v>
      </c>
      <c r="G37" s="212" t="s">
        <v>904</v>
      </c>
      <c r="H37" s="212" t="s">
        <v>864</v>
      </c>
      <c r="I37" s="212" t="s">
        <v>884</v>
      </c>
    </row>
    <row r="38" spans="1:9">
      <c r="A38" s="211"/>
      <c r="B38" s="211" t="s">
        <v>964</v>
      </c>
      <c r="C38" s="213" t="s">
        <v>856</v>
      </c>
      <c r="D38" s="212">
        <v>36</v>
      </c>
      <c r="E38" s="213" t="s">
        <v>557</v>
      </c>
      <c r="F38" s="212" t="s">
        <v>137</v>
      </c>
      <c r="G38" s="212" t="s">
        <v>906</v>
      </c>
      <c r="H38" s="212" t="s">
        <v>864</v>
      </c>
      <c r="I38" s="212" t="s">
        <v>907</v>
      </c>
    </row>
    <row r="39" spans="1:9">
      <c r="A39" s="211"/>
      <c r="B39" s="211" t="s">
        <v>955</v>
      </c>
      <c r="C39" s="213" t="s">
        <v>853</v>
      </c>
      <c r="D39" s="212">
        <v>37</v>
      </c>
      <c r="E39" s="213" t="s">
        <v>479</v>
      </c>
      <c r="F39" s="212" t="s">
        <v>96</v>
      </c>
      <c r="G39" s="212" t="s">
        <v>864</v>
      </c>
      <c r="H39" s="212" t="s">
        <v>894</v>
      </c>
      <c r="I39" s="212" t="s">
        <v>864</v>
      </c>
    </row>
    <row r="40" spans="1:9">
      <c r="A40" s="211"/>
      <c r="B40" s="211"/>
      <c r="C40" s="211"/>
      <c r="D40" s="211"/>
      <c r="E40" s="211"/>
      <c r="F40" s="211"/>
      <c r="G40" s="212"/>
      <c r="H40" s="212"/>
      <c r="I40" s="212"/>
    </row>
  </sheetData>
  <mergeCells count="1">
    <mergeCell ref="A1:I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K69"/>
  <sheetViews>
    <sheetView zoomScaleNormal="100" workbookViewId="0">
      <selection activeCell="J14" sqref="J14"/>
    </sheetView>
  </sheetViews>
  <sheetFormatPr defaultRowHeight="15.75"/>
  <cols>
    <col min="1" max="1" width="11.75" style="51"/>
    <col min="2" max="2" width="43.5" style="51"/>
    <col min="3" max="3" width="8.625" style="164"/>
    <col min="4" max="4" width="8.625" style="165"/>
    <col min="5" max="5" width="8.625" style="164"/>
    <col min="6" max="6" width="12.25" style="164"/>
    <col min="7" max="7" width="14.5" style="164"/>
    <col min="8" max="8" width="8.25" style="165"/>
    <col min="9" max="9" width="21.625" style="166"/>
    <col min="10" max="10" width="19.5" style="166"/>
    <col min="11" max="11" width="14.5" style="164"/>
    <col min="12" max="12" width="18.5" style="166"/>
    <col min="13" max="13" width="36" style="167"/>
    <col min="14" max="14" width="4.75" style="51"/>
    <col min="15" max="15" width="6.625" style="51"/>
    <col min="16" max="16" width="5.5" style="51"/>
    <col min="17" max="18" width="6.625" style="51"/>
    <col min="19" max="19" width="4.75" style="51"/>
    <col min="20" max="22" width="6.625" style="51"/>
    <col min="23" max="23" width="4.75" style="51"/>
    <col min="24" max="25" width="6.625" style="51"/>
    <col min="26" max="26" width="14.125" style="51"/>
    <col min="27" max="27" width="12.875" style="51"/>
    <col min="28" max="28" width="5.75" style="51"/>
    <col min="29" max="29" width="12.125" style="51"/>
    <col min="30" max="30" width="8.25" style="51"/>
    <col min="31" max="31" width="14.125" style="51"/>
    <col min="32" max="32" width="38.875" style="51"/>
    <col min="33" max="33" width="3.5" style="51"/>
    <col min="34" max="34" width="6.125" style="51"/>
    <col min="35" max="35" width="3.5" style="51"/>
    <col min="36" max="36" width="6.125" style="51"/>
    <col min="37" max="37" width="12.125" style="51"/>
    <col min="38" max="38" width="10.75" style="51"/>
    <col min="39" max="39" width="3.5" style="51"/>
    <col min="40" max="40" width="6.125" style="51"/>
    <col min="41" max="41" width="12.125" style="51"/>
    <col min="42" max="42" width="10.5" style="51"/>
    <col min="43" max="43" width="16" style="51"/>
    <col min="44" max="44" width="12.125" style="51"/>
    <col min="45" max="45" width="10.5" style="51"/>
    <col min="46" max="46" width="15.75" style="51"/>
    <col min="47" max="47" width="3.5" style="51"/>
    <col min="48" max="48" width="6.125" style="51"/>
    <col min="49" max="49" width="12.125" style="51"/>
    <col min="50" max="50" width="10.5" style="51"/>
    <col min="51" max="51" width="15.75" style="51"/>
    <col min="52" max="52" width="3.5" style="51"/>
    <col min="53" max="53" width="6.125" style="51"/>
    <col min="54" max="54" width="12.125" style="51"/>
    <col min="55" max="55" width="10.5" style="51"/>
    <col min="56" max="56" width="15.75" style="51"/>
    <col min="57" max="57" width="3.5" style="51"/>
    <col min="58" max="58" width="6.125" style="51"/>
    <col min="59" max="1023" width="12.125" style="51"/>
    <col min="1024" max="1025" width="12.125" style="168"/>
  </cols>
  <sheetData>
    <row r="1" spans="1:58">
      <c r="A1" s="31" t="s">
        <v>731</v>
      </c>
      <c r="B1" s="31"/>
      <c r="C1" s="32"/>
      <c r="D1" s="169"/>
      <c r="E1" s="32"/>
      <c r="F1" s="32"/>
      <c r="G1" s="32"/>
      <c r="H1" s="169"/>
      <c r="I1" s="170"/>
      <c r="J1" s="170"/>
      <c r="K1" s="32"/>
      <c r="L1" s="170"/>
      <c r="M1" s="33"/>
      <c r="N1" s="43"/>
      <c r="O1" s="43"/>
      <c r="P1" s="43"/>
      <c r="Q1" s="43"/>
      <c r="R1" s="43"/>
      <c r="S1" s="43"/>
      <c r="T1" s="43"/>
      <c r="U1" s="43"/>
      <c r="V1" s="43"/>
      <c r="W1" s="43"/>
      <c r="X1" s="43"/>
      <c r="Y1" s="43"/>
      <c r="Z1" s="43"/>
      <c r="AA1" s="43"/>
      <c r="AB1" s="43"/>
      <c r="AE1" s="19"/>
      <c r="AF1" s="19"/>
      <c r="AG1" s="19"/>
      <c r="AH1" s="19"/>
      <c r="AI1" s="21"/>
      <c r="AJ1" s="21"/>
      <c r="AK1" s="21"/>
      <c r="AL1" s="21"/>
      <c r="AM1" s="21"/>
    </row>
    <row r="2" spans="1:58">
      <c r="A2" s="31" t="s">
        <v>180</v>
      </c>
      <c r="B2" s="31" t="s">
        <v>181</v>
      </c>
      <c r="C2" s="32" t="s">
        <v>187</v>
      </c>
      <c r="D2" s="169" t="s">
        <v>732</v>
      </c>
      <c r="E2" s="32" t="s">
        <v>188</v>
      </c>
      <c r="F2" s="32" t="s">
        <v>733</v>
      </c>
      <c r="G2" s="32" t="s">
        <v>186</v>
      </c>
      <c r="H2" s="169" t="s">
        <v>734</v>
      </c>
      <c r="I2" s="170" t="s">
        <v>735</v>
      </c>
      <c r="J2" s="170" t="s">
        <v>736</v>
      </c>
      <c r="K2" s="32" t="s">
        <v>189</v>
      </c>
      <c r="L2" s="170" t="s">
        <v>737</v>
      </c>
      <c r="M2" s="33" t="s">
        <v>738</v>
      </c>
      <c r="N2" s="43" t="s">
        <v>193</v>
      </c>
      <c r="O2" s="43" t="s">
        <v>194</v>
      </c>
      <c r="P2" s="43" t="s">
        <v>195</v>
      </c>
      <c r="Q2" s="43" t="s">
        <v>196</v>
      </c>
      <c r="R2" s="43" t="s">
        <v>197</v>
      </c>
      <c r="S2" s="43" t="s">
        <v>198</v>
      </c>
      <c r="T2" s="43" t="s">
        <v>199</v>
      </c>
      <c r="U2" s="43" t="s">
        <v>200</v>
      </c>
      <c r="V2" s="43" t="s">
        <v>201</v>
      </c>
      <c r="W2" s="43" t="s">
        <v>202</v>
      </c>
      <c r="X2" s="43" t="s">
        <v>203</v>
      </c>
      <c r="Y2" s="43" t="s">
        <v>204</v>
      </c>
      <c r="Z2" s="43" t="s">
        <v>205</v>
      </c>
      <c r="AA2" s="43" t="s">
        <v>206</v>
      </c>
      <c r="AB2" s="43" t="s">
        <v>207</v>
      </c>
      <c r="AE2" s="19"/>
      <c r="AF2" s="19"/>
      <c r="AG2" s="19"/>
      <c r="AH2" s="19"/>
      <c r="AI2" s="21"/>
      <c r="AJ2" s="21"/>
      <c r="AK2" s="21"/>
      <c r="AL2" s="21"/>
      <c r="AM2" s="21"/>
    </row>
    <row r="3" spans="1:58">
      <c r="A3" s="43" t="s">
        <v>68</v>
      </c>
      <c r="B3" s="43" t="s">
        <v>739</v>
      </c>
      <c r="C3" s="103">
        <v>0</v>
      </c>
      <c r="D3" s="171" t="str">
        <f t="shared" ref="D3:D18" si="0">DEC2BIN(C3,5)</f>
        <v>00000</v>
      </c>
      <c r="E3" s="103">
        <v>0</v>
      </c>
      <c r="F3" s="103" t="str">
        <f>DEC2BIN(E3,5)</f>
        <v>00000</v>
      </c>
      <c r="G3" s="164">
        <v>0</v>
      </c>
      <c r="H3" s="165" t="str">
        <f t="shared" ref="H3:H18" si="1">DEC2BIN(G3,5)</f>
        <v>00000</v>
      </c>
      <c r="I3" s="20" t="s">
        <v>740</v>
      </c>
      <c r="J3" s="21" t="str">
        <f t="shared" ref="J3:J18" si="2">SUBSTITUTE(I3,"_","")</f>
        <v>00000000000111111</v>
      </c>
      <c r="K3" s="172" t="s">
        <v>226</v>
      </c>
      <c r="L3" s="173" t="s">
        <v>226</v>
      </c>
      <c r="M3" s="174" t="str">
        <f>D3&amp;F3&amp;H3&amp;J3</f>
        <v>00000000000000000000000000111111</v>
      </c>
      <c r="N3" s="175">
        <v>0</v>
      </c>
      <c r="AE3" s="19"/>
      <c r="AF3" s="19"/>
      <c r="AG3" s="19"/>
      <c r="AH3" s="19"/>
      <c r="AI3" s="21"/>
      <c r="AJ3" s="21"/>
      <c r="AK3" s="21"/>
      <c r="AL3" s="21"/>
      <c r="AM3" s="21"/>
    </row>
    <row r="4" spans="1:58">
      <c r="A4" s="64" t="s">
        <v>741</v>
      </c>
      <c r="B4" s="43" t="s">
        <v>742</v>
      </c>
      <c r="C4" s="103">
        <v>0</v>
      </c>
      <c r="D4" s="171" t="str">
        <f t="shared" si="0"/>
        <v>00000</v>
      </c>
      <c r="E4" s="164" t="s">
        <v>226</v>
      </c>
      <c r="F4" s="103" t="s">
        <v>226</v>
      </c>
      <c r="G4" s="164">
        <v>0</v>
      </c>
      <c r="H4" s="165" t="str">
        <f t="shared" si="1"/>
        <v>00000</v>
      </c>
      <c r="I4" s="20">
        <v>100010</v>
      </c>
      <c r="J4" s="21" t="str">
        <f t="shared" si="2"/>
        <v>100010</v>
      </c>
      <c r="K4" s="172">
        <f>A41</f>
        <v>0</v>
      </c>
      <c r="L4" s="173" t="str">
        <f>SUBSTITUTE(B41,"_","")</f>
        <v>0000000000000000</v>
      </c>
      <c r="M4" s="174" t="str">
        <f>D4&amp;H4&amp;L4&amp;J4</f>
        <v>00000000000000000000000000100010</v>
      </c>
      <c r="N4" s="175">
        <v>0</v>
      </c>
      <c r="AC4" s="168"/>
      <c r="AD4" s="168"/>
      <c r="AE4" s="176"/>
      <c r="AF4" s="176"/>
      <c r="AG4" s="3" t="s">
        <v>743</v>
      </c>
      <c r="AH4" s="3"/>
      <c r="AI4" s="2" t="s">
        <v>744</v>
      </c>
      <c r="AJ4" s="2"/>
      <c r="AK4" s="168"/>
      <c r="AL4" s="1" t="s">
        <v>745</v>
      </c>
      <c r="AM4" s="1"/>
      <c r="AN4" s="1"/>
      <c r="AP4" s="179" t="s">
        <v>746</v>
      </c>
      <c r="AQ4" s="179" t="s">
        <v>747</v>
      </c>
      <c r="AR4" s="179"/>
      <c r="AS4" s="179" t="s">
        <v>748</v>
      </c>
      <c r="AT4" s="179" t="s">
        <v>749</v>
      </c>
      <c r="AU4" s="179" t="s">
        <v>191</v>
      </c>
      <c r="AV4" s="179" t="s">
        <v>389</v>
      </c>
      <c r="AX4" s="179" t="s">
        <v>750</v>
      </c>
      <c r="AY4" s="179" t="s">
        <v>751</v>
      </c>
      <c r="AZ4" s="179"/>
      <c r="BA4" s="179"/>
      <c r="BC4" s="179" t="s">
        <v>752</v>
      </c>
      <c r="BD4" s="179" t="s">
        <v>753</v>
      </c>
      <c r="BE4" s="179"/>
      <c r="BF4" s="179"/>
    </row>
    <row r="5" spans="1:58">
      <c r="A5" s="43" t="s">
        <v>754</v>
      </c>
      <c r="B5" s="43" t="s">
        <v>755</v>
      </c>
      <c r="C5" s="103">
        <v>0</v>
      </c>
      <c r="D5" s="171" t="str">
        <f t="shared" si="0"/>
        <v>00000</v>
      </c>
      <c r="E5" s="164" t="s">
        <v>226</v>
      </c>
      <c r="F5" s="103" t="s">
        <v>226</v>
      </c>
      <c r="G5" s="164">
        <v>1</v>
      </c>
      <c r="H5" s="165" t="str">
        <f t="shared" si="1"/>
        <v>00001</v>
      </c>
      <c r="I5" s="20">
        <v>100011</v>
      </c>
      <c r="J5" s="21" t="str">
        <f t="shared" si="2"/>
        <v>100011</v>
      </c>
      <c r="K5" s="164">
        <f>A42</f>
        <v>32768</v>
      </c>
      <c r="L5" s="173" t="str">
        <f>SUBSTITUTE(B42,"_","")</f>
        <v>1000000000000000</v>
      </c>
      <c r="M5" s="174" t="str">
        <f>D5&amp;H5&amp;L5&amp;J5</f>
        <v>00000000011000000000000000100011</v>
      </c>
      <c r="N5" s="51">
        <v>0</v>
      </c>
      <c r="O5" s="175">
        <f>A42</f>
        <v>32768</v>
      </c>
      <c r="AC5" s="168"/>
      <c r="AD5" s="43" t="s">
        <v>180</v>
      </c>
      <c r="AE5" s="180" t="s">
        <v>756</v>
      </c>
      <c r="AF5" s="181" t="s">
        <v>757</v>
      </c>
      <c r="AG5" s="182" t="s">
        <v>191</v>
      </c>
      <c r="AH5" s="183" t="s">
        <v>389</v>
      </c>
      <c r="AI5" s="177" t="s">
        <v>191</v>
      </c>
      <c r="AJ5" s="177" t="s">
        <v>389</v>
      </c>
      <c r="AK5" s="168"/>
      <c r="AL5" s="178" t="s">
        <v>390</v>
      </c>
      <c r="AM5" s="178" t="s">
        <v>191</v>
      </c>
      <c r="AN5" s="178" t="s">
        <v>389</v>
      </c>
      <c r="AP5" s="179" t="s">
        <v>390</v>
      </c>
      <c r="AQ5" s="179"/>
      <c r="AR5" s="179"/>
      <c r="AS5" s="179" t="s">
        <v>390</v>
      </c>
      <c r="AT5" s="179"/>
      <c r="AU5" s="179"/>
      <c r="AV5" s="179"/>
      <c r="AX5" s="179" t="s">
        <v>390</v>
      </c>
      <c r="AY5" s="179"/>
      <c r="AZ5" s="179" t="s">
        <v>191</v>
      </c>
      <c r="BA5" s="179" t="s">
        <v>389</v>
      </c>
      <c r="BC5" s="179" t="s">
        <v>390</v>
      </c>
      <c r="BD5" s="179"/>
      <c r="BE5" s="179" t="s">
        <v>191</v>
      </c>
      <c r="BF5" s="179" t="s">
        <v>389</v>
      </c>
    </row>
    <row r="6" spans="1:58">
      <c r="A6" s="43" t="s">
        <v>741</v>
      </c>
      <c r="B6" s="43" t="s">
        <v>758</v>
      </c>
      <c r="C6" s="103">
        <v>0</v>
      </c>
      <c r="D6" s="171" t="str">
        <f t="shared" si="0"/>
        <v>00000</v>
      </c>
      <c r="E6" s="164" t="s">
        <v>226</v>
      </c>
      <c r="F6" s="103" t="s">
        <v>226</v>
      </c>
      <c r="G6" s="164">
        <v>2</v>
      </c>
      <c r="H6" s="165" t="str">
        <f t="shared" si="1"/>
        <v>00010</v>
      </c>
      <c r="I6" s="20">
        <v>100010</v>
      </c>
      <c r="J6" s="21" t="str">
        <f t="shared" si="2"/>
        <v>100010</v>
      </c>
      <c r="K6" s="164">
        <f>A43</f>
        <v>-256</v>
      </c>
      <c r="L6" s="173" t="str">
        <f>SUBSTITUTE(B43,"_","")</f>
        <v>1111111100000000</v>
      </c>
      <c r="M6" s="174" t="str">
        <f>D6&amp;H6&amp;L6&amp;J6</f>
        <v>00000000101111111100000000100010</v>
      </c>
      <c r="N6" s="51">
        <v>0</v>
      </c>
      <c r="O6" s="51">
        <f t="shared" ref="O6:O18" si="3">O5</f>
        <v>32768</v>
      </c>
      <c r="P6" s="175">
        <f>A43</f>
        <v>-256</v>
      </c>
      <c r="AC6" s="168"/>
      <c r="AD6" s="43" t="s">
        <v>68</v>
      </c>
      <c r="AE6" s="184" t="s">
        <v>522</v>
      </c>
      <c r="AF6" s="185" t="s">
        <v>759</v>
      </c>
      <c r="AG6" s="178" t="s">
        <v>226</v>
      </c>
      <c r="AH6" s="178" t="s">
        <v>226</v>
      </c>
      <c r="AI6" s="177" t="s">
        <v>226</v>
      </c>
      <c r="AJ6" s="177" t="s">
        <v>226</v>
      </c>
      <c r="AK6" s="168"/>
      <c r="AL6" s="178" t="s">
        <v>226</v>
      </c>
      <c r="AM6" s="178" t="s">
        <v>226</v>
      </c>
      <c r="AN6" s="178" t="s">
        <v>226</v>
      </c>
      <c r="AP6" s="179" t="s">
        <v>226</v>
      </c>
      <c r="AQ6" s="179" t="s">
        <v>226</v>
      </c>
      <c r="AR6" s="179"/>
      <c r="AS6" s="179" t="s">
        <v>226</v>
      </c>
      <c r="AT6" s="179" t="s">
        <v>226</v>
      </c>
      <c r="AU6" s="179" t="s">
        <v>226</v>
      </c>
      <c r="AV6" s="179" t="s">
        <v>226</v>
      </c>
      <c r="AX6" s="179" t="s">
        <v>226</v>
      </c>
      <c r="AY6" s="179" t="s">
        <v>226</v>
      </c>
      <c r="AZ6" s="179" t="s">
        <v>226</v>
      </c>
      <c r="BA6" s="179" t="s">
        <v>226</v>
      </c>
      <c r="BC6" s="179" t="s">
        <v>226</v>
      </c>
      <c r="BD6" s="179" t="s">
        <v>226</v>
      </c>
      <c r="BE6" s="179" t="s">
        <v>226</v>
      </c>
      <c r="BF6" s="179" t="s">
        <v>226</v>
      </c>
    </row>
    <row r="7" spans="1:58">
      <c r="A7" s="43" t="s">
        <v>23</v>
      </c>
      <c r="B7" s="43" t="s">
        <v>760</v>
      </c>
      <c r="C7" s="103">
        <v>2</v>
      </c>
      <c r="D7" s="171" t="str">
        <f t="shared" si="0"/>
        <v>00010</v>
      </c>
      <c r="E7" s="164">
        <v>0</v>
      </c>
      <c r="F7" s="103" t="str">
        <f t="shared" ref="F7:F18" si="4">DEC2BIN(E7,5)</f>
        <v>00000</v>
      </c>
      <c r="G7" s="164">
        <v>2</v>
      </c>
      <c r="H7" s="165" t="str">
        <f t="shared" si="1"/>
        <v>00010</v>
      </c>
      <c r="I7" s="20" t="s">
        <v>21</v>
      </c>
      <c r="J7" s="21" t="str">
        <f t="shared" si="2"/>
        <v>00000001010000000</v>
      </c>
      <c r="K7" s="164" t="s">
        <v>226</v>
      </c>
      <c r="L7" s="166" t="s">
        <v>226</v>
      </c>
      <c r="M7" s="174" t="str">
        <f t="shared" ref="M7:M18" si="5">D7&amp;F7&amp;H7&amp;J7</f>
        <v>00010000000001000000001010000000</v>
      </c>
      <c r="N7" s="51">
        <v>0</v>
      </c>
      <c r="O7" s="51">
        <f t="shared" si="3"/>
        <v>32768</v>
      </c>
      <c r="P7" s="175">
        <f>A44</f>
        <v>256</v>
      </c>
      <c r="AC7" s="168"/>
      <c r="AD7" s="43" t="s">
        <v>741</v>
      </c>
      <c r="AE7" s="184">
        <v>22</v>
      </c>
      <c r="AF7" s="186" t="s">
        <v>761</v>
      </c>
      <c r="AG7" s="178">
        <v>2</v>
      </c>
      <c r="AH7" s="178">
        <v>1</v>
      </c>
      <c r="AI7" s="177">
        <v>2</v>
      </c>
      <c r="AJ7" s="177">
        <v>2</v>
      </c>
      <c r="AK7" s="168"/>
      <c r="AL7" s="178" t="s">
        <v>396</v>
      </c>
      <c r="AM7" s="178">
        <v>2</v>
      </c>
      <c r="AN7" s="178">
        <v>2</v>
      </c>
      <c r="AP7" s="179"/>
      <c r="AQ7" s="179"/>
      <c r="AR7" s="179"/>
      <c r="AS7" s="179"/>
      <c r="AT7" s="179"/>
      <c r="AU7" s="179">
        <v>1</v>
      </c>
      <c r="AV7" s="179">
        <v>3</v>
      </c>
      <c r="AX7" s="179" t="s">
        <v>395</v>
      </c>
      <c r="AY7" s="179" t="s">
        <v>396</v>
      </c>
      <c r="AZ7" s="179">
        <v>1</v>
      </c>
      <c r="BA7" s="179">
        <v>4</v>
      </c>
      <c r="BC7" s="179" t="s">
        <v>395</v>
      </c>
      <c r="BD7" s="179" t="s">
        <v>396</v>
      </c>
      <c r="BE7" s="179">
        <v>1</v>
      </c>
      <c r="BF7" s="179">
        <v>5</v>
      </c>
    </row>
    <row r="8" spans="1:58">
      <c r="A8" s="43" t="s">
        <v>11</v>
      </c>
      <c r="B8" s="43" t="s">
        <v>762</v>
      </c>
      <c r="C8" s="103">
        <v>1</v>
      </c>
      <c r="D8" s="171" t="str">
        <f t="shared" si="0"/>
        <v>00001</v>
      </c>
      <c r="E8" s="164">
        <v>2</v>
      </c>
      <c r="F8" s="103" t="str">
        <f t="shared" si="4"/>
        <v>00010</v>
      </c>
      <c r="G8" s="164">
        <v>3</v>
      </c>
      <c r="H8" s="165" t="str">
        <f t="shared" si="1"/>
        <v>00011</v>
      </c>
      <c r="I8" s="20" t="s">
        <v>9</v>
      </c>
      <c r="J8" s="21" t="str">
        <f t="shared" si="2"/>
        <v>00000000001000000</v>
      </c>
      <c r="K8" s="164" t="s">
        <v>226</v>
      </c>
      <c r="L8" s="166" t="s">
        <v>226</v>
      </c>
      <c r="M8" s="174" t="str">
        <f t="shared" si="5"/>
        <v>00001000100001100000000001000000</v>
      </c>
      <c r="N8" s="51">
        <v>0</v>
      </c>
      <c r="O8" s="51">
        <f t="shared" si="3"/>
        <v>32768</v>
      </c>
      <c r="P8" s="51">
        <f t="shared" ref="P8:P18" si="6">P7</f>
        <v>256</v>
      </c>
      <c r="Q8" s="175">
        <f t="shared" ref="Q8:Q18" si="7">O8+P8</f>
        <v>33024</v>
      </c>
      <c r="AC8" s="168"/>
      <c r="AD8" s="43" t="s">
        <v>754</v>
      </c>
      <c r="AE8" s="184">
        <v>600023</v>
      </c>
      <c r="AF8" s="186" t="s">
        <v>763</v>
      </c>
      <c r="AG8" s="178">
        <v>3</v>
      </c>
      <c r="AH8" s="178">
        <v>1</v>
      </c>
      <c r="AI8" s="177">
        <v>3</v>
      </c>
      <c r="AJ8" s="177">
        <v>2</v>
      </c>
      <c r="AK8" s="168"/>
      <c r="AL8" s="178" t="s">
        <v>764</v>
      </c>
      <c r="AM8" s="178">
        <v>3</v>
      </c>
      <c r="AN8" s="178">
        <v>2</v>
      </c>
      <c r="AP8" s="179" t="s">
        <v>395</v>
      </c>
      <c r="AQ8" s="179" t="s">
        <v>226</v>
      </c>
      <c r="AR8" s="179"/>
      <c r="AS8" s="179" t="s">
        <v>395</v>
      </c>
      <c r="AT8" s="187" t="s">
        <v>226</v>
      </c>
      <c r="AU8" s="179">
        <v>2</v>
      </c>
      <c r="AV8" s="179">
        <v>3</v>
      </c>
      <c r="AX8" s="179" t="s">
        <v>396</v>
      </c>
      <c r="AY8" s="179" t="s">
        <v>396</v>
      </c>
      <c r="AZ8" s="179">
        <v>2</v>
      </c>
      <c r="BA8" s="179">
        <v>4</v>
      </c>
      <c r="BC8" s="179" t="s">
        <v>396</v>
      </c>
      <c r="BD8" s="179" t="s">
        <v>396</v>
      </c>
      <c r="BE8" s="179">
        <v>2</v>
      </c>
      <c r="BF8" s="179">
        <v>5</v>
      </c>
    </row>
    <row r="9" spans="1:58">
      <c r="A9" s="43" t="s">
        <v>14</v>
      </c>
      <c r="B9" s="43" t="s">
        <v>765</v>
      </c>
      <c r="C9" s="103">
        <v>3</v>
      </c>
      <c r="D9" s="171" t="str">
        <f t="shared" si="0"/>
        <v>00011</v>
      </c>
      <c r="E9" s="164">
        <v>2</v>
      </c>
      <c r="F9" s="103" t="str">
        <f t="shared" si="4"/>
        <v>00010</v>
      </c>
      <c r="G9" s="164">
        <v>4</v>
      </c>
      <c r="H9" s="165" t="str">
        <f t="shared" si="1"/>
        <v>00100</v>
      </c>
      <c r="I9" s="20" t="s">
        <v>12</v>
      </c>
      <c r="J9" s="21" t="str">
        <f t="shared" si="2"/>
        <v>00000000100000000</v>
      </c>
      <c r="K9" s="164" t="s">
        <v>226</v>
      </c>
      <c r="L9" s="166" t="s">
        <v>226</v>
      </c>
      <c r="M9" s="174" t="str">
        <f t="shared" si="5"/>
        <v>00011000100010000000000100000000</v>
      </c>
      <c r="N9" s="51">
        <v>0</v>
      </c>
      <c r="O9" s="51">
        <f t="shared" si="3"/>
        <v>32768</v>
      </c>
      <c r="P9" s="51">
        <f t="shared" si="6"/>
        <v>256</v>
      </c>
      <c r="Q9" s="51">
        <f t="shared" si="7"/>
        <v>33024</v>
      </c>
      <c r="R9" s="175">
        <f t="shared" ref="R9:R18" si="8">Q9-P9</f>
        <v>32768</v>
      </c>
      <c r="AC9" s="168"/>
      <c r="AD9" s="43" t="s">
        <v>741</v>
      </c>
      <c r="AE9" s="184" t="s">
        <v>766</v>
      </c>
      <c r="AF9" s="186" t="s">
        <v>767</v>
      </c>
      <c r="AG9" s="178">
        <v>4</v>
      </c>
      <c r="AH9" s="178">
        <v>1</v>
      </c>
      <c r="AI9" s="177">
        <v>4</v>
      </c>
      <c r="AJ9" s="177">
        <v>2</v>
      </c>
      <c r="AK9" s="168"/>
      <c r="AL9" s="178" t="s">
        <v>768</v>
      </c>
      <c r="AM9" s="178">
        <v>4</v>
      </c>
      <c r="AN9" s="178">
        <v>2</v>
      </c>
      <c r="AP9" s="179" t="s">
        <v>396</v>
      </c>
      <c r="AQ9" s="179" t="s">
        <v>226</v>
      </c>
      <c r="AR9" s="179"/>
      <c r="AS9" s="179" t="s">
        <v>396</v>
      </c>
      <c r="AT9" s="187" t="s">
        <v>226</v>
      </c>
      <c r="AU9" s="179">
        <v>3</v>
      </c>
      <c r="AV9" s="179">
        <v>3</v>
      </c>
      <c r="AX9" s="179" t="s">
        <v>764</v>
      </c>
      <c r="AY9" s="179" t="s">
        <v>764</v>
      </c>
      <c r="AZ9" s="179">
        <v>3</v>
      </c>
      <c r="BA9" s="179">
        <v>4</v>
      </c>
      <c r="BC9" s="179" t="s">
        <v>764</v>
      </c>
      <c r="BD9" s="179" t="s">
        <v>764</v>
      </c>
      <c r="BE9" s="179">
        <v>3</v>
      </c>
      <c r="BF9" s="179">
        <v>5</v>
      </c>
    </row>
    <row r="10" spans="1:58">
      <c r="A10" s="43" t="s">
        <v>17</v>
      </c>
      <c r="B10" s="43" t="s">
        <v>769</v>
      </c>
      <c r="C10" s="103">
        <v>1</v>
      </c>
      <c r="D10" s="171" t="str">
        <f t="shared" si="0"/>
        <v>00001</v>
      </c>
      <c r="E10" s="164">
        <v>2</v>
      </c>
      <c r="F10" s="103" t="str">
        <f t="shared" si="4"/>
        <v>00010</v>
      </c>
      <c r="G10" s="164">
        <v>5</v>
      </c>
      <c r="H10" s="165" t="str">
        <f t="shared" si="1"/>
        <v>00101</v>
      </c>
      <c r="I10" s="20" t="s">
        <v>15</v>
      </c>
      <c r="J10" s="21" t="str">
        <f t="shared" si="2"/>
        <v>00000001000000000</v>
      </c>
      <c r="K10" s="164" t="s">
        <v>226</v>
      </c>
      <c r="L10" s="166" t="s">
        <v>226</v>
      </c>
      <c r="M10" s="174" t="str">
        <f t="shared" si="5"/>
        <v>00001000100010100000001000000000</v>
      </c>
      <c r="N10" s="51">
        <v>0</v>
      </c>
      <c r="O10" s="51">
        <f t="shared" si="3"/>
        <v>32768</v>
      </c>
      <c r="P10" s="51">
        <f t="shared" si="6"/>
        <v>256</v>
      </c>
      <c r="Q10" s="51">
        <f t="shared" si="7"/>
        <v>33024</v>
      </c>
      <c r="R10" s="51">
        <f t="shared" si="8"/>
        <v>32768</v>
      </c>
      <c r="S10" s="188">
        <v>0</v>
      </c>
      <c r="AC10" s="168"/>
      <c r="AD10" s="43" t="s">
        <v>23</v>
      </c>
      <c r="AE10" s="184">
        <v>10040280</v>
      </c>
      <c r="AF10" s="186" t="s">
        <v>770</v>
      </c>
      <c r="AG10" s="178">
        <v>5</v>
      </c>
      <c r="AH10" s="178">
        <v>1</v>
      </c>
      <c r="AI10" s="177">
        <v>5</v>
      </c>
      <c r="AJ10" s="177">
        <v>2</v>
      </c>
      <c r="AK10" s="168"/>
      <c r="AL10" s="189" t="s">
        <v>771</v>
      </c>
      <c r="AM10" s="178">
        <v>5</v>
      </c>
      <c r="AN10" s="178">
        <v>2</v>
      </c>
      <c r="AP10" s="179" t="s">
        <v>396</v>
      </c>
      <c r="AQ10" s="179" t="s">
        <v>226</v>
      </c>
      <c r="AR10" s="179"/>
      <c r="AS10" s="179" t="s">
        <v>396</v>
      </c>
      <c r="AT10" s="187" t="s">
        <v>226</v>
      </c>
      <c r="AU10" s="179">
        <v>4</v>
      </c>
      <c r="AV10" s="179">
        <v>3</v>
      </c>
      <c r="AX10" s="179" t="s">
        <v>768</v>
      </c>
      <c r="AY10" s="179" t="s">
        <v>768</v>
      </c>
      <c r="AZ10" s="179">
        <v>4</v>
      </c>
      <c r="BA10" s="179">
        <v>4</v>
      </c>
      <c r="BC10" s="179" t="s">
        <v>768</v>
      </c>
      <c r="BD10" s="179" t="s">
        <v>768</v>
      </c>
      <c r="BE10" s="179">
        <v>4</v>
      </c>
      <c r="BF10" s="179">
        <v>5</v>
      </c>
    </row>
    <row r="11" spans="1:58">
      <c r="A11" s="43" t="s">
        <v>20</v>
      </c>
      <c r="B11" s="43" t="s">
        <v>772</v>
      </c>
      <c r="C11" s="103">
        <v>1</v>
      </c>
      <c r="D11" s="171" t="str">
        <f t="shared" si="0"/>
        <v>00001</v>
      </c>
      <c r="E11" s="164">
        <v>2</v>
      </c>
      <c r="F11" s="103" t="str">
        <f t="shared" si="4"/>
        <v>00010</v>
      </c>
      <c r="G11" s="164">
        <v>6</v>
      </c>
      <c r="H11" s="165" t="str">
        <f t="shared" si="1"/>
        <v>00110</v>
      </c>
      <c r="I11" s="20" t="s">
        <v>18</v>
      </c>
      <c r="J11" s="21" t="str">
        <f t="shared" si="2"/>
        <v>00000001001000000</v>
      </c>
      <c r="K11" s="164" t="s">
        <v>226</v>
      </c>
      <c r="L11" s="166" t="s">
        <v>226</v>
      </c>
      <c r="M11" s="174" t="str">
        <f t="shared" si="5"/>
        <v>00001000100011000000001001000000</v>
      </c>
      <c r="N11" s="51">
        <v>0</v>
      </c>
      <c r="O11" s="51">
        <f t="shared" si="3"/>
        <v>32768</v>
      </c>
      <c r="P11" s="51">
        <f t="shared" si="6"/>
        <v>256</v>
      </c>
      <c r="Q11" s="51">
        <f t="shared" si="7"/>
        <v>33024</v>
      </c>
      <c r="R11" s="51">
        <f t="shared" si="8"/>
        <v>32768</v>
      </c>
      <c r="S11" s="190">
        <f t="shared" ref="S11:S18" si="9">S10</f>
        <v>0</v>
      </c>
      <c r="T11" s="188">
        <v>33024</v>
      </c>
      <c r="AC11" s="168"/>
      <c r="AD11" s="43" t="s">
        <v>11</v>
      </c>
      <c r="AE11" s="184">
        <v>8860040</v>
      </c>
      <c r="AF11" s="186" t="s">
        <v>773</v>
      </c>
      <c r="AG11" s="178">
        <v>6</v>
      </c>
      <c r="AH11" s="178">
        <v>1</v>
      </c>
      <c r="AI11" s="177">
        <v>6</v>
      </c>
      <c r="AJ11" s="177">
        <v>2</v>
      </c>
      <c r="AK11" s="168"/>
      <c r="AL11" s="189" t="s">
        <v>774</v>
      </c>
      <c r="AM11" s="178">
        <v>6</v>
      </c>
      <c r="AN11" s="178">
        <v>2</v>
      </c>
      <c r="AP11" s="179" t="s">
        <v>768</v>
      </c>
      <c r="AQ11" s="179" t="s">
        <v>768</v>
      </c>
      <c r="AR11" s="179"/>
      <c r="AS11" s="179" t="s">
        <v>396</v>
      </c>
      <c r="AT11" s="187" t="s">
        <v>226</v>
      </c>
      <c r="AU11" s="179">
        <v>5</v>
      </c>
      <c r="AV11" s="179">
        <v>3</v>
      </c>
      <c r="AX11" s="179" t="s">
        <v>775</v>
      </c>
      <c r="AY11" s="179" t="s">
        <v>775</v>
      </c>
      <c r="AZ11" s="179">
        <v>5</v>
      </c>
      <c r="BA11" s="179">
        <v>4</v>
      </c>
      <c r="BC11" s="179" t="s">
        <v>775</v>
      </c>
      <c r="BD11" s="179" t="s">
        <v>775</v>
      </c>
      <c r="BE11" s="179">
        <v>5</v>
      </c>
      <c r="BF11" s="179">
        <v>5</v>
      </c>
    </row>
    <row r="12" spans="1:58">
      <c r="A12" s="43" t="s">
        <v>26</v>
      </c>
      <c r="B12" s="43" t="s">
        <v>776</v>
      </c>
      <c r="C12" s="103">
        <v>1</v>
      </c>
      <c r="D12" s="171" t="str">
        <f t="shared" si="0"/>
        <v>00001</v>
      </c>
      <c r="E12" s="164">
        <v>2</v>
      </c>
      <c r="F12" s="103" t="str">
        <f t="shared" si="4"/>
        <v>00010</v>
      </c>
      <c r="G12" s="164">
        <v>7</v>
      </c>
      <c r="H12" s="165" t="str">
        <f t="shared" si="1"/>
        <v>00111</v>
      </c>
      <c r="I12" s="20" t="s">
        <v>24</v>
      </c>
      <c r="J12" s="21" t="str">
        <f t="shared" si="2"/>
        <v>00000001011000000</v>
      </c>
      <c r="K12" s="164" t="s">
        <v>226</v>
      </c>
      <c r="L12" s="166" t="s">
        <v>226</v>
      </c>
      <c r="M12" s="174" t="str">
        <f t="shared" si="5"/>
        <v>00001000100011100000001011000000</v>
      </c>
      <c r="N12" s="51">
        <v>0</v>
      </c>
      <c r="O12" s="51">
        <f t="shared" si="3"/>
        <v>32768</v>
      </c>
      <c r="P12" s="51">
        <f t="shared" si="6"/>
        <v>256</v>
      </c>
      <c r="Q12" s="51">
        <f t="shared" si="7"/>
        <v>33024</v>
      </c>
      <c r="R12" s="51">
        <f t="shared" si="8"/>
        <v>32768</v>
      </c>
      <c r="S12" s="190">
        <f t="shared" si="9"/>
        <v>0</v>
      </c>
      <c r="T12" s="51">
        <f t="shared" ref="T12:T18" si="10">T11</f>
        <v>33024</v>
      </c>
      <c r="U12" s="175">
        <v>33024</v>
      </c>
      <c r="AC12" s="168"/>
      <c r="AD12" s="43" t="s">
        <v>14</v>
      </c>
      <c r="AE12" s="184">
        <v>18880100</v>
      </c>
      <c r="AF12" s="186" t="s">
        <v>777</v>
      </c>
      <c r="AG12" s="178">
        <v>7</v>
      </c>
      <c r="AH12" s="178">
        <v>1</v>
      </c>
      <c r="AI12" s="177">
        <v>7</v>
      </c>
      <c r="AJ12" s="177">
        <v>2</v>
      </c>
      <c r="AK12" s="168"/>
      <c r="AL12" s="189" t="s">
        <v>778</v>
      </c>
      <c r="AM12" s="178">
        <v>7</v>
      </c>
      <c r="AN12" s="178">
        <v>2</v>
      </c>
      <c r="AP12" s="179" t="s">
        <v>764</v>
      </c>
      <c r="AQ12" s="179" t="s">
        <v>764</v>
      </c>
      <c r="AR12" s="179"/>
      <c r="AS12" s="191" t="s">
        <v>768</v>
      </c>
      <c r="AT12" s="191" t="s">
        <v>775</v>
      </c>
      <c r="AU12" s="179">
        <v>6</v>
      </c>
      <c r="AV12" s="179">
        <v>3</v>
      </c>
      <c r="AX12" s="191" t="s">
        <v>779</v>
      </c>
      <c r="AY12" s="191" t="s">
        <v>780</v>
      </c>
      <c r="AZ12" s="179">
        <v>6</v>
      </c>
      <c r="BA12" s="179">
        <v>4</v>
      </c>
      <c r="BC12" s="191" t="s">
        <v>779</v>
      </c>
      <c r="BD12" s="191" t="s">
        <v>780</v>
      </c>
      <c r="BE12" s="179">
        <v>6</v>
      </c>
      <c r="BF12" s="179">
        <v>5</v>
      </c>
    </row>
    <row r="13" spans="1:58">
      <c r="A13" s="43" t="s">
        <v>29</v>
      </c>
      <c r="B13" s="43" t="s">
        <v>781</v>
      </c>
      <c r="C13" s="103">
        <v>2</v>
      </c>
      <c r="D13" s="171" t="str">
        <f t="shared" si="0"/>
        <v>00010</v>
      </c>
      <c r="E13" s="164">
        <v>0</v>
      </c>
      <c r="F13" s="103" t="str">
        <f t="shared" si="4"/>
        <v>00000</v>
      </c>
      <c r="G13" s="164">
        <v>8</v>
      </c>
      <c r="H13" s="165" t="str">
        <f t="shared" si="1"/>
        <v>01000</v>
      </c>
      <c r="I13" s="20" t="s">
        <v>27</v>
      </c>
      <c r="J13" s="21" t="str">
        <f t="shared" si="2"/>
        <v>00000001100000000</v>
      </c>
      <c r="K13" s="164" t="s">
        <v>226</v>
      </c>
      <c r="L13" s="166" t="s">
        <v>226</v>
      </c>
      <c r="M13" s="174" t="str">
        <f t="shared" si="5"/>
        <v>00010000000100000000001100000000</v>
      </c>
      <c r="N13" s="51">
        <v>0</v>
      </c>
      <c r="O13" s="51">
        <f t="shared" si="3"/>
        <v>32768</v>
      </c>
      <c r="P13" s="51">
        <f t="shared" si="6"/>
        <v>256</v>
      </c>
      <c r="Q13" s="51">
        <f t="shared" si="7"/>
        <v>33024</v>
      </c>
      <c r="R13" s="51">
        <f t="shared" si="8"/>
        <v>32768</v>
      </c>
      <c r="S13" s="190">
        <f t="shared" si="9"/>
        <v>0</v>
      </c>
      <c r="T13" s="51">
        <f t="shared" si="10"/>
        <v>33024</v>
      </c>
      <c r="U13" s="51">
        <f t="shared" ref="U13:U18" si="11">U12</f>
        <v>33024</v>
      </c>
      <c r="V13" s="175">
        <v>65279</v>
      </c>
      <c r="AC13" s="168"/>
      <c r="AD13" s="43" t="s">
        <v>17</v>
      </c>
      <c r="AE13" s="184" t="s">
        <v>782</v>
      </c>
      <c r="AF13" s="186" t="s">
        <v>783</v>
      </c>
      <c r="AG13" s="178">
        <v>8</v>
      </c>
      <c r="AH13" s="178">
        <v>1</v>
      </c>
      <c r="AI13" s="177">
        <v>8</v>
      </c>
      <c r="AJ13" s="177">
        <v>2</v>
      </c>
      <c r="AK13" s="168"/>
      <c r="AL13" s="189" t="s">
        <v>784</v>
      </c>
      <c r="AM13" s="178">
        <v>8</v>
      </c>
      <c r="AN13" s="178">
        <v>2</v>
      </c>
      <c r="AP13" s="191" t="s">
        <v>396</v>
      </c>
      <c r="AQ13" s="191" t="s">
        <v>780</v>
      </c>
      <c r="AR13" s="179"/>
      <c r="AS13" s="191" t="s">
        <v>768</v>
      </c>
      <c r="AT13" s="191" t="s">
        <v>775</v>
      </c>
      <c r="AU13" s="179">
        <v>7</v>
      </c>
      <c r="AV13" s="179">
        <v>3</v>
      </c>
      <c r="AX13" s="191" t="s">
        <v>775</v>
      </c>
      <c r="AY13" s="191" t="s">
        <v>764</v>
      </c>
      <c r="AZ13" s="179">
        <v>7</v>
      </c>
      <c r="BA13" s="179">
        <v>4</v>
      </c>
      <c r="BC13" s="191" t="s">
        <v>775</v>
      </c>
      <c r="BD13" s="191" t="s">
        <v>764</v>
      </c>
      <c r="BE13" s="179">
        <v>7</v>
      </c>
      <c r="BF13" s="179">
        <v>5</v>
      </c>
    </row>
    <row r="14" spans="1:58">
      <c r="A14" s="43" t="s">
        <v>34</v>
      </c>
      <c r="B14" s="43" t="s">
        <v>785</v>
      </c>
      <c r="C14" s="103">
        <v>2</v>
      </c>
      <c r="D14" s="171" t="str">
        <f t="shared" si="0"/>
        <v>00010</v>
      </c>
      <c r="E14" s="164">
        <v>0</v>
      </c>
      <c r="F14" s="103" t="str">
        <f t="shared" si="4"/>
        <v>00000</v>
      </c>
      <c r="G14" s="164">
        <v>9</v>
      </c>
      <c r="H14" s="165" t="str">
        <f t="shared" si="1"/>
        <v>01001</v>
      </c>
      <c r="I14" s="20" t="s">
        <v>32</v>
      </c>
      <c r="J14" s="21" t="str">
        <f t="shared" si="2"/>
        <v>00000010000000000</v>
      </c>
      <c r="K14" s="164" t="s">
        <v>226</v>
      </c>
      <c r="L14" s="166" t="s">
        <v>226</v>
      </c>
      <c r="M14" s="174" t="str">
        <f t="shared" si="5"/>
        <v>00010000000100100000010000000000</v>
      </c>
      <c r="N14" s="51">
        <v>0</v>
      </c>
      <c r="O14" s="51">
        <f t="shared" si="3"/>
        <v>32768</v>
      </c>
      <c r="P14" s="51">
        <f t="shared" si="6"/>
        <v>256</v>
      </c>
      <c r="Q14" s="51">
        <f t="shared" si="7"/>
        <v>33024</v>
      </c>
      <c r="R14" s="51">
        <f t="shared" si="8"/>
        <v>32768</v>
      </c>
      <c r="S14" s="190">
        <f t="shared" si="9"/>
        <v>0</v>
      </c>
      <c r="T14" s="51">
        <f t="shared" si="10"/>
        <v>33024</v>
      </c>
      <c r="U14" s="51">
        <f t="shared" si="11"/>
        <v>33024</v>
      </c>
      <c r="V14" s="51">
        <f>V13</f>
        <v>65279</v>
      </c>
      <c r="W14" s="175">
        <f>A48</f>
        <v>128</v>
      </c>
      <c r="AC14" s="168"/>
      <c r="AD14" s="43" t="s">
        <v>20</v>
      </c>
      <c r="AE14" s="184" t="s">
        <v>786</v>
      </c>
      <c r="AF14" s="186" t="s">
        <v>787</v>
      </c>
      <c r="AG14" s="178">
        <v>9</v>
      </c>
      <c r="AH14" s="178">
        <v>1</v>
      </c>
      <c r="AI14" s="177">
        <v>9</v>
      </c>
      <c r="AJ14" s="177">
        <v>2</v>
      </c>
      <c r="AK14" s="168"/>
      <c r="AL14" s="189" t="s">
        <v>788</v>
      </c>
      <c r="AM14" s="178">
        <v>9</v>
      </c>
      <c r="AN14" s="178">
        <v>2</v>
      </c>
      <c r="AP14" s="179" t="s">
        <v>764</v>
      </c>
      <c r="AQ14" s="179" t="s">
        <v>764</v>
      </c>
      <c r="AR14" s="179"/>
      <c r="AS14" s="191" t="s">
        <v>768</v>
      </c>
      <c r="AT14" s="191" t="s">
        <v>775</v>
      </c>
      <c r="AU14" s="179">
        <v>8</v>
      </c>
      <c r="AV14" s="179">
        <v>3</v>
      </c>
      <c r="AX14" s="191" t="s">
        <v>764</v>
      </c>
      <c r="AY14" s="191" t="s">
        <v>396</v>
      </c>
      <c r="AZ14" s="179">
        <v>8</v>
      </c>
      <c r="BA14" s="179">
        <v>4</v>
      </c>
      <c r="BC14" s="191" t="s">
        <v>764</v>
      </c>
      <c r="BD14" s="191" t="s">
        <v>396</v>
      </c>
      <c r="BE14" s="179">
        <v>8</v>
      </c>
      <c r="BF14" s="179">
        <v>5</v>
      </c>
    </row>
    <row r="15" spans="1:58">
      <c r="A15" s="43" t="s">
        <v>38</v>
      </c>
      <c r="B15" s="43" t="s">
        <v>789</v>
      </c>
      <c r="C15" s="103">
        <v>3</v>
      </c>
      <c r="D15" s="171" t="str">
        <f t="shared" si="0"/>
        <v>00011</v>
      </c>
      <c r="E15" s="164">
        <v>0</v>
      </c>
      <c r="F15" s="103" t="str">
        <f t="shared" si="4"/>
        <v>00000</v>
      </c>
      <c r="G15" s="164">
        <v>10</v>
      </c>
      <c r="H15" s="165" t="str">
        <f t="shared" si="1"/>
        <v>01010</v>
      </c>
      <c r="I15" s="20" t="s">
        <v>36</v>
      </c>
      <c r="J15" s="21" t="str">
        <f t="shared" si="2"/>
        <v>00000010001000000</v>
      </c>
      <c r="K15" s="164" t="s">
        <v>226</v>
      </c>
      <c r="L15" s="166" t="s">
        <v>226</v>
      </c>
      <c r="M15" s="174" t="str">
        <f t="shared" si="5"/>
        <v>00011000000101000000010001000000</v>
      </c>
      <c r="N15" s="51">
        <v>0</v>
      </c>
      <c r="O15" s="51">
        <f t="shared" si="3"/>
        <v>32768</v>
      </c>
      <c r="P15" s="51">
        <f t="shared" si="6"/>
        <v>256</v>
      </c>
      <c r="Q15" s="51">
        <f t="shared" si="7"/>
        <v>33024</v>
      </c>
      <c r="R15" s="51">
        <f t="shared" si="8"/>
        <v>32768</v>
      </c>
      <c r="S15" s="190">
        <f t="shared" si="9"/>
        <v>0</v>
      </c>
      <c r="T15" s="51">
        <f t="shared" si="10"/>
        <v>33024</v>
      </c>
      <c r="U15" s="51">
        <f t="shared" si="11"/>
        <v>33024</v>
      </c>
      <c r="V15" s="51">
        <f>V14</f>
        <v>65279</v>
      </c>
      <c r="W15" s="51">
        <f>W14</f>
        <v>128</v>
      </c>
      <c r="X15" s="175">
        <f>A52</f>
        <v>16512</v>
      </c>
      <c r="AC15" s="168"/>
      <c r="AD15" s="43" t="s">
        <v>26</v>
      </c>
      <c r="AE15" s="184" t="s">
        <v>790</v>
      </c>
      <c r="AF15" s="186" t="s">
        <v>791</v>
      </c>
      <c r="AG15" s="178" t="s">
        <v>228</v>
      </c>
      <c r="AH15" s="178">
        <v>1</v>
      </c>
      <c r="AI15" s="177" t="s">
        <v>228</v>
      </c>
      <c r="AJ15" s="177">
        <v>2</v>
      </c>
      <c r="AK15" s="168"/>
      <c r="AL15" s="189" t="s">
        <v>792</v>
      </c>
      <c r="AM15" s="178" t="s">
        <v>228</v>
      </c>
      <c r="AN15" s="178">
        <v>2</v>
      </c>
      <c r="AP15" s="179" t="s">
        <v>764</v>
      </c>
      <c r="AQ15" s="179" t="s">
        <v>764</v>
      </c>
      <c r="AR15" s="179"/>
      <c r="AS15" s="191" t="s">
        <v>768</v>
      </c>
      <c r="AT15" s="191" t="s">
        <v>775</v>
      </c>
      <c r="AU15" s="179">
        <v>9</v>
      </c>
      <c r="AV15" s="179">
        <v>3</v>
      </c>
      <c r="AX15" s="191" t="s">
        <v>768</v>
      </c>
      <c r="AY15" s="191" t="s">
        <v>780</v>
      </c>
      <c r="AZ15" s="179">
        <v>9</v>
      </c>
      <c r="BA15" s="179">
        <v>4</v>
      </c>
      <c r="BC15" s="191" t="s">
        <v>768</v>
      </c>
      <c r="BD15" s="191" t="s">
        <v>780</v>
      </c>
      <c r="BE15" s="179">
        <v>9</v>
      </c>
      <c r="BF15" s="179">
        <v>5</v>
      </c>
    </row>
    <row r="16" spans="1:58">
      <c r="A16" s="31" t="s">
        <v>793</v>
      </c>
      <c r="B16" s="43" t="s">
        <v>794</v>
      </c>
      <c r="C16" s="103">
        <v>4</v>
      </c>
      <c r="D16" s="171" t="str">
        <f t="shared" si="0"/>
        <v>00100</v>
      </c>
      <c r="E16" s="164">
        <v>0</v>
      </c>
      <c r="F16" s="103" t="str">
        <f t="shared" si="4"/>
        <v>00000</v>
      </c>
      <c r="G16" s="164">
        <v>11</v>
      </c>
      <c r="H16" s="165" t="str">
        <f t="shared" si="1"/>
        <v>01011</v>
      </c>
      <c r="I16" s="20" t="s">
        <v>40</v>
      </c>
      <c r="J16" s="21" t="str">
        <f t="shared" si="2"/>
        <v>00000010011000000</v>
      </c>
      <c r="K16" s="164" t="s">
        <v>226</v>
      </c>
      <c r="L16" s="166" t="s">
        <v>226</v>
      </c>
      <c r="M16" s="174" t="str">
        <f t="shared" si="5"/>
        <v>00100000000101100000010011000000</v>
      </c>
      <c r="N16" s="51">
        <v>0</v>
      </c>
      <c r="O16" s="51">
        <f t="shared" si="3"/>
        <v>32768</v>
      </c>
      <c r="P16" s="51">
        <f t="shared" si="6"/>
        <v>256</v>
      </c>
      <c r="Q16" s="51">
        <f t="shared" si="7"/>
        <v>33024</v>
      </c>
      <c r="R16" s="51">
        <f t="shared" si="8"/>
        <v>32768</v>
      </c>
      <c r="S16" s="190">
        <f t="shared" si="9"/>
        <v>0</v>
      </c>
      <c r="T16" s="51">
        <f t="shared" si="10"/>
        <v>33024</v>
      </c>
      <c r="U16" s="51">
        <f t="shared" si="11"/>
        <v>33024</v>
      </c>
      <c r="V16" s="51">
        <f>V15</f>
        <v>65279</v>
      </c>
      <c r="W16" s="51">
        <f>W15</f>
        <v>128</v>
      </c>
      <c r="X16" s="51">
        <f>X15</f>
        <v>16512</v>
      </c>
      <c r="Y16" s="175">
        <f>A56</f>
        <v>65536</v>
      </c>
      <c r="AC16" s="168"/>
      <c r="AD16" s="43" t="s">
        <v>29</v>
      </c>
      <c r="AE16" s="184">
        <v>10100300</v>
      </c>
      <c r="AF16" s="186" t="s">
        <v>795</v>
      </c>
      <c r="AG16" s="178" t="s">
        <v>341</v>
      </c>
      <c r="AH16" s="178">
        <v>1</v>
      </c>
      <c r="AI16" s="177" t="s">
        <v>341</v>
      </c>
      <c r="AJ16" s="177">
        <v>2</v>
      </c>
      <c r="AK16" s="168"/>
      <c r="AL16" s="189" t="s">
        <v>796</v>
      </c>
      <c r="AM16" s="178" t="s">
        <v>341</v>
      </c>
      <c r="AN16" s="178">
        <v>2</v>
      </c>
      <c r="AP16" s="179" t="s">
        <v>764</v>
      </c>
      <c r="AQ16" s="179" t="s">
        <v>764</v>
      </c>
      <c r="AR16" s="179"/>
      <c r="AS16" s="191" t="s">
        <v>768</v>
      </c>
      <c r="AT16" s="191" t="s">
        <v>775</v>
      </c>
      <c r="AU16" s="179" t="s">
        <v>228</v>
      </c>
      <c r="AV16" s="179">
        <v>3</v>
      </c>
      <c r="AX16" s="191" t="s">
        <v>797</v>
      </c>
      <c r="AY16" s="191" t="s">
        <v>780</v>
      </c>
      <c r="AZ16" s="179" t="s">
        <v>228</v>
      </c>
      <c r="BA16" s="179">
        <v>4</v>
      </c>
      <c r="BC16" s="191" t="s">
        <v>797</v>
      </c>
      <c r="BD16" s="191" t="s">
        <v>780</v>
      </c>
      <c r="BE16" s="179" t="s">
        <v>228</v>
      </c>
      <c r="BF16" s="179">
        <v>5</v>
      </c>
    </row>
    <row r="17" spans="1:58" ht="31.5">
      <c r="A17" s="43" t="s">
        <v>48</v>
      </c>
      <c r="B17" s="43" t="s">
        <v>798</v>
      </c>
      <c r="C17" s="103">
        <v>5</v>
      </c>
      <c r="D17" s="171" t="str">
        <f t="shared" si="0"/>
        <v>00101</v>
      </c>
      <c r="E17" s="164">
        <v>0</v>
      </c>
      <c r="F17" s="103" t="str">
        <f t="shared" si="4"/>
        <v>00000</v>
      </c>
      <c r="G17" s="164">
        <v>12</v>
      </c>
      <c r="H17" s="165" t="str">
        <f t="shared" si="1"/>
        <v>01100</v>
      </c>
      <c r="I17" s="20" t="s">
        <v>46</v>
      </c>
      <c r="J17" s="21" t="str">
        <f t="shared" si="2"/>
        <v>00000011001000000</v>
      </c>
      <c r="K17" s="164" t="s">
        <v>226</v>
      </c>
      <c r="L17" s="166" t="s">
        <v>226</v>
      </c>
      <c r="M17" s="174" t="str">
        <f t="shared" si="5"/>
        <v>00101000000110000000011001000000</v>
      </c>
      <c r="N17" s="51">
        <v>0</v>
      </c>
      <c r="O17" s="51">
        <f t="shared" si="3"/>
        <v>32768</v>
      </c>
      <c r="P17" s="51">
        <f t="shared" si="6"/>
        <v>256</v>
      </c>
      <c r="Q17" s="51">
        <f t="shared" si="7"/>
        <v>33024</v>
      </c>
      <c r="R17" s="51">
        <f t="shared" si="8"/>
        <v>32768</v>
      </c>
      <c r="S17" s="190">
        <f t="shared" si="9"/>
        <v>0</v>
      </c>
      <c r="T17" s="51">
        <f t="shared" si="10"/>
        <v>33024</v>
      </c>
      <c r="U17" s="51">
        <f t="shared" si="11"/>
        <v>33024</v>
      </c>
      <c r="V17" s="51">
        <f>V16</f>
        <v>65279</v>
      </c>
      <c r="W17" s="51">
        <f>W16</f>
        <v>128</v>
      </c>
      <c r="X17" s="51">
        <f>X16</f>
        <v>16512</v>
      </c>
      <c r="Y17" s="51">
        <f>Y16</f>
        <v>65536</v>
      </c>
      <c r="Z17" s="175" t="str">
        <f>""&amp;A64&amp;"|"&amp;A66&amp;""</f>
        <v>0|1073741824</v>
      </c>
      <c r="AC17" s="168"/>
      <c r="AD17" s="43" t="s">
        <v>34</v>
      </c>
      <c r="AE17" s="184">
        <v>10120400</v>
      </c>
      <c r="AF17" s="186" t="s">
        <v>799</v>
      </c>
      <c r="AG17" s="178" t="s">
        <v>375</v>
      </c>
      <c r="AH17" s="178">
        <v>1</v>
      </c>
      <c r="AI17" s="177" t="s">
        <v>375</v>
      </c>
      <c r="AJ17" s="177">
        <v>2</v>
      </c>
      <c r="AK17" s="168"/>
      <c r="AL17" s="189" t="s">
        <v>800</v>
      </c>
      <c r="AM17" s="178" t="s">
        <v>375</v>
      </c>
      <c r="AN17" s="178">
        <v>2</v>
      </c>
      <c r="AP17" s="191" t="s">
        <v>768</v>
      </c>
      <c r="AQ17" s="191" t="s">
        <v>775</v>
      </c>
      <c r="AR17" s="179"/>
      <c r="AS17" s="179" t="s">
        <v>797</v>
      </c>
      <c r="AT17" s="179" t="s">
        <v>226</v>
      </c>
      <c r="AU17" s="179" t="s">
        <v>341</v>
      </c>
      <c r="AV17" s="179">
        <v>3</v>
      </c>
      <c r="AX17" s="191" t="s">
        <v>801</v>
      </c>
      <c r="AY17" s="191" t="s">
        <v>802</v>
      </c>
      <c r="AZ17" s="179" t="s">
        <v>341</v>
      </c>
      <c r="BA17" s="179">
        <v>4</v>
      </c>
      <c r="BC17" s="191" t="s">
        <v>801</v>
      </c>
      <c r="BD17" s="191" t="s">
        <v>802</v>
      </c>
      <c r="BE17" s="179" t="s">
        <v>341</v>
      </c>
      <c r="BF17" s="179">
        <v>5</v>
      </c>
    </row>
    <row r="18" spans="1:58" ht="31.5">
      <c r="A18" s="43" t="s">
        <v>52</v>
      </c>
      <c r="B18" s="43" t="s">
        <v>803</v>
      </c>
      <c r="C18" s="103">
        <v>6</v>
      </c>
      <c r="D18" s="171" t="str">
        <f t="shared" si="0"/>
        <v>00110</v>
      </c>
      <c r="E18" s="164">
        <v>0</v>
      </c>
      <c r="F18" s="103" t="str">
        <f t="shared" si="4"/>
        <v>00000</v>
      </c>
      <c r="G18" s="164">
        <v>13</v>
      </c>
      <c r="H18" s="165" t="str">
        <f t="shared" si="1"/>
        <v>01101</v>
      </c>
      <c r="I18" s="20" t="s">
        <v>50</v>
      </c>
      <c r="J18" s="21" t="str">
        <f t="shared" si="2"/>
        <v>00000011010000000</v>
      </c>
      <c r="K18" s="164" t="s">
        <v>226</v>
      </c>
      <c r="L18" s="166" t="s">
        <v>226</v>
      </c>
      <c r="M18" s="174" t="str">
        <f t="shared" si="5"/>
        <v>00110000000110100000011010000000</v>
      </c>
      <c r="N18" s="51">
        <v>0</v>
      </c>
      <c r="O18" s="51">
        <f t="shared" si="3"/>
        <v>32768</v>
      </c>
      <c r="P18" s="51">
        <f t="shared" si="6"/>
        <v>256</v>
      </c>
      <c r="Q18" s="51">
        <f t="shared" si="7"/>
        <v>33024</v>
      </c>
      <c r="R18" s="51">
        <f t="shared" si="8"/>
        <v>32768</v>
      </c>
      <c r="S18" s="190">
        <f t="shared" si="9"/>
        <v>0</v>
      </c>
      <c r="T18" s="51">
        <f t="shared" si="10"/>
        <v>33024</v>
      </c>
      <c r="U18" s="51">
        <f t="shared" si="11"/>
        <v>33024</v>
      </c>
      <c r="V18" s="51">
        <f>V17</f>
        <v>65279</v>
      </c>
      <c r="W18" s="51">
        <f>W17</f>
        <v>128</v>
      </c>
      <c r="X18" s="51">
        <f>X17</f>
        <v>16512</v>
      </c>
      <c r="Y18" s="51">
        <f>Y17</f>
        <v>65536</v>
      </c>
      <c r="Z18" s="51" t="str">
        <f>Z17</f>
        <v>0|1073741824</v>
      </c>
      <c r="AA18" s="175" t="str">
        <f>""&amp;A60&amp;"|"&amp;A62&amp;""</f>
        <v>66048|66049</v>
      </c>
      <c r="AC18" s="168"/>
      <c r="AD18" s="43" t="s">
        <v>38</v>
      </c>
      <c r="AE18" s="184">
        <v>18140440</v>
      </c>
      <c r="AF18" s="186" t="s">
        <v>804</v>
      </c>
      <c r="AG18" s="178" t="s">
        <v>423</v>
      </c>
      <c r="AH18" s="178">
        <v>1</v>
      </c>
      <c r="AI18" s="177" t="s">
        <v>423</v>
      </c>
      <c r="AJ18" s="177">
        <v>2</v>
      </c>
      <c r="AK18" s="168"/>
      <c r="AL18" s="189" t="s">
        <v>805</v>
      </c>
      <c r="AM18" s="178" t="s">
        <v>423</v>
      </c>
      <c r="AN18" s="178">
        <v>2</v>
      </c>
      <c r="AP18" s="191" t="s">
        <v>768</v>
      </c>
      <c r="AQ18" s="191" t="s">
        <v>775</v>
      </c>
      <c r="AR18" s="179"/>
      <c r="AS18" s="179" t="s">
        <v>801</v>
      </c>
      <c r="AT18" s="179" t="s">
        <v>226</v>
      </c>
      <c r="AU18" s="179" t="s">
        <v>375</v>
      </c>
      <c r="AV18" s="179">
        <v>3</v>
      </c>
      <c r="AX18" s="191" t="s">
        <v>806</v>
      </c>
      <c r="AY18" s="191" t="s">
        <v>807</v>
      </c>
      <c r="AZ18" s="179" t="s">
        <v>375</v>
      </c>
      <c r="BA18" s="179">
        <v>4</v>
      </c>
      <c r="BC18" s="191" t="s">
        <v>806</v>
      </c>
      <c r="BD18" s="191" t="s">
        <v>807</v>
      </c>
      <c r="BE18" s="179" t="s">
        <v>375</v>
      </c>
      <c r="BF18" s="179">
        <v>5</v>
      </c>
    </row>
    <row r="19" spans="1:58">
      <c r="I19" s="51"/>
      <c r="J19" s="51"/>
      <c r="AC19" s="168"/>
      <c r="AD19" s="43" t="s">
        <v>793</v>
      </c>
      <c r="AE19" s="184" t="s">
        <v>808</v>
      </c>
      <c r="AF19" s="186" t="s">
        <v>809</v>
      </c>
      <c r="AG19" s="178" t="s">
        <v>448</v>
      </c>
      <c r="AH19" s="178">
        <v>1</v>
      </c>
      <c r="AI19" s="177" t="s">
        <v>448</v>
      </c>
      <c r="AJ19" s="177">
        <v>2</v>
      </c>
      <c r="AK19" s="168"/>
      <c r="AL19" s="189" t="s">
        <v>810</v>
      </c>
      <c r="AM19" s="178" t="s">
        <v>448</v>
      </c>
      <c r="AN19" s="178">
        <v>2</v>
      </c>
      <c r="AP19" s="191" t="s">
        <v>396</v>
      </c>
      <c r="AQ19" s="191" t="s">
        <v>780</v>
      </c>
      <c r="AR19" s="179"/>
      <c r="AS19" s="179" t="s">
        <v>806</v>
      </c>
      <c r="AT19" s="179" t="s">
        <v>226</v>
      </c>
      <c r="AU19" s="179" t="s">
        <v>423</v>
      </c>
      <c r="AV19" s="179">
        <v>3</v>
      </c>
      <c r="AX19" s="191" t="s">
        <v>396</v>
      </c>
      <c r="AY19" s="191" t="s">
        <v>811</v>
      </c>
      <c r="AZ19" s="179" t="s">
        <v>423</v>
      </c>
      <c r="BA19" s="179">
        <v>4</v>
      </c>
      <c r="BC19" s="191" t="s">
        <v>396</v>
      </c>
      <c r="BD19" s="191" t="s">
        <v>811</v>
      </c>
      <c r="BE19" s="179" t="s">
        <v>423</v>
      </c>
      <c r="BF19" s="179">
        <v>5</v>
      </c>
    </row>
    <row r="20" spans="1:58">
      <c r="A20" s="31" t="s">
        <v>180</v>
      </c>
      <c r="B20" s="31" t="s">
        <v>181</v>
      </c>
      <c r="C20" s="192" t="s">
        <v>812</v>
      </c>
      <c r="D20" s="192" t="s">
        <v>813</v>
      </c>
      <c r="E20" s="192" t="s">
        <v>814</v>
      </c>
      <c r="F20" s="192" t="s">
        <v>815</v>
      </c>
      <c r="G20" s="193" t="s">
        <v>190</v>
      </c>
      <c r="H20" s="194"/>
      <c r="I20" s="195" t="s">
        <v>756</v>
      </c>
      <c r="J20" s="168"/>
      <c r="K20" s="168"/>
      <c r="L20" s="168"/>
      <c r="N20" s="43" t="s">
        <v>193</v>
      </c>
      <c r="O20" s="43" t="s">
        <v>194</v>
      </c>
      <c r="P20" s="43" t="s">
        <v>195</v>
      </c>
      <c r="Q20" s="43" t="s">
        <v>196</v>
      </c>
      <c r="R20" s="43" t="s">
        <v>197</v>
      </c>
      <c r="S20" s="43" t="s">
        <v>198</v>
      </c>
      <c r="T20" s="43" t="s">
        <v>199</v>
      </c>
      <c r="U20" s="43" t="s">
        <v>200</v>
      </c>
      <c r="V20" s="43" t="s">
        <v>201</v>
      </c>
      <c r="W20" s="43" t="s">
        <v>202</v>
      </c>
      <c r="X20" s="43" t="s">
        <v>203</v>
      </c>
      <c r="Y20" s="43" t="s">
        <v>204</v>
      </c>
      <c r="Z20" s="43" t="s">
        <v>205</v>
      </c>
      <c r="AA20" s="43" t="s">
        <v>206</v>
      </c>
      <c r="AC20" s="168"/>
      <c r="AD20" s="43" t="s">
        <v>48</v>
      </c>
      <c r="AE20" s="184">
        <v>28180640</v>
      </c>
      <c r="AF20" s="186" t="s">
        <v>816</v>
      </c>
      <c r="AG20" s="178" t="s">
        <v>817</v>
      </c>
      <c r="AH20" s="178">
        <v>1</v>
      </c>
      <c r="AI20" s="177" t="s">
        <v>817</v>
      </c>
      <c r="AJ20" s="177">
        <v>2</v>
      </c>
      <c r="AK20" s="168"/>
      <c r="AL20" s="189" t="s">
        <v>818</v>
      </c>
      <c r="AM20" s="178" t="s">
        <v>817</v>
      </c>
      <c r="AN20" s="178">
        <v>2</v>
      </c>
      <c r="AP20" s="191" t="s">
        <v>396</v>
      </c>
      <c r="AQ20" s="191" t="s">
        <v>764</v>
      </c>
      <c r="AR20" s="179"/>
      <c r="AS20" s="179" t="s">
        <v>396</v>
      </c>
      <c r="AT20" s="179" t="s">
        <v>226</v>
      </c>
      <c r="AU20" s="179" t="s">
        <v>448</v>
      </c>
      <c r="AV20" s="179">
        <v>3</v>
      </c>
      <c r="AX20" s="191" t="s">
        <v>396</v>
      </c>
      <c r="AY20" s="191" t="s">
        <v>819</v>
      </c>
      <c r="AZ20" s="179" t="s">
        <v>448</v>
      </c>
      <c r="BA20" s="179">
        <v>4</v>
      </c>
      <c r="BC20" s="191" t="s">
        <v>396</v>
      </c>
      <c r="BD20" s="191" t="s">
        <v>819</v>
      </c>
      <c r="BE20" s="179" t="s">
        <v>448</v>
      </c>
      <c r="BF20" s="179">
        <v>5</v>
      </c>
    </row>
    <row r="21" spans="1:58">
      <c r="A21" s="43" t="s">
        <v>68</v>
      </c>
      <c r="B21" s="43" t="s">
        <v>739</v>
      </c>
      <c r="C21" s="196" t="str">
        <f t="shared" ref="C21:C36" si="12">BIN2HEX(D3)</f>
        <v>0</v>
      </c>
      <c r="D21" s="196" t="str">
        <f>BIN2HEX(F3)</f>
        <v>0</v>
      </c>
      <c r="E21" s="196" t="str">
        <f t="shared" ref="E21:E36" si="13">BIN2HEX(H3)</f>
        <v>0</v>
      </c>
      <c r="F21" s="196" t="s">
        <v>820</v>
      </c>
      <c r="G21" s="197" t="s">
        <v>226</v>
      </c>
      <c r="H21" s="198"/>
      <c r="I21" s="199" t="s">
        <v>522</v>
      </c>
      <c r="J21" s="168"/>
      <c r="K21" s="168"/>
      <c r="L21" s="168"/>
      <c r="M21" s="51"/>
      <c r="N21" s="200" t="str">
        <f t="shared" ref="N21:N36" si="14">DEC2HEX(N3)</f>
        <v>0</v>
      </c>
      <c r="O21" s="167"/>
      <c r="P21" s="167"/>
      <c r="Q21" s="167"/>
      <c r="R21" s="167"/>
      <c r="S21" s="167"/>
      <c r="T21" s="167"/>
      <c r="U21" s="167"/>
      <c r="V21" s="167"/>
      <c r="W21" s="167"/>
      <c r="X21" s="167"/>
      <c r="Y21" s="167"/>
      <c r="Z21" s="167"/>
      <c r="AA21" s="167"/>
      <c r="AD21" s="43" t="s">
        <v>52</v>
      </c>
      <c r="AE21" s="184" t="s">
        <v>821</v>
      </c>
      <c r="AF21" s="186" t="s">
        <v>822</v>
      </c>
      <c r="AG21" s="178">
        <v>10</v>
      </c>
      <c r="AH21" s="178">
        <v>1</v>
      </c>
      <c r="AI21" s="177">
        <v>10</v>
      </c>
      <c r="AJ21" s="177">
        <v>2</v>
      </c>
      <c r="AK21" s="168"/>
      <c r="AL21" s="189" t="s">
        <v>823</v>
      </c>
      <c r="AM21" s="178">
        <v>10</v>
      </c>
      <c r="AN21" s="178">
        <v>2</v>
      </c>
      <c r="AP21" s="191" t="s">
        <v>396</v>
      </c>
      <c r="AQ21" s="191" t="s">
        <v>396</v>
      </c>
      <c r="AR21" s="179"/>
      <c r="AS21" s="179" t="s">
        <v>396</v>
      </c>
      <c r="AT21" s="179" t="s">
        <v>226</v>
      </c>
      <c r="AU21" s="179" t="s">
        <v>817</v>
      </c>
      <c r="AV21" s="179">
        <v>3</v>
      </c>
      <c r="AX21" s="191" t="s">
        <v>396</v>
      </c>
      <c r="AY21" s="191" t="s">
        <v>396</v>
      </c>
      <c r="AZ21" s="179" t="s">
        <v>817</v>
      </c>
      <c r="BA21" s="179">
        <v>4</v>
      </c>
      <c r="BC21" s="191" t="s">
        <v>396</v>
      </c>
      <c r="BD21" s="191" t="s">
        <v>396</v>
      </c>
      <c r="BE21" s="179" t="s">
        <v>817</v>
      </c>
      <c r="BF21" s="179">
        <v>5</v>
      </c>
    </row>
    <row r="22" spans="1:58">
      <c r="A22" s="64" t="s">
        <v>741</v>
      </c>
      <c r="B22" s="43" t="s">
        <v>742</v>
      </c>
      <c r="C22" s="196" t="str">
        <f t="shared" si="12"/>
        <v>0</v>
      </c>
      <c r="D22" s="196" t="s">
        <v>226</v>
      </c>
      <c r="E22" s="196" t="str">
        <f t="shared" si="13"/>
        <v>0</v>
      </c>
      <c r="F22" s="196" t="str">
        <f>BIN2HEX(J4)</f>
        <v>22</v>
      </c>
      <c r="G22" s="197" t="str">
        <f>DEC2HEX(K4)</f>
        <v>0</v>
      </c>
      <c r="H22" s="198"/>
      <c r="I22" s="199">
        <v>22</v>
      </c>
      <c r="J22" s="168"/>
      <c r="K22" s="168"/>
      <c r="L22" s="168"/>
      <c r="M22" s="51"/>
      <c r="N22" s="200" t="str">
        <f t="shared" si="14"/>
        <v>0</v>
      </c>
      <c r="O22" s="167"/>
      <c r="P22" s="167"/>
      <c r="Q22" s="167"/>
      <c r="R22" s="167"/>
      <c r="S22" s="167"/>
      <c r="T22" s="167"/>
      <c r="U22" s="167"/>
      <c r="V22" s="167"/>
      <c r="W22" s="167"/>
      <c r="X22" s="167"/>
      <c r="Y22" s="167"/>
      <c r="Z22" s="167"/>
      <c r="AA22" s="167"/>
      <c r="AN22" s="201"/>
      <c r="AP22" s="191" t="s">
        <v>396</v>
      </c>
      <c r="AQ22" s="191" t="s">
        <v>780</v>
      </c>
      <c r="AR22" s="179"/>
      <c r="AS22" s="179" t="s">
        <v>396</v>
      </c>
      <c r="AT22" s="179" t="s">
        <v>226</v>
      </c>
      <c r="AU22" s="179">
        <v>10</v>
      </c>
      <c r="AV22" s="179">
        <v>3</v>
      </c>
      <c r="AX22" s="191" t="s">
        <v>396</v>
      </c>
      <c r="AY22" s="191" t="s">
        <v>824</v>
      </c>
      <c r="AZ22" s="179">
        <v>10</v>
      </c>
      <c r="BA22" s="179">
        <v>4</v>
      </c>
      <c r="BC22" s="191" t="s">
        <v>396</v>
      </c>
      <c r="BD22" s="191" t="s">
        <v>824</v>
      </c>
      <c r="BE22" s="179">
        <v>10</v>
      </c>
      <c r="BF22" s="179">
        <v>5</v>
      </c>
    </row>
    <row r="23" spans="1:58">
      <c r="A23" s="43" t="s">
        <v>754</v>
      </c>
      <c r="B23" s="43" t="s">
        <v>755</v>
      </c>
      <c r="C23" s="196" t="str">
        <f t="shared" si="12"/>
        <v>0</v>
      </c>
      <c r="D23" s="196" t="s">
        <v>226</v>
      </c>
      <c r="E23" s="196" t="str">
        <f t="shared" si="13"/>
        <v>1</v>
      </c>
      <c r="F23" s="196" t="str">
        <f>BIN2HEX(J5)</f>
        <v>23</v>
      </c>
      <c r="G23" s="197" t="str">
        <f>DEC2HEX(K5)</f>
        <v>8000</v>
      </c>
      <c r="H23" s="198"/>
      <c r="I23" s="199">
        <v>600023</v>
      </c>
      <c r="J23" s="168"/>
      <c r="K23" s="168"/>
      <c r="L23" s="168"/>
      <c r="M23" s="51"/>
      <c r="N23" s="167" t="str">
        <f t="shared" si="14"/>
        <v>0</v>
      </c>
      <c r="O23" s="200" t="str">
        <f t="shared" ref="O23:O36" si="15">DEC2HEX(O5)</f>
        <v>8000</v>
      </c>
      <c r="P23" s="167"/>
      <c r="Q23" s="167"/>
      <c r="R23" s="167"/>
      <c r="S23" s="167"/>
      <c r="T23" s="167"/>
      <c r="U23" s="167"/>
      <c r="V23" s="167"/>
      <c r="W23" s="167"/>
      <c r="X23" s="167"/>
      <c r="Y23" s="167"/>
      <c r="Z23" s="167"/>
      <c r="AA23" s="167"/>
      <c r="AE23" s="168"/>
      <c r="AF23" s="168"/>
      <c r="AG23" s="168"/>
      <c r="AH23" s="168"/>
    </row>
    <row r="24" spans="1:58">
      <c r="A24" s="43" t="s">
        <v>741</v>
      </c>
      <c r="B24" s="43" t="s">
        <v>758</v>
      </c>
      <c r="C24" s="196" t="str">
        <f t="shared" si="12"/>
        <v>0</v>
      </c>
      <c r="D24" s="196" t="e">
        <f t="shared" ref="D24:D36" si="16">BIN2HEX(F6)</f>
        <v>#NUM!</v>
      </c>
      <c r="E24" s="196" t="str">
        <f t="shared" si="13"/>
        <v>2</v>
      </c>
      <c r="F24" s="196" t="str">
        <f>BIN2HEX(J6)</f>
        <v>22</v>
      </c>
      <c r="G24" s="202" t="s">
        <v>825</v>
      </c>
      <c r="H24" s="198"/>
      <c r="I24" s="199" t="s">
        <v>766</v>
      </c>
      <c r="J24" s="168"/>
      <c r="K24" s="168"/>
      <c r="L24" s="168"/>
      <c r="M24" s="51"/>
      <c r="N24" s="167" t="str">
        <f t="shared" si="14"/>
        <v>0</v>
      </c>
      <c r="O24" s="167" t="str">
        <f t="shared" si="15"/>
        <v>8000</v>
      </c>
      <c r="P24" s="200" t="s">
        <v>825</v>
      </c>
      <c r="Q24" s="167"/>
      <c r="R24" s="167"/>
      <c r="S24" s="167"/>
      <c r="T24" s="167"/>
      <c r="U24" s="167"/>
      <c r="V24" s="167"/>
      <c r="W24" s="167"/>
      <c r="X24" s="167"/>
      <c r="Y24" s="167"/>
      <c r="Z24" s="167"/>
      <c r="AA24" s="167"/>
      <c r="AE24" s="168"/>
      <c r="AF24" s="168"/>
      <c r="AG24" s="168"/>
      <c r="AH24" s="168"/>
      <c r="AP24" s="168"/>
      <c r="AQ24" s="168"/>
      <c r="AR24" s="168"/>
      <c r="AS24" s="168"/>
      <c r="AT24" s="168"/>
      <c r="AU24" s="168"/>
      <c r="AV24" s="168"/>
      <c r="AW24" s="168"/>
      <c r="AX24" s="168"/>
      <c r="AY24" s="168"/>
      <c r="AZ24" s="168"/>
      <c r="BA24" s="168"/>
      <c r="BB24" s="168"/>
      <c r="BC24" s="168"/>
      <c r="BD24" s="168"/>
      <c r="BE24" s="168"/>
      <c r="BF24" s="168"/>
    </row>
    <row r="25" spans="1:58">
      <c r="A25" s="43" t="s">
        <v>23</v>
      </c>
      <c r="B25" s="43" t="s">
        <v>760</v>
      </c>
      <c r="C25" s="196" t="str">
        <f t="shared" si="12"/>
        <v>2</v>
      </c>
      <c r="D25" s="196" t="str">
        <f t="shared" si="16"/>
        <v>0</v>
      </c>
      <c r="E25" s="196" t="str">
        <f t="shared" si="13"/>
        <v>2</v>
      </c>
      <c r="F25" s="196">
        <v>280</v>
      </c>
      <c r="G25" s="197" t="s">
        <v>226</v>
      </c>
      <c r="H25" s="198"/>
      <c r="I25" s="199">
        <v>10040280</v>
      </c>
      <c r="J25" s="168"/>
      <c r="K25" s="168"/>
      <c r="L25" s="168"/>
      <c r="M25" s="51"/>
      <c r="N25" s="167" t="str">
        <f t="shared" si="14"/>
        <v>0</v>
      </c>
      <c r="O25" s="167" t="str">
        <f t="shared" si="15"/>
        <v>8000</v>
      </c>
      <c r="P25" s="200" t="str">
        <f t="shared" ref="P25:P36" si="17">DEC2HEX(P7)</f>
        <v>100</v>
      </c>
      <c r="Q25" s="167"/>
      <c r="R25" s="167"/>
      <c r="S25" s="167"/>
      <c r="T25" s="167"/>
      <c r="U25" s="167"/>
      <c r="V25" s="167"/>
      <c r="W25" s="167"/>
      <c r="X25" s="167"/>
      <c r="Y25" s="167"/>
      <c r="Z25" s="167"/>
      <c r="AA25" s="167"/>
      <c r="AE25" s="168"/>
      <c r="AF25" s="168"/>
      <c r="AG25" s="168"/>
      <c r="AH25" s="168"/>
      <c r="AP25" s="168"/>
      <c r="AQ25" s="168"/>
      <c r="AR25" s="168"/>
      <c r="AS25" s="168"/>
      <c r="AT25" s="168"/>
      <c r="AU25" s="168"/>
      <c r="AV25" s="168"/>
      <c r="AW25" s="168"/>
      <c r="AX25" s="168"/>
      <c r="AY25" s="168"/>
      <c r="AZ25" s="168"/>
      <c r="BA25" s="168"/>
      <c r="BB25" s="168"/>
      <c r="BC25" s="168"/>
      <c r="BD25" s="168"/>
      <c r="BE25" s="168"/>
      <c r="BF25" s="168"/>
    </row>
    <row r="26" spans="1:58">
      <c r="A26" s="43" t="s">
        <v>11</v>
      </c>
      <c r="B26" s="43" t="s">
        <v>762</v>
      </c>
      <c r="C26" s="196" t="str">
        <f t="shared" si="12"/>
        <v>1</v>
      </c>
      <c r="D26" s="196" t="str">
        <f t="shared" si="16"/>
        <v>2</v>
      </c>
      <c r="E26" s="196" t="str">
        <f t="shared" si="13"/>
        <v>3</v>
      </c>
      <c r="F26" s="196">
        <v>40</v>
      </c>
      <c r="G26" s="197" t="s">
        <v>226</v>
      </c>
      <c r="H26" s="198"/>
      <c r="I26" s="199">
        <v>8860040</v>
      </c>
      <c r="J26" s="168"/>
      <c r="K26" s="168"/>
      <c r="L26" s="168"/>
      <c r="M26" s="51"/>
      <c r="N26" s="167" t="str">
        <f t="shared" si="14"/>
        <v>0</v>
      </c>
      <c r="O26" s="167" t="str">
        <f t="shared" si="15"/>
        <v>8000</v>
      </c>
      <c r="P26" s="167" t="str">
        <f t="shared" si="17"/>
        <v>100</v>
      </c>
      <c r="Q26" s="200" t="str">
        <f t="shared" ref="Q26:Q36" si="18">DEC2HEX(Q8)</f>
        <v>8100</v>
      </c>
      <c r="R26" s="167"/>
      <c r="S26" s="167"/>
      <c r="T26" s="167"/>
      <c r="U26" s="167"/>
      <c r="V26" s="167"/>
      <c r="W26" s="167"/>
      <c r="X26" s="167"/>
      <c r="Y26" s="167"/>
      <c r="Z26" s="167"/>
      <c r="AA26" s="167"/>
      <c r="AE26" s="168"/>
      <c r="AF26" s="168"/>
      <c r="AG26" s="168"/>
      <c r="AH26" s="168"/>
      <c r="AP26" s="168"/>
      <c r="AQ26" s="168"/>
      <c r="AR26" s="168"/>
      <c r="AS26" s="168"/>
      <c r="AT26" s="168"/>
      <c r="AU26" s="168"/>
      <c r="AV26" s="168"/>
      <c r="AW26" s="168"/>
      <c r="AX26" s="168"/>
      <c r="AY26" s="168"/>
      <c r="AZ26" s="168"/>
      <c r="BA26" s="168"/>
      <c r="BB26" s="168"/>
      <c r="BC26" s="168"/>
      <c r="BD26" s="168"/>
      <c r="BE26" s="168"/>
      <c r="BF26" s="168"/>
    </row>
    <row r="27" spans="1:58">
      <c r="A27" s="43" t="s">
        <v>14</v>
      </c>
      <c r="B27" s="43" t="s">
        <v>765</v>
      </c>
      <c r="C27" s="196" t="str">
        <f t="shared" si="12"/>
        <v>3</v>
      </c>
      <c r="D27" s="196" t="str">
        <f t="shared" si="16"/>
        <v>2</v>
      </c>
      <c r="E27" s="196" t="str">
        <f t="shared" si="13"/>
        <v>4</v>
      </c>
      <c r="F27" s="196">
        <v>100</v>
      </c>
      <c r="G27" s="197" t="s">
        <v>226</v>
      </c>
      <c r="H27" s="198"/>
      <c r="I27" s="199">
        <v>18880100</v>
      </c>
      <c r="J27" s="168"/>
      <c r="K27" s="168"/>
      <c r="L27" s="168"/>
      <c r="M27" s="51"/>
      <c r="N27" s="167" t="str">
        <f t="shared" si="14"/>
        <v>0</v>
      </c>
      <c r="O27" s="167" t="str">
        <f t="shared" si="15"/>
        <v>8000</v>
      </c>
      <c r="P27" s="167" t="str">
        <f t="shared" si="17"/>
        <v>100</v>
      </c>
      <c r="Q27" s="167" t="str">
        <f t="shared" si="18"/>
        <v>8100</v>
      </c>
      <c r="R27" s="200" t="str">
        <f t="shared" ref="R27:R36" si="19">DEC2HEX(R9)</f>
        <v>8000</v>
      </c>
      <c r="S27" s="167"/>
      <c r="T27" s="167"/>
      <c r="U27" s="167"/>
      <c r="V27" s="167"/>
      <c r="W27" s="167"/>
      <c r="X27" s="167"/>
      <c r="Y27" s="167"/>
      <c r="Z27" s="167"/>
      <c r="AA27" s="167"/>
      <c r="AE27" s="168"/>
      <c r="AF27" s="168"/>
      <c r="AG27" s="168"/>
      <c r="AH27" s="168"/>
      <c r="AP27" s="168"/>
      <c r="AQ27" s="168"/>
      <c r="AR27" s="168"/>
      <c r="AS27" s="168"/>
      <c r="AT27" s="168"/>
      <c r="AU27" s="168"/>
      <c r="AV27" s="168"/>
      <c r="AW27" s="168"/>
      <c r="AX27" s="168"/>
      <c r="AY27" s="168"/>
      <c r="AZ27" s="168"/>
      <c r="BA27" s="168"/>
      <c r="BB27" s="168"/>
      <c r="BC27" s="168"/>
      <c r="BD27" s="168"/>
      <c r="BE27" s="168"/>
      <c r="BF27" s="168"/>
    </row>
    <row r="28" spans="1:58">
      <c r="A28" s="43" t="s">
        <v>17</v>
      </c>
      <c r="B28" s="43" t="s">
        <v>769</v>
      </c>
      <c r="C28" s="196" t="str">
        <f t="shared" si="12"/>
        <v>1</v>
      </c>
      <c r="D28" s="196" t="str">
        <f t="shared" si="16"/>
        <v>2</v>
      </c>
      <c r="E28" s="196" t="str">
        <f t="shared" si="13"/>
        <v>5</v>
      </c>
      <c r="F28" s="196">
        <v>200</v>
      </c>
      <c r="G28" s="197" t="s">
        <v>226</v>
      </c>
      <c r="H28" s="198"/>
      <c r="I28" s="199" t="s">
        <v>782</v>
      </c>
      <c r="J28" s="168"/>
      <c r="K28" s="168"/>
      <c r="L28" s="168"/>
      <c r="M28" s="51"/>
      <c r="N28" s="167" t="str">
        <f t="shared" si="14"/>
        <v>0</v>
      </c>
      <c r="O28" s="167" t="str">
        <f t="shared" si="15"/>
        <v>8000</v>
      </c>
      <c r="P28" s="167" t="str">
        <f t="shared" si="17"/>
        <v>100</v>
      </c>
      <c r="Q28" s="167" t="str">
        <f t="shared" si="18"/>
        <v>8100</v>
      </c>
      <c r="R28" s="167" t="str">
        <f t="shared" si="19"/>
        <v>8000</v>
      </c>
      <c r="S28" s="200" t="str">
        <f t="shared" ref="S28:S36" si="20">DEC2HEX(S10)</f>
        <v>0</v>
      </c>
      <c r="T28" s="167"/>
      <c r="U28" s="167"/>
      <c r="V28" s="167"/>
      <c r="W28" s="167"/>
      <c r="X28" s="167"/>
      <c r="Y28" s="167"/>
      <c r="Z28" s="167"/>
      <c r="AA28" s="167"/>
      <c r="AE28" s="168"/>
      <c r="AF28" s="168"/>
      <c r="AG28" s="168"/>
      <c r="AH28" s="168"/>
      <c r="AP28" s="168"/>
      <c r="AQ28" s="168"/>
      <c r="AR28" s="168"/>
      <c r="AS28" s="168"/>
      <c r="AT28" s="168"/>
      <c r="AU28" s="168"/>
      <c r="AV28" s="168"/>
      <c r="AW28" s="168"/>
      <c r="AX28" s="168"/>
      <c r="AY28" s="168"/>
      <c r="AZ28" s="168"/>
      <c r="BA28" s="168"/>
      <c r="BB28" s="168"/>
      <c r="BC28" s="168"/>
      <c r="BD28" s="168"/>
      <c r="BE28" s="168"/>
      <c r="BF28" s="168"/>
    </row>
    <row r="29" spans="1:58">
      <c r="A29" s="43" t="s">
        <v>20</v>
      </c>
      <c r="B29" s="43" t="s">
        <v>772</v>
      </c>
      <c r="C29" s="196" t="str">
        <f t="shared" si="12"/>
        <v>1</v>
      </c>
      <c r="D29" s="196" t="str">
        <f t="shared" si="16"/>
        <v>2</v>
      </c>
      <c r="E29" s="196" t="str">
        <f t="shared" si="13"/>
        <v>6</v>
      </c>
      <c r="F29" s="196">
        <v>240</v>
      </c>
      <c r="G29" s="197" t="s">
        <v>226</v>
      </c>
      <c r="H29" s="198"/>
      <c r="I29" s="199" t="s">
        <v>786</v>
      </c>
      <c r="J29" s="168"/>
      <c r="K29" s="168"/>
      <c r="L29" s="168"/>
      <c r="M29" s="51"/>
      <c r="N29" s="167" t="str">
        <f t="shared" si="14"/>
        <v>0</v>
      </c>
      <c r="O29" s="167" t="str">
        <f t="shared" si="15"/>
        <v>8000</v>
      </c>
      <c r="P29" s="167" t="str">
        <f t="shared" si="17"/>
        <v>100</v>
      </c>
      <c r="Q29" s="167" t="str">
        <f t="shared" si="18"/>
        <v>8100</v>
      </c>
      <c r="R29" s="167" t="str">
        <f t="shared" si="19"/>
        <v>8000</v>
      </c>
      <c r="S29" s="167" t="str">
        <f t="shared" si="20"/>
        <v>0</v>
      </c>
      <c r="T29" s="200" t="str">
        <f t="shared" ref="T29:T36" si="21">DEC2HEX(T11)</f>
        <v>8100</v>
      </c>
      <c r="U29" s="167"/>
      <c r="V29" s="167"/>
      <c r="W29" s="167"/>
      <c r="X29" s="167"/>
      <c r="Y29" s="167"/>
      <c r="Z29" s="167"/>
      <c r="AA29" s="167"/>
      <c r="AE29" s="168"/>
      <c r="AF29" s="168"/>
      <c r="AG29" s="168"/>
      <c r="AH29" s="168"/>
      <c r="AP29" s="168"/>
      <c r="AQ29" s="168"/>
      <c r="AR29" s="168"/>
      <c r="AS29" s="168"/>
      <c r="AT29" s="168"/>
      <c r="AU29" s="168"/>
      <c r="AV29" s="168"/>
      <c r="AW29" s="168"/>
      <c r="AX29" s="168"/>
      <c r="AY29" s="168"/>
      <c r="AZ29" s="168"/>
      <c r="BA29" s="168"/>
      <c r="BB29" s="168"/>
      <c r="BC29" s="168"/>
      <c r="BD29" s="168"/>
      <c r="BE29" s="168"/>
      <c r="BF29" s="168"/>
    </row>
    <row r="30" spans="1:58">
      <c r="A30" s="43" t="s">
        <v>26</v>
      </c>
      <c r="B30" s="43" t="s">
        <v>776</v>
      </c>
      <c r="C30" s="196" t="str">
        <f t="shared" si="12"/>
        <v>1</v>
      </c>
      <c r="D30" s="196" t="str">
        <f t="shared" si="16"/>
        <v>2</v>
      </c>
      <c r="E30" s="196" t="str">
        <f t="shared" si="13"/>
        <v>7</v>
      </c>
      <c r="F30" s="196" t="s">
        <v>826</v>
      </c>
      <c r="G30" s="197" t="s">
        <v>226</v>
      </c>
      <c r="H30" s="198"/>
      <c r="I30" s="199" t="s">
        <v>790</v>
      </c>
      <c r="J30" s="168"/>
      <c r="K30" s="168"/>
      <c r="L30" s="168"/>
      <c r="M30" s="51"/>
      <c r="N30" s="167" t="str">
        <f t="shared" si="14"/>
        <v>0</v>
      </c>
      <c r="O30" s="167" t="str">
        <f t="shared" si="15"/>
        <v>8000</v>
      </c>
      <c r="P30" s="167" t="str">
        <f t="shared" si="17"/>
        <v>100</v>
      </c>
      <c r="Q30" s="167" t="str">
        <f t="shared" si="18"/>
        <v>8100</v>
      </c>
      <c r="R30" s="167" t="str">
        <f t="shared" si="19"/>
        <v>8000</v>
      </c>
      <c r="S30" s="167" t="str">
        <f t="shared" si="20"/>
        <v>0</v>
      </c>
      <c r="T30" s="167" t="str">
        <f t="shared" si="21"/>
        <v>8100</v>
      </c>
      <c r="U30" s="200" t="str">
        <f t="shared" ref="U30:U36" si="22">DEC2HEX(U12)</f>
        <v>8100</v>
      </c>
      <c r="V30" s="167"/>
      <c r="W30" s="167"/>
      <c r="X30" s="167"/>
      <c r="Y30" s="167"/>
      <c r="Z30" s="167"/>
      <c r="AA30" s="167"/>
      <c r="AE30" s="168"/>
      <c r="AF30" s="168"/>
      <c r="AG30" s="168"/>
      <c r="AH30" s="168"/>
      <c r="AP30" s="168"/>
      <c r="AQ30" s="168"/>
      <c r="AR30" s="168"/>
      <c r="AS30" s="168"/>
      <c r="AT30" s="168"/>
      <c r="AU30" s="168"/>
      <c r="AV30" s="168"/>
      <c r="AW30" s="168"/>
      <c r="AX30" s="168"/>
      <c r="AY30" s="168"/>
      <c r="AZ30" s="168"/>
      <c r="BA30" s="168"/>
      <c r="BB30" s="168"/>
      <c r="BC30" s="168"/>
      <c r="BD30" s="168"/>
      <c r="BE30" s="168"/>
      <c r="BF30" s="168"/>
    </row>
    <row r="31" spans="1:58">
      <c r="A31" s="43" t="s">
        <v>29</v>
      </c>
      <c r="B31" s="43" t="s">
        <v>781</v>
      </c>
      <c r="C31" s="196" t="str">
        <f t="shared" si="12"/>
        <v>2</v>
      </c>
      <c r="D31" s="196" t="str">
        <f t="shared" si="16"/>
        <v>0</v>
      </c>
      <c r="E31" s="196" t="str">
        <f t="shared" si="13"/>
        <v>8</v>
      </c>
      <c r="F31" s="196">
        <v>300</v>
      </c>
      <c r="G31" s="197" t="s">
        <v>226</v>
      </c>
      <c r="H31" s="198"/>
      <c r="I31" s="199">
        <v>10100300</v>
      </c>
      <c r="J31" s="168"/>
      <c r="K31" s="168"/>
      <c r="L31" s="168"/>
      <c r="M31" s="51"/>
      <c r="N31" s="167" t="str">
        <f t="shared" si="14"/>
        <v>0</v>
      </c>
      <c r="O31" s="167" t="str">
        <f t="shared" si="15"/>
        <v>8000</v>
      </c>
      <c r="P31" s="167" t="str">
        <f t="shared" si="17"/>
        <v>100</v>
      </c>
      <c r="Q31" s="167" t="str">
        <f t="shared" si="18"/>
        <v>8100</v>
      </c>
      <c r="R31" s="167" t="str">
        <f t="shared" si="19"/>
        <v>8000</v>
      </c>
      <c r="S31" s="167" t="str">
        <f t="shared" si="20"/>
        <v>0</v>
      </c>
      <c r="T31" s="167" t="str">
        <f t="shared" si="21"/>
        <v>8100</v>
      </c>
      <c r="U31" s="167" t="str">
        <f t="shared" si="22"/>
        <v>8100</v>
      </c>
      <c r="V31" s="200" t="str">
        <f>DEC2HEX(V13)</f>
        <v>FEFF</v>
      </c>
      <c r="W31" s="167"/>
      <c r="X31" s="167"/>
      <c r="Y31" s="167"/>
      <c r="Z31" s="167"/>
      <c r="AA31" s="167"/>
      <c r="AE31" s="168"/>
      <c r="AF31" s="168"/>
      <c r="AG31" s="168"/>
      <c r="AH31" s="168"/>
      <c r="AP31" s="168"/>
      <c r="AQ31" s="168"/>
      <c r="AR31" s="168"/>
      <c r="AS31" s="168"/>
      <c r="AT31" s="168"/>
      <c r="AU31" s="168"/>
      <c r="AV31" s="168"/>
      <c r="AW31" s="168"/>
      <c r="AX31" s="168"/>
      <c r="AY31" s="168"/>
      <c r="AZ31" s="168"/>
      <c r="BA31" s="168"/>
      <c r="BB31" s="168"/>
      <c r="BC31" s="168"/>
      <c r="BD31" s="168"/>
      <c r="BE31" s="168"/>
      <c r="BF31" s="168"/>
    </row>
    <row r="32" spans="1:58">
      <c r="A32" s="43" t="s">
        <v>34</v>
      </c>
      <c r="B32" s="43" t="s">
        <v>785</v>
      </c>
      <c r="C32" s="196" t="str">
        <f t="shared" si="12"/>
        <v>2</v>
      </c>
      <c r="D32" s="196" t="str">
        <f t="shared" si="16"/>
        <v>0</v>
      </c>
      <c r="E32" s="196" t="str">
        <f t="shared" si="13"/>
        <v>9</v>
      </c>
      <c r="F32" s="196">
        <v>400</v>
      </c>
      <c r="G32" s="197" t="s">
        <v>226</v>
      </c>
      <c r="H32" s="198"/>
      <c r="I32" s="199">
        <v>10120400</v>
      </c>
      <c r="J32" s="168"/>
      <c r="K32" s="168"/>
      <c r="L32" s="168"/>
      <c r="M32" s="51"/>
      <c r="N32" s="167" t="str">
        <f t="shared" si="14"/>
        <v>0</v>
      </c>
      <c r="O32" s="167" t="str">
        <f t="shared" si="15"/>
        <v>8000</v>
      </c>
      <c r="P32" s="167" t="str">
        <f t="shared" si="17"/>
        <v>100</v>
      </c>
      <c r="Q32" s="167" t="str">
        <f t="shared" si="18"/>
        <v>8100</v>
      </c>
      <c r="R32" s="167" t="str">
        <f t="shared" si="19"/>
        <v>8000</v>
      </c>
      <c r="S32" s="167" t="str">
        <f t="shared" si="20"/>
        <v>0</v>
      </c>
      <c r="T32" s="167" t="str">
        <f t="shared" si="21"/>
        <v>8100</v>
      </c>
      <c r="U32" s="167" t="str">
        <f t="shared" si="22"/>
        <v>8100</v>
      </c>
      <c r="V32" s="167" t="str">
        <f>V31</f>
        <v>FEFF</v>
      </c>
      <c r="W32" s="200" t="str">
        <f>DEC2HEX(W14)</f>
        <v>80</v>
      </c>
      <c r="X32" s="167"/>
      <c r="Y32" s="167"/>
      <c r="Z32" s="167"/>
      <c r="AA32" s="167"/>
      <c r="AE32" s="168"/>
      <c r="AF32" s="168"/>
      <c r="AG32" s="168"/>
      <c r="AH32" s="168"/>
      <c r="AP32" s="168"/>
      <c r="AQ32" s="168"/>
      <c r="AR32" s="168"/>
      <c r="AS32" s="168"/>
      <c r="AT32" s="168"/>
      <c r="AU32" s="168"/>
      <c r="AV32" s="168"/>
      <c r="AW32" s="168"/>
      <c r="AX32" s="168"/>
      <c r="AY32" s="168"/>
      <c r="AZ32" s="168"/>
      <c r="BA32" s="168"/>
      <c r="BB32" s="168"/>
      <c r="BC32" s="168"/>
      <c r="BD32" s="168"/>
      <c r="BE32" s="168"/>
      <c r="BF32" s="168"/>
    </row>
    <row r="33" spans="1:1024">
      <c r="A33" s="43" t="s">
        <v>38</v>
      </c>
      <c r="B33" s="43" t="s">
        <v>789</v>
      </c>
      <c r="C33" s="196" t="str">
        <f t="shared" si="12"/>
        <v>3</v>
      </c>
      <c r="D33" s="196" t="str">
        <f t="shared" si="16"/>
        <v>0</v>
      </c>
      <c r="E33" s="196" t="str">
        <f t="shared" si="13"/>
        <v>A</v>
      </c>
      <c r="F33" s="196">
        <v>440</v>
      </c>
      <c r="G33" s="197" t="s">
        <v>226</v>
      </c>
      <c r="H33" s="198"/>
      <c r="I33" s="199">
        <v>18140440</v>
      </c>
      <c r="J33" s="168"/>
      <c r="K33" s="168"/>
      <c r="L33" s="168"/>
      <c r="M33" s="51"/>
      <c r="N33" s="167" t="str">
        <f t="shared" si="14"/>
        <v>0</v>
      </c>
      <c r="O33" s="167" t="str">
        <f t="shared" si="15"/>
        <v>8000</v>
      </c>
      <c r="P33" s="167" t="str">
        <f t="shared" si="17"/>
        <v>100</v>
      </c>
      <c r="Q33" s="167" t="str">
        <f t="shared" si="18"/>
        <v>8100</v>
      </c>
      <c r="R33" s="167" t="str">
        <f t="shared" si="19"/>
        <v>8000</v>
      </c>
      <c r="S33" s="167" t="str">
        <f t="shared" si="20"/>
        <v>0</v>
      </c>
      <c r="T33" s="167" t="str">
        <f t="shared" si="21"/>
        <v>8100</v>
      </c>
      <c r="U33" s="167" t="str">
        <f t="shared" si="22"/>
        <v>8100</v>
      </c>
      <c r="V33" s="167" t="str">
        <f>V32</f>
        <v>FEFF</v>
      </c>
      <c r="W33" s="167" t="str">
        <f>W32</f>
        <v>80</v>
      </c>
      <c r="X33" s="200" t="str">
        <f>DEC2HEX(X15)</f>
        <v>4080</v>
      </c>
      <c r="Y33" s="167"/>
      <c r="Z33" s="167"/>
      <c r="AA33" s="167"/>
      <c r="AE33" s="168"/>
      <c r="AF33" s="168"/>
      <c r="AG33" s="168"/>
      <c r="AH33" s="168"/>
      <c r="AP33" s="168"/>
      <c r="AQ33" s="168"/>
      <c r="AR33" s="168"/>
      <c r="AS33" s="168"/>
      <c r="AT33" s="168"/>
      <c r="AU33" s="168"/>
      <c r="AV33" s="168"/>
      <c r="AW33" s="168"/>
      <c r="AX33" s="168"/>
      <c r="AY33" s="168"/>
      <c r="AZ33" s="168"/>
      <c r="BA33" s="168"/>
      <c r="BB33" s="168"/>
      <c r="BC33" s="168"/>
      <c r="BD33" s="168"/>
      <c r="BE33" s="168"/>
      <c r="BF33" s="168"/>
    </row>
    <row r="34" spans="1:1024">
      <c r="A34" s="31" t="s">
        <v>793</v>
      </c>
      <c r="B34" s="43" t="s">
        <v>794</v>
      </c>
      <c r="C34" s="196" t="str">
        <f t="shared" si="12"/>
        <v>4</v>
      </c>
      <c r="D34" s="196" t="str">
        <f t="shared" si="16"/>
        <v>0</v>
      </c>
      <c r="E34" s="196" t="str">
        <f t="shared" si="13"/>
        <v>B</v>
      </c>
      <c r="F34" s="196" t="s">
        <v>827</v>
      </c>
      <c r="G34" s="197" t="s">
        <v>226</v>
      </c>
      <c r="H34" s="198"/>
      <c r="I34" s="199" t="s">
        <v>808</v>
      </c>
      <c r="J34" s="168"/>
      <c r="K34" s="168"/>
      <c r="L34" s="168"/>
      <c r="M34" s="51"/>
      <c r="N34" s="167" t="str">
        <f t="shared" si="14"/>
        <v>0</v>
      </c>
      <c r="O34" s="167" t="str">
        <f t="shared" si="15"/>
        <v>8000</v>
      </c>
      <c r="P34" s="167" t="str">
        <f t="shared" si="17"/>
        <v>100</v>
      </c>
      <c r="Q34" s="167" t="str">
        <f t="shared" si="18"/>
        <v>8100</v>
      </c>
      <c r="R34" s="167" t="str">
        <f t="shared" si="19"/>
        <v>8000</v>
      </c>
      <c r="S34" s="167" t="str">
        <f t="shared" si="20"/>
        <v>0</v>
      </c>
      <c r="T34" s="167" t="str">
        <f t="shared" si="21"/>
        <v>8100</v>
      </c>
      <c r="U34" s="167" t="str">
        <f t="shared" si="22"/>
        <v>8100</v>
      </c>
      <c r="V34" s="167" t="str">
        <f>V33</f>
        <v>FEFF</v>
      </c>
      <c r="W34" s="167" t="str">
        <f>W33</f>
        <v>80</v>
      </c>
      <c r="X34" s="167" t="str">
        <f>X33</f>
        <v>4080</v>
      </c>
      <c r="Y34" s="200" t="str">
        <f>DEC2HEX(Y16)</f>
        <v>10000</v>
      </c>
      <c r="Z34" s="167"/>
      <c r="AA34" s="167"/>
      <c r="AE34" s="168"/>
      <c r="AF34" s="168"/>
      <c r="AG34" s="168"/>
      <c r="AH34" s="168"/>
      <c r="AP34" s="168"/>
      <c r="AQ34" s="168"/>
      <c r="AR34" s="168"/>
      <c r="AS34" s="168"/>
      <c r="AT34" s="168"/>
      <c r="AU34" s="168"/>
      <c r="AV34" s="168"/>
      <c r="AW34" s="168"/>
      <c r="AX34" s="168"/>
      <c r="AY34" s="168"/>
      <c r="AZ34" s="168"/>
      <c r="BA34" s="168"/>
      <c r="BB34" s="168"/>
      <c r="BC34" s="168"/>
      <c r="BD34" s="168"/>
      <c r="BE34" s="168"/>
      <c r="BF34" s="168"/>
    </row>
    <row r="35" spans="1:1024" ht="31.5">
      <c r="A35" s="43" t="s">
        <v>48</v>
      </c>
      <c r="B35" s="43" t="s">
        <v>798</v>
      </c>
      <c r="C35" s="196" t="str">
        <f t="shared" si="12"/>
        <v>5</v>
      </c>
      <c r="D35" s="196" t="str">
        <f t="shared" si="16"/>
        <v>0</v>
      </c>
      <c r="E35" s="196" t="str">
        <f t="shared" si="13"/>
        <v>C</v>
      </c>
      <c r="F35" s="196">
        <v>640</v>
      </c>
      <c r="G35" s="197" t="s">
        <v>226</v>
      </c>
      <c r="H35" s="198"/>
      <c r="I35" s="199">
        <v>28180640</v>
      </c>
      <c r="J35" s="168"/>
      <c r="K35" s="168"/>
      <c r="L35" s="168"/>
      <c r="M35" s="51"/>
      <c r="N35" s="167" t="str">
        <f t="shared" si="14"/>
        <v>0</v>
      </c>
      <c r="O35" s="167" t="str">
        <f t="shared" si="15"/>
        <v>8000</v>
      </c>
      <c r="P35" s="167" t="str">
        <f t="shared" si="17"/>
        <v>100</v>
      </c>
      <c r="Q35" s="167" t="str">
        <f t="shared" si="18"/>
        <v>8100</v>
      </c>
      <c r="R35" s="167" t="str">
        <f t="shared" si="19"/>
        <v>8000</v>
      </c>
      <c r="S35" s="167" t="str">
        <f t="shared" si="20"/>
        <v>0</v>
      </c>
      <c r="T35" s="167" t="str">
        <f t="shared" si="21"/>
        <v>8100</v>
      </c>
      <c r="U35" s="167" t="str">
        <f t="shared" si="22"/>
        <v>8100</v>
      </c>
      <c r="V35" s="167" t="str">
        <f>V34</f>
        <v>FEFF</v>
      </c>
      <c r="W35" s="167" t="str">
        <f>W34</f>
        <v>80</v>
      </c>
      <c r="X35" s="167" t="str">
        <f>X34</f>
        <v>4080</v>
      </c>
      <c r="Y35" s="167" t="str">
        <f>DEC2HEX(Y17)</f>
        <v>10000</v>
      </c>
      <c r="Z35" s="175" t="str">
        <f>""&amp;DEC2HEX(A64)&amp;"|"&amp;DEC2HEX(A66)&amp;""</f>
        <v>0|40000000</v>
      </c>
      <c r="AA35" s="167"/>
      <c r="AE35" s="168"/>
      <c r="AF35" s="168"/>
      <c r="AG35" s="168"/>
      <c r="AH35" s="168"/>
      <c r="AP35" s="168"/>
      <c r="AQ35" s="168"/>
      <c r="AR35" s="168"/>
      <c r="AS35" s="168"/>
      <c r="AT35" s="168"/>
      <c r="AU35" s="168"/>
      <c r="AV35" s="168"/>
      <c r="AW35" s="168"/>
      <c r="AX35" s="168"/>
      <c r="AY35" s="168"/>
      <c r="AZ35" s="168"/>
      <c r="BA35" s="168"/>
      <c r="BB35" s="168"/>
      <c r="BC35" s="168"/>
      <c r="BD35" s="168"/>
      <c r="BE35" s="168"/>
      <c r="BF35" s="168"/>
    </row>
    <row r="36" spans="1:1024" ht="31.5">
      <c r="A36" s="43" t="s">
        <v>52</v>
      </c>
      <c r="B36" s="43" t="s">
        <v>803</v>
      </c>
      <c r="C36" s="196" t="str">
        <f t="shared" si="12"/>
        <v>6</v>
      </c>
      <c r="D36" s="196" t="str">
        <f t="shared" si="16"/>
        <v>0</v>
      </c>
      <c r="E36" s="196" t="str">
        <f t="shared" si="13"/>
        <v>D</v>
      </c>
      <c r="F36" s="196">
        <v>680</v>
      </c>
      <c r="G36" s="197" t="s">
        <v>226</v>
      </c>
      <c r="H36" s="198"/>
      <c r="I36" s="199" t="s">
        <v>821</v>
      </c>
      <c r="J36" s="168"/>
      <c r="K36" s="168"/>
      <c r="L36" s="168"/>
      <c r="M36" s="51"/>
      <c r="N36" s="167" t="str">
        <f t="shared" si="14"/>
        <v>0</v>
      </c>
      <c r="O36" s="167" t="str">
        <f t="shared" si="15"/>
        <v>8000</v>
      </c>
      <c r="P36" s="167" t="str">
        <f t="shared" si="17"/>
        <v>100</v>
      </c>
      <c r="Q36" s="167" t="str">
        <f t="shared" si="18"/>
        <v>8100</v>
      </c>
      <c r="R36" s="167" t="str">
        <f t="shared" si="19"/>
        <v>8000</v>
      </c>
      <c r="S36" s="167" t="str">
        <f t="shared" si="20"/>
        <v>0</v>
      </c>
      <c r="T36" s="167" t="str">
        <f t="shared" si="21"/>
        <v>8100</v>
      </c>
      <c r="U36" s="167" t="str">
        <f t="shared" si="22"/>
        <v>8100</v>
      </c>
      <c r="V36" s="167" t="str">
        <f>V35</f>
        <v>FEFF</v>
      </c>
      <c r="W36" s="167" t="str">
        <f>W35</f>
        <v>80</v>
      </c>
      <c r="X36" s="167" t="str">
        <f>X35</f>
        <v>4080</v>
      </c>
      <c r="Y36" s="167" t="str">
        <f>DEC2HEX(Y18)</f>
        <v>10000</v>
      </c>
      <c r="Z36" s="167" t="str">
        <f>Z35</f>
        <v>0|40000000</v>
      </c>
      <c r="AA36" s="175" t="str">
        <f>""&amp;DEC2HEX(A60)&amp;"|"&amp;DEC2HEX(A62)&amp;""</f>
        <v>10200|10201</v>
      </c>
      <c r="AE36" s="168"/>
      <c r="AF36" s="168"/>
      <c r="AG36" s="168"/>
      <c r="AH36" s="168"/>
      <c r="AP36" s="168"/>
      <c r="AQ36" s="168"/>
      <c r="AR36" s="168"/>
      <c r="AS36" s="168"/>
      <c r="AT36" s="168"/>
      <c r="AU36" s="168"/>
      <c r="AV36" s="168"/>
      <c r="AW36" s="168"/>
      <c r="AX36" s="168"/>
      <c r="AY36" s="168"/>
      <c r="AZ36" s="168"/>
      <c r="BA36" s="168"/>
      <c r="BB36" s="168"/>
      <c r="BC36" s="168"/>
      <c r="BD36" s="168"/>
      <c r="BE36" s="168"/>
      <c r="BF36" s="168"/>
    </row>
    <row r="37" spans="1:1024" s="51" customFormat="1">
      <c r="E37" s="164"/>
      <c r="F37" s="164"/>
      <c r="K37" s="164"/>
      <c r="AE37" s="168"/>
      <c r="AF37" s="168"/>
      <c r="AG37" s="168"/>
      <c r="AH37" s="168"/>
      <c r="AP37" s="168"/>
      <c r="AQ37" s="168"/>
      <c r="AR37" s="168"/>
      <c r="AS37" s="168"/>
      <c r="AT37" s="168"/>
      <c r="AU37" s="168"/>
      <c r="AV37" s="168"/>
      <c r="AW37" s="168"/>
      <c r="AX37" s="168"/>
      <c r="AY37" s="168"/>
      <c r="AZ37" s="168"/>
      <c r="BA37" s="168"/>
      <c r="BB37" s="168"/>
      <c r="BC37" s="168"/>
      <c r="BD37" s="168"/>
      <c r="BE37" s="168"/>
      <c r="BF37" s="168"/>
      <c r="AMJ37" s="168"/>
    </row>
    <row r="38" spans="1:1024">
      <c r="AE38" s="168"/>
      <c r="AF38" s="168"/>
      <c r="AG38" s="168"/>
      <c r="AH38" s="168"/>
      <c r="AP38" s="168"/>
      <c r="AQ38" s="168"/>
      <c r="AR38" s="168"/>
      <c r="AS38" s="168"/>
      <c r="AT38" s="168"/>
      <c r="AU38" s="168"/>
      <c r="AV38" s="168"/>
      <c r="AW38" s="168"/>
      <c r="AX38" s="168"/>
      <c r="AY38" s="168"/>
      <c r="AZ38" s="168"/>
      <c r="BA38" s="168"/>
      <c r="BB38" s="168"/>
      <c r="BC38" s="168"/>
      <c r="BD38" s="168"/>
      <c r="BE38" s="168"/>
      <c r="BF38" s="168"/>
    </row>
    <row r="39" spans="1:1024">
      <c r="L39" s="168"/>
      <c r="AE39" s="168"/>
      <c r="AF39" s="168"/>
      <c r="AG39" s="168"/>
      <c r="AH39" s="168"/>
      <c r="AL39" s="168"/>
      <c r="AP39" s="168"/>
      <c r="AQ39" s="168"/>
      <c r="AR39" s="168"/>
      <c r="AS39" s="168"/>
      <c r="AT39" s="168"/>
      <c r="AU39" s="168"/>
      <c r="AV39" s="168"/>
      <c r="AW39" s="168"/>
      <c r="AX39" s="168"/>
      <c r="AY39" s="168"/>
      <c r="AZ39" s="168"/>
      <c r="BA39" s="168"/>
      <c r="BB39" s="168"/>
      <c r="BC39" s="168"/>
      <c r="BD39" s="168"/>
      <c r="BE39" s="168"/>
      <c r="BF39" s="168"/>
    </row>
    <row r="40" spans="1:1024">
      <c r="AE40" s="168"/>
      <c r="AF40" s="168"/>
      <c r="AG40" s="168"/>
      <c r="AH40" s="168"/>
      <c r="AL40" s="168"/>
      <c r="AP40" s="168"/>
      <c r="AQ40" s="168"/>
      <c r="AR40" s="168"/>
      <c r="AS40" s="168"/>
      <c r="AT40" s="168"/>
      <c r="AU40" s="168"/>
      <c r="AV40" s="168"/>
      <c r="AW40" s="168"/>
      <c r="AX40" s="168"/>
      <c r="AY40" s="168"/>
      <c r="AZ40" s="168"/>
      <c r="BA40" s="168"/>
      <c r="BB40" s="168"/>
      <c r="BC40" s="168"/>
      <c r="BD40" s="168"/>
      <c r="BE40" s="168"/>
      <c r="BF40" s="168"/>
    </row>
    <row r="41" spans="1:1024">
      <c r="A41" s="203">
        <v>0</v>
      </c>
      <c r="B41" s="203" t="s">
        <v>828</v>
      </c>
      <c r="AL41" s="168"/>
      <c r="AP41" s="168"/>
      <c r="AQ41" s="168"/>
      <c r="AR41" s="168"/>
      <c r="AS41" s="168"/>
      <c r="AT41" s="168"/>
      <c r="AU41" s="168"/>
      <c r="AV41" s="168"/>
      <c r="AW41" s="168"/>
      <c r="AX41" s="168"/>
      <c r="AY41" s="168"/>
      <c r="AZ41" s="168"/>
      <c r="BA41" s="168"/>
      <c r="BB41" s="168"/>
      <c r="BC41" s="168"/>
      <c r="BD41" s="168"/>
      <c r="BE41" s="168"/>
      <c r="BF41" s="168"/>
    </row>
    <row r="42" spans="1:1024">
      <c r="A42" s="204">
        <v>32768</v>
      </c>
      <c r="B42" s="203" t="s">
        <v>829</v>
      </c>
      <c r="AL42" s="168"/>
      <c r="AP42" s="168"/>
      <c r="AQ42" s="168"/>
      <c r="AR42" s="168"/>
      <c r="AS42" s="168"/>
      <c r="AT42" s="168"/>
      <c r="AU42" s="168"/>
      <c r="AV42" s="168"/>
      <c r="AW42" s="168"/>
      <c r="AX42" s="168"/>
      <c r="AY42" s="168"/>
      <c r="AZ42" s="168"/>
      <c r="BA42" s="168"/>
      <c r="BB42" s="168"/>
      <c r="BC42" s="168"/>
      <c r="BD42" s="168"/>
      <c r="BE42" s="168"/>
      <c r="BF42" s="168"/>
    </row>
    <row r="43" spans="1:1024">
      <c r="A43" s="204">
        <v>-256</v>
      </c>
      <c r="B43" s="203" t="s">
        <v>830</v>
      </c>
      <c r="AL43" s="168"/>
    </row>
    <row r="44" spans="1:1024">
      <c r="A44" s="204">
        <v>256</v>
      </c>
      <c r="B44" s="203" t="s">
        <v>831</v>
      </c>
      <c r="AL44" s="168"/>
    </row>
    <row r="45" spans="1:1024">
      <c r="A45" s="179"/>
      <c r="B45" s="179"/>
      <c r="AL45" s="168"/>
    </row>
    <row r="46" spans="1:1024">
      <c r="A46" s="205">
        <v>256</v>
      </c>
      <c r="B46" s="179" t="s">
        <v>832</v>
      </c>
      <c r="AL46" s="168"/>
    </row>
    <row r="47" spans="1:1024">
      <c r="A47" s="205" t="s">
        <v>34</v>
      </c>
      <c r="B47" s="179" t="s">
        <v>833</v>
      </c>
      <c r="AL47" s="168"/>
    </row>
    <row r="48" spans="1:1024">
      <c r="A48" s="179">
        <v>128</v>
      </c>
      <c r="B48" s="206" t="str">
        <f>SUBSTITUTE(B47,"_","")</f>
        <v>00000000000000000000000010000000</v>
      </c>
      <c r="AL48" s="168"/>
    </row>
    <row r="49" spans="1:38">
      <c r="A49" s="179"/>
      <c r="B49" s="206"/>
      <c r="AL49" s="168"/>
    </row>
    <row r="50" spans="1:38">
      <c r="A50" s="203">
        <f>Q8</f>
        <v>33024</v>
      </c>
      <c r="B50" s="203" t="s">
        <v>834</v>
      </c>
      <c r="AL50" s="168"/>
    </row>
    <row r="51" spans="1:38">
      <c r="A51" s="203" t="s">
        <v>38</v>
      </c>
      <c r="B51" s="203" t="s">
        <v>835</v>
      </c>
      <c r="AL51" s="168"/>
    </row>
    <row r="52" spans="1:38">
      <c r="A52" s="203">
        <v>16512</v>
      </c>
      <c r="B52" s="204" t="str">
        <f>SUBSTITUTE(B51,"_","")</f>
        <v>00000000000000000100000010000000</v>
      </c>
      <c r="AL52" s="168"/>
    </row>
    <row r="53" spans="1:38">
      <c r="A53" s="179"/>
      <c r="B53" s="179"/>
      <c r="AL53" s="168"/>
    </row>
    <row r="54" spans="1:38">
      <c r="A54" s="207">
        <f>A42</f>
        <v>32768</v>
      </c>
      <c r="B54" s="179" t="s">
        <v>836</v>
      </c>
      <c r="AL54" s="168"/>
    </row>
    <row r="55" spans="1:38">
      <c r="A55" s="179" t="s">
        <v>793</v>
      </c>
      <c r="B55" s="179" t="s">
        <v>837</v>
      </c>
      <c r="AL55" s="168"/>
    </row>
    <row r="56" spans="1:38">
      <c r="A56" s="179">
        <v>65536</v>
      </c>
      <c r="B56" s="206" t="str">
        <f>SUBSTITUTE(B55,"_","")</f>
        <v>00000000000000010000000000000000</v>
      </c>
      <c r="AL56" s="168"/>
    </row>
    <row r="57" spans="1:38">
      <c r="A57" s="179"/>
      <c r="B57" s="179"/>
    </row>
    <row r="58" spans="1:38">
      <c r="A58" s="203">
        <f>T11</f>
        <v>33024</v>
      </c>
      <c r="B58" s="203" t="s">
        <v>834</v>
      </c>
    </row>
    <row r="59" spans="1:38">
      <c r="A59" s="203" t="s">
        <v>838</v>
      </c>
      <c r="B59" s="203" t="s">
        <v>839</v>
      </c>
    </row>
    <row r="60" spans="1:38">
      <c r="A60" s="203">
        <v>66048</v>
      </c>
      <c r="B60" s="204" t="str">
        <f>SUBSTITUTE(B59,"_","")</f>
        <v>00000000000000010000001000000000</v>
      </c>
    </row>
    <row r="61" spans="1:38">
      <c r="A61" s="203" t="s">
        <v>840</v>
      </c>
      <c r="B61" s="203" t="s">
        <v>841</v>
      </c>
    </row>
    <row r="62" spans="1:38">
      <c r="A62" s="203">
        <v>66049</v>
      </c>
      <c r="B62" s="204" t="str">
        <f>SUBSTITUTE(B61,"_","")</f>
        <v>00000000000000010000001000000001</v>
      </c>
    </row>
    <row r="63" spans="1:38">
      <c r="A63" s="179"/>
      <c r="B63" s="179"/>
    </row>
    <row r="64" spans="1:38">
      <c r="A64" s="179">
        <f>S10</f>
        <v>0</v>
      </c>
      <c r="B64" s="179" t="s">
        <v>842</v>
      </c>
    </row>
    <row r="65" spans="1:13">
      <c r="A65" s="179" t="s">
        <v>843</v>
      </c>
      <c r="B65" s="179" t="s">
        <v>844</v>
      </c>
    </row>
    <row r="66" spans="1:13">
      <c r="A66" s="179">
        <v>1073741824</v>
      </c>
      <c r="B66" s="206" t="str">
        <f>SUBSTITUTE(B65,"_","")</f>
        <v>1000000000000000000000000000000</v>
      </c>
    </row>
    <row r="69" spans="1:13">
      <c r="M69" s="199">
        <v>10040280</v>
      </c>
    </row>
  </sheetData>
  <mergeCells count="3">
    <mergeCell ref="AG4:AH4"/>
    <mergeCell ref="AI4:AJ4"/>
    <mergeCell ref="AL4:AN4"/>
  </mergeCell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
  <sheetViews>
    <sheetView zoomScaleNormal="100" workbookViewId="0">
      <selection activeCell="A7" activeCellId="1" sqref="E3:E38 A7"/>
    </sheetView>
  </sheetViews>
  <sheetFormatPr defaultRowHeight="15.75"/>
  <cols>
    <col min="1" max="1" width="8.25" style="30"/>
    <col min="2" max="2" width="13.125" style="30"/>
    <col min="3" max="3" width="10.375" style="30"/>
    <col min="4" max="4" width="13" style="30"/>
    <col min="5" max="5" width="16.875" style="30"/>
    <col min="6" max="6" width="7.5" style="30"/>
    <col min="7" max="7" width="8" style="30"/>
    <col min="8" max="8" width="11.125" style="30"/>
    <col min="9" max="10" width="8.125" style="30"/>
    <col min="11" max="12" width="16.75" style="30"/>
    <col min="13" max="14" width="8.25" style="30"/>
    <col min="15" max="15" width="17.375" style="30"/>
    <col min="16" max="1025" width="8.25" style="30"/>
  </cols>
  <sheetData>
    <row r="1" spans="1:47">
      <c r="A1" s="31" t="s">
        <v>86</v>
      </c>
      <c r="B1" s="31"/>
      <c r="C1" s="31"/>
      <c r="D1" s="31"/>
      <c r="E1" s="31" t="s">
        <v>167</v>
      </c>
      <c r="F1" s="31"/>
      <c r="G1" s="31"/>
      <c r="H1" s="32"/>
      <c r="I1" s="32"/>
      <c r="J1" s="32"/>
      <c r="K1" s="32"/>
      <c r="L1" s="32"/>
      <c r="M1" s="33"/>
      <c r="N1" s="33"/>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row>
    <row r="2" spans="1:47" ht="31.5">
      <c r="A2" s="31"/>
      <c r="B2" s="31"/>
      <c r="C2" s="31"/>
      <c r="D2" s="31"/>
      <c r="E2" s="31" t="s">
        <v>168</v>
      </c>
      <c r="F2" s="31" t="s">
        <v>2</v>
      </c>
      <c r="G2" s="31" t="s">
        <v>169</v>
      </c>
      <c r="H2" s="31" t="s">
        <v>170</v>
      </c>
      <c r="I2" s="32" t="s">
        <v>171</v>
      </c>
      <c r="J2" s="32" t="s">
        <v>172</v>
      </c>
      <c r="K2" s="32"/>
      <c r="L2" s="32"/>
      <c r="M2" s="33"/>
      <c r="N2" s="33"/>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row>
    <row r="3" spans="1:47" ht="31.5">
      <c r="A3" s="31"/>
      <c r="B3" s="31"/>
      <c r="C3" s="31"/>
      <c r="D3" s="31"/>
      <c r="E3" s="31" t="s">
        <v>173</v>
      </c>
      <c r="F3" s="31" t="s">
        <v>2</v>
      </c>
      <c r="G3" s="31" t="s">
        <v>169</v>
      </c>
      <c r="H3" s="31" t="s">
        <v>170</v>
      </c>
      <c r="I3" s="32" t="s">
        <v>171</v>
      </c>
      <c r="J3" s="32"/>
      <c r="K3" s="32" t="s">
        <v>174</v>
      </c>
      <c r="L3" s="32"/>
      <c r="M3" s="33"/>
      <c r="N3" s="33"/>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row>
    <row r="4" spans="1:47">
      <c r="A4" s="31"/>
      <c r="B4" s="31"/>
      <c r="C4" s="31"/>
      <c r="D4" s="31"/>
      <c r="E4" s="31" t="s">
        <v>175</v>
      </c>
      <c r="F4" s="31" t="s">
        <v>2</v>
      </c>
      <c r="G4" s="31" t="s">
        <v>169</v>
      </c>
      <c r="H4" s="31"/>
      <c r="I4" s="32"/>
      <c r="J4" s="32"/>
      <c r="K4" s="32" t="s">
        <v>174</v>
      </c>
      <c r="L4" s="32"/>
      <c r="M4" s="33"/>
      <c r="N4" s="33"/>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row>
    <row r="5" spans="1:47" ht="47.25">
      <c r="A5" s="31"/>
      <c r="B5" s="31"/>
      <c r="C5" s="31"/>
      <c r="D5" s="31"/>
      <c r="E5" s="31"/>
      <c r="F5" s="31"/>
      <c r="G5" s="31"/>
      <c r="H5" s="32"/>
      <c r="I5" s="32"/>
      <c r="J5" s="32"/>
      <c r="K5" s="32" t="str">
        <f>"-"&amp;2^15&amp;"&lt;VAL&lt;"&amp;2^16</f>
        <v>-32768&lt;VAL&lt;65536</v>
      </c>
      <c r="L5" s="32" t="str">
        <f>"-"&amp;2^15&amp;"&lt;VAL&lt;"&amp;2^16</f>
        <v>-32768&lt;VAL&lt;65536</v>
      </c>
      <c r="O5" s="33" t="s">
        <v>176</v>
      </c>
      <c r="P5" s="31" t="s">
        <v>177</v>
      </c>
      <c r="Q5" s="31" t="s">
        <v>178</v>
      </c>
      <c r="R5" s="31" t="s">
        <v>179</v>
      </c>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row>
    <row r="6" spans="1:47" ht="47.25">
      <c r="A6" s="34" t="s">
        <v>180</v>
      </c>
      <c r="B6" s="35" t="s">
        <v>181</v>
      </c>
      <c r="C6" s="36" t="s">
        <v>182</v>
      </c>
      <c r="D6" s="37" t="s">
        <v>183</v>
      </c>
      <c r="E6" s="37" t="s">
        <v>184</v>
      </c>
      <c r="F6" s="37" t="s">
        <v>185</v>
      </c>
      <c r="G6" s="37" t="s">
        <v>180</v>
      </c>
      <c r="H6" s="38" t="s">
        <v>186</v>
      </c>
      <c r="I6" s="38" t="s">
        <v>187</v>
      </c>
      <c r="J6" s="38" t="s">
        <v>188</v>
      </c>
      <c r="K6" s="38" t="s">
        <v>189</v>
      </c>
      <c r="L6" s="38" t="s">
        <v>190</v>
      </c>
      <c r="M6" s="39" t="s">
        <v>191</v>
      </c>
      <c r="N6" s="39" t="s">
        <v>192</v>
      </c>
      <c r="O6" s="40" t="s">
        <v>193</v>
      </c>
      <c r="P6" s="37" t="s">
        <v>194</v>
      </c>
      <c r="Q6" s="41" t="s">
        <v>195</v>
      </c>
      <c r="R6" s="37" t="s">
        <v>196</v>
      </c>
      <c r="S6" s="42" t="s">
        <v>197</v>
      </c>
      <c r="T6" s="43" t="s">
        <v>198</v>
      </c>
      <c r="U6" s="43" t="s">
        <v>199</v>
      </c>
      <c r="V6" s="43" t="s">
        <v>200</v>
      </c>
      <c r="W6" s="43" t="s">
        <v>201</v>
      </c>
      <c r="X6" s="43" t="s">
        <v>202</v>
      </c>
      <c r="Y6" s="43" t="s">
        <v>203</v>
      </c>
      <c r="Z6" s="43" t="s">
        <v>204</v>
      </c>
      <c r="AA6" s="43" t="s">
        <v>205</v>
      </c>
      <c r="AB6" s="43" t="s">
        <v>206</v>
      </c>
      <c r="AC6" s="43" t="s">
        <v>207</v>
      </c>
      <c r="AD6" s="43" t="s">
        <v>208</v>
      </c>
      <c r="AE6" s="43" t="s">
        <v>209</v>
      </c>
      <c r="AF6" s="43" t="s">
        <v>210</v>
      </c>
      <c r="AG6" s="43" t="s">
        <v>211</v>
      </c>
      <c r="AH6" s="43" t="s">
        <v>212</v>
      </c>
      <c r="AI6" s="43" t="s">
        <v>213</v>
      </c>
      <c r="AJ6" s="43" t="s">
        <v>214</v>
      </c>
      <c r="AK6" s="43" t="s">
        <v>215</v>
      </c>
      <c r="AL6" s="43" t="s">
        <v>216</v>
      </c>
      <c r="AM6" s="43" t="s">
        <v>217</v>
      </c>
      <c r="AN6" s="43" t="s">
        <v>218</v>
      </c>
      <c r="AO6" s="43" t="s">
        <v>219</v>
      </c>
      <c r="AP6" s="43" t="s">
        <v>220</v>
      </c>
      <c r="AQ6" s="43" t="s">
        <v>221</v>
      </c>
      <c r="AR6" s="43" t="s">
        <v>222</v>
      </c>
      <c r="AS6" s="43" t="s">
        <v>223</v>
      </c>
      <c r="AT6" s="43" t="s">
        <v>224</v>
      </c>
      <c r="AU6" s="43" t="s">
        <v>225</v>
      </c>
    </row>
    <row r="7" spans="1:47" ht="31.5">
      <c r="A7" s="44" t="str">
        <f>IF(AND(F7="B",IF(OR(G7="LD",G7="LDU",G7="ADD",G7="SUB",G7="AND",G7="OR",G7="XOR"),1,0)),CONCATENATE(G7,"#"),G7)</f>
        <v>NOP</v>
      </c>
      <c r="B7" s="43" t="s">
        <v>226</v>
      </c>
      <c r="C7" s="43" t="s">
        <v>227</v>
      </c>
      <c r="D7" s="43" t="str">
        <f>IF(F7="A",CONCATENATE(F7," ",G7," R",H7,",R",I7,",",J7),IF(F7="B",CONCATENATE(F7," ",G7," R",H7,",R",I7,",",K7),CONCATENATE(F7," ",G7," ",K7)))</f>
        <v>A NOP R0,R0,0</v>
      </c>
      <c r="E7" s="45"/>
      <c r="F7" s="44" t="s">
        <v>228</v>
      </c>
      <c r="G7" s="44" t="s">
        <v>68</v>
      </c>
      <c r="H7" s="46">
        <v>0</v>
      </c>
      <c r="I7" s="46">
        <v>0</v>
      </c>
      <c r="J7" s="46">
        <v>0</v>
      </c>
      <c r="K7" s="47" t="s">
        <v>226</v>
      </c>
      <c r="L7" s="47" t="s">
        <v>226</v>
      </c>
      <c r="M7" s="48">
        <v>0</v>
      </c>
      <c r="N7" s="43"/>
      <c r="O7" s="42">
        <v>0</v>
      </c>
      <c r="P7" s="42"/>
      <c r="Q7" s="43"/>
      <c r="R7" s="43"/>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
  <sheetViews>
    <sheetView zoomScaleNormal="100" workbookViewId="0">
      <selection activeCellId="1" sqref="E3:E38 A1"/>
    </sheetView>
  </sheetViews>
  <sheetFormatPr defaultRowHeight="15.75"/>
  <cols>
    <col min="1" max="1" width="8.25" style="30"/>
    <col min="2" max="2" width="13.125" style="30"/>
    <col min="3" max="3" width="10.375" style="30"/>
    <col min="4" max="4" width="13" style="30"/>
    <col min="5" max="5" width="16.875" style="30"/>
    <col min="6" max="6" width="7.5" style="30"/>
    <col min="7" max="7" width="8" style="30"/>
    <col min="8" max="8" width="11.125" style="30"/>
    <col min="9" max="10" width="8.125" style="30"/>
    <col min="11" max="12" width="16.75" style="30"/>
    <col min="13" max="14" width="8.25" style="30"/>
    <col min="15" max="15" width="17.375" style="30"/>
    <col min="16" max="1025" width="8.25" style="30"/>
  </cols>
  <sheetData>
    <row r="1" spans="1:47">
      <c r="A1" s="31" t="s">
        <v>229</v>
      </c>
      <c r="B1" s="31"/>
      <c r="C1" s="31"/>
      <c r="D1" s="31"/>
      <c r="E1" s="31" t="s">
        <v>167</v>
      </c>
      <c r="F1" s="31"/>
      <c r="G1" s="31"/>
      <c r="H1" s="32"/>
      <c r="I1" s="32"/>
      <c r="J1" s="32"/>
      <c r="K1" s="32"/>
      <c r="L1" s="32"/>
      <c r="M1" s="33"/>
      <c r="N1" s="33"/>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row>
    <row r="2" spans="1:47" ht="31.5">
      <c r="A2" s="31"/>
      <c r="B2" s="31"/>
      <c r="C2" s="31"/>
      <c r="D2" s="31"/>
      <c r="E2" s="31" t="s">
        <v>168</v>
      </c>
      <c r="F2" s="31" t="s">
        <v>2</v>
      </c>
      <c r="G2" s="31" t="s">
        <v>169</v>
      </c>
      <c r="H2" s="31" t="s">
        <v>170</v>
      </c>
      <c r="I2" s="32" t="s">
        <v>171</v>
      </c>
      <c r="J2" s="32" t="s">
        <v>172</v>
      </c>
      <c r="K2" s="32"/>
      <c r="L2" s="32"/>
      <c r="M2" s="33"/>
      <c r="N2" s="33"/>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row>
    <row r="3" spans="1:47" ht="31.5">
      <c r="A3" s="31"/>
      <c r="B3" s="31"/>
      <c r="C3" s="31"/>
      <c r="D3" s="31"/>
      <c r="E3" s="31" t="s">
        <v>173</v>
      </c>
      <c r="F3" s="31" t="s">
        <v>2</v>
      </c>
      <c r="G3" s="31" t="s">
        <v>169</v>
      </c>
      <c r="H3" s="31" t="s">
        <v>170</v>
      </c>
      <c r="I3" s="32" t="s">
        <v>171</v>
      </c>
      <c r="J3" s="32"/>
      <c r="K3" s="32" t="s">
        <v>174</v>
      </c>
      <c r="L3" s="32"/>
      <c r="M3" s="33"/>
      <c r="N3" s="33"/>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row>
    <row r="4" spans="1:47">
      <c r="A4" s="31"/>
      <c r="B4" s="31"/>
      <c r="C4" s="31"/>
      <c r="D4" s="31"/>
      <c r="E4" s="31" t="s">
        <v>175</v>
      </c>
      <c r="F4" s="31" t="s">
        <v>2</v>
      </c>
      <c r="G4" s="31" t="s">
        <v>169</v>
      </c>
      <c r="H4" s="31"/>
      <c r="I4" s="32"/>
      <c r="J4" s="32"/>
      <c r="K4" s="32" t="s">
        <v>174</v>
      </c>
      <c r="L4" s="32"/>
      <c r="M4" s="33"/>
      <c r="N4" s="33"/>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row>
    <row r="5" spans="1:47" ht="47.25">
      <c r="A5" s="31"/>
      <c r="B5" s="31"/>
      <c r="C5" s="31"/>
      <c r="D5" s="31"/>
      <c r="E5" s="31"/>
      <c r="F5" s="31"/>
      <c r="G5" s="31"/>
      <c r="H5" s="32"/>
      <c r="I5" s="32"/>
      <c r="J5" s="32"/>
      <c r="K5" s="32" t="str">
        <f>"-"&amp;2^15&amp;"&lt;VAL&lt;"&amp;2^16</f>
        <v>-32768&lt;VAL&lt;65536</v>
      </c>
      <c r="L5" s="32" t="str">
        <f>"-"&amp;2^15&amp;"&lt;VAL&lt;"&amp;2^16</f>
        <v>-32768&lt;VAL&lt;65536</v>
      </c>
      <c r="O5" s="33" t="s">
        <v>176</v>
      </c>
      <c r="P5" s="31" t="s">
        <v>177</v>
      </c>
      <c r="Q5" s="31" t="s">
        <v>178</v>
      </c>
      <c r="R5" s="31" t="s">
        <v>179</v>
      </c>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row>
    <row r="6" spans="1:47" ht="47.25">
      <c r="A6" s="34" t="s">
        <v>180</v>
      </c>
      <c r="B6" s="35" t="s">
        <v>181</v>
      </c>
      <c r="C6" s="36" t="s">
        <v>182</v>
      </c>
      <c r="D6" s="37" t="s">
        <v>183</v>
      </c>
      <c r="E6" s="37" t="s">
        <v>184</v>
      </c>
      <c r="F6" s="37" t="s">
        <v>185</v>
      </c>
      <c r="G6" s="37" t="s">
        <v>180</v>
      </c>
      <c r="H6" s="38" t="s">
        <v>186</v>
      </c>
      <c r="I6" s="38" t="s">
        <v>187</v>
      </c>
      <c r="J6" s="38" t="s">
        <v>188</v>
      </c>
      <c r="K6" s="38" t="s">
        <v>189</v>
      </c>
      <c r="L6" s="38" t="s">
        <v>190</v>
      </c>
      <c r="M6" s="39" t="s">
        <v>191</v>
      </c>
      <c r="N6" s="39" t="s">
        <v>192</v>
      </c>
      <c r="O6" s="40" t="s">
        <v>193</v>
      </c>
      <c r="P6" s="37" t="s">
        <v>194</v>
      </c>
      <c r="Q6" s="41" t="s">
        <v>195</v>
      </c>
      <c r="R6" s="37" t="s">
        <v>196</v>
      </c>
      <c r="S6" s="42" t="s">
        <v>197</v>
      </c>
      <c r="T6" s="43" t="s">
        <v>198</v>
      </c>
      <c r="U6" s="43" t="s">
        <v>199</v>
      </c>
      <c r="V6" s="43" t="s">
        <v>200</v>
      </c>
      <c r="W6" s="43" t="s">
        <v>201</v>
      </c>
      <c r="X6" s="43" t="s">
        <v>202</v>
      </c>
      <c r="Y6" s="43" t="s">
        <v>203</v>
      </c>
      <c r="Z6" s="43" t="s">
        <v>204</v>
      </c>
      <c r="AA6" s="43" t="s">
        <v>205</v>
      </c>
      <c r="AB6" s="43" t="s">
        <v>206</v>
      </c>
      <c r="AC6" s="43" t="s">
        <v>207</v>
      </c>
      <c r="AD6" s="43" t="s">
        <v>208</v>
      </c>
      <c r="AE6" s="43" t="s">
        <v>209</v>
      </c>
      <c r="AF6" s="43" t="s">
        <v>210</v>
      </c>
      <c r="AG6" s="43" t="s">
        <v>211</v>
      </c>
      <c r="AH6" s="43" t="s">
        <v>212</v>
      </c>
      <c r="AI6" s="43" t="s">
        <v>213</v>
      </c>
      <c r="AJ6" s="43" t="s">
        <v>214</v>
      </c>
      <c r="AK6" s="43" t="s">
        <v>215</v>
      </c>
      <c r="AL6" s="43" t="s">
        <v>216</v>
      </c>
      <c r="AM6" s="43" t="s">
        <v>217</v>
      </c>
      <c r="AN6" s="43" t="s">
        <v>218</v>
      </c>
      <c r="AO6" s="43" t="s">
        <v>219</v>
      </c>
      <c r="AP6" s="43" t="s">
        <v>220</v>
      </c>
      <c r="AQ6" s="43" t="s">
        <v>221</v>
      </c>
      <c r="AR6" s="43" t="s">
        <v>222</v>
      </c>
      <c r="AS6" s="43" t="s">
        <v>223</v>
      </c>
      <c r="AT6" s="43" t="s">
        <v>224</v>
      </c>
      <c r="AU6" s="43" t="s">
        <v>225</v>
      </c>
    </row>
    <row r="7" spans="1:47" ht="31.5">
      <c r="A7" s="44" t="str">
        <f>IF(AND(F7="B",IF(OR(G7="LD",G7="LDU",G7="ADD",G7="SUB",G7="AND",G7="OR",G7="XOR"),1,0)),CONCATENATE(G7,"#"),G7)</f>
        <v>NOP</v>
      </c>
      <c r="B7" s="43" t="s">
        <v>226</v>
      </c>
      <c r="C7" s="43" t="s">
        <v>227</v>
      </c>
      <c r="D7" s="43" t="str">
        <f>IF(F7="A",CONCATENATE(F7," ",G7," R",H7,",R",I7,",",J7),IF(F7="B",CONCATENATE(F7," ",G7," R",H7,",R",I7,",",K7),CONCATENATE(F7," ",G7," ",K7)))</f>
        <v>A NOP R0,R0,0</v>
      </c>
      <c r="E7" s="45"/>
      <c r="F7" s="44" t="s">
        <v>228</v>
      </c>
      <c r="G7" s="44" t="s">
        <v>68</v>
      </c>
      <c r="H7" s="46">
        <v>0</v>
      </c>
      <c r="I7" s="46">
        <v>0</v>
      </c>
      <c r="J7" s="46">
        <v>0</v>
      </c>
      <c r="K7" s="47" t="s">
        <v>226</v>
      </c>
      <c r="L7" s="47" t="s">
        <v>226</v>
      </c>
      <c r="M7" s="48">
        <v>0</v>
      </c>
      <c r="N7" s="43"/>
      <c r="O7" s="42">
        <v>0</v>
      </c>
      <c r="P7" s="42"/>
      <c r="Q7" s="43"/>
      <c r="R7" s="43"/>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
  <sheetViews>
    <sheetView zoomScaleNormal="100" workbookViewId="0">
      <selection activeCell="A2" activeCellId="1" sqref="E3:E38 A2"/>
    </sheetView>
  </sheetViews>
  <sheetFormatPr defaultRowHeight="15.75"/>
  <cols>
    <col min="1" max="1" width="8.25" style="30"/>
    <col min="2" max="2" width="13.125" style="30"/>
    <col min="3" max="3" width="10.375" style="30"/>
    <col min="4" max="4" width="13" style="30"/>
    <col min="5" max="5" width="16.875" style="30"/>
    <col min="6" max="6" width="7.5" style="30"/>
    <col min="7" max="7" width="8" style="30"/>
    <col min="8" max="8" width="11.125" style="30"/>
    <col min="9" max="10" width="8.125" style="30"/>
    <col min="11" max="12" width="16.75" style="30"/>
    <col min="13" max="14" width="8.25" style="30"/>
    <col min="15" max="15" width="17.375" style="30"/>
    <col min="16" max="1025" width="8.25" style="30"/>
  </cols>
  <sheetData>
    <row r="1" spans="1:47" ht="31.5">
      <c r="A1" s="31" t="s">
        <v>230</v>
      </c>
      <c r="B1" s="31"/>
      <c r="C1" s="31"/>
      <c r="D1" s="31"/>
      <c r="E1" s="31" t="s">
        <v>167</v>
      </c>
      <c r="F1" s="31"/>
      <c r="G1" s="31"/>
      <c r="H1" s="32"/>
      <c r="I1" s="32"/>
      <c r="J1" s="32"/>
      <c r="K1" s="32"/>
      <c r="L1" s="32"/>
      <c r="M1" s="33"/>
      <c r="N1" s="33"/>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row>
    <row r="2" spans="1:47" ht="126">
      <c r="A2" s="49" t="s">
        <v>231</v>
      </c>
      <c r="B2" s="31"/>
      <c r="C2" s="31"/>
      <c r="D2" s="31"/>
      <c r="E2" s="31" t="s">
        <v>168</v>
      </c>
      <c r="F2" s="31" t="s">
        <v>2</v>
      </c>
      <c r="G2" s="31" t="s">
        <v>169</v>
      </c>
      <c r="H2" s="31" t="s">
        <v>170</v>
      </c>
      <c r="I2" s="32" t="s">
        <v>171</v>
      </c>
      <c r="J2" s="32" t="s">
        <v>172</v>
      </c>
      <c r="K2" s="32"/>
      <c r="L2" s="32"/>
      <c r="M2" s="33"/>
      <c r="N2" s="33"/>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row>
    <row r="3" spans="1:47" ht="31.5">
      <c r="A3" s="31"/>
      <c r="B3" s="31"/>
      <c r="C3" s="31"/>
      <c r="D3" s="31"/>
      <c r="E3" s="31" t="s">
        <v>173</v>
      </c>
      <c r="F3" s="31" t="s">
        <v>2</v>
      </c>
      <c r="G3" s="31" t="s">
        <v>169</v>
      </c>
      <c r="H3" s="31" t="s">
        <v>170</v>
      </c>
      <c r="I3" s="32" t="s">
        <v>171</v>
      </c>
      <c r="J3" s="32"/>
      <c r="K3" s="32" t="s">
        <v>174</v>
      </c>
      <c r="L3" s="32"/>
      <c r="M3" s="33"/>
      <c r="N3" s="33"/>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row>
    <row r="4" spans="1:47">
      <c r="A4" s="31"/>
      <c r="B4" s="31"/>
      <c r="C4" s="31"/>
      <c r="D4" s="31"/>
      <c r="E4" s="31" t="s">
        <v>175</v>
      </c>
      <c r="F4" s="31" t="s">
        <v>2</v>
      </c>
      <c r="G4" s="31" t="s">
        <v>169</v>
      </c>
      <c r="H4" s="31"/>
      <c r="I4" s="32"/>
      <c r="J4" s="32"/>
      <c r="K4" s="32" t="s">
        <v>174</v>
      </c>
      <c r="L4" s="32"/>
      <c r="M4" s="33"/>
      <c r="N4" s="33"/>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row>
    <row r="5" spans="1:47" ht="47.25">
      <c r="A5" s="31"/>
      <c r="B5" s="31"/>
      <c r="C5" s="31"/>
      <c r="D5" s="31"/>
      <c r="E5" s="31"/>
      <c r="F5" s="31"/>
      <c r="G5" s="31"/>
      <c r="H5" s="32"/>
      <c r="I5" s="32"/>
      <c r="J5" s="32"/>
      <c r="K5" s="32" t="str">
        <f>"-"&amp;2^15&amp;"&lt;VAL&lt;"&amp;2^16</f>
        <v>-32768&lt;VAL&lt;65536</v>
      </c>
      <c r="L5" s="32" t="str">
        <f>"-"&amp;2^15&amp;"&lt;VAL&lt;"&amp;2^16</f>
        <v>-32768&lt;VAL&lt;65536</v>
      </c>
      <c r="O5" s="33" t="s">
        <v>176</v>
      </c>
      <c r="P5" s="31" t="s">
        <v>177</v>
      </c>
      <c r="Q5" s="31" t="s">
        <v>178</v>
      </c>
      <c r="R5" s="31" t="s">
        <v>179</v>
      </c>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row>
    <row r="6" spans="1:47" ht="47.25">
      <c r="A6" s="34" t="s">
        <v>180</v>
      </c>
      <c r="B6" s="35" t="s">
        <v>181</v>
      </c>
      <c r="C6" s="36" t="s">
        <v>182</v>
      </c>
      <c r="D6" s="37" t="s">
        <v>183</v>
      </c>
      <c r="E6" s="37" t="s">
        <v>184</v>
      </c>
      <c r="F6" s="37" t="s">
        <v>185</v>
      </c>
      <c r="G6" s="37" t="s">
        <v>180</v>
      </c>
      <c r="H6" s="38" t="s">
        <v>186</v>
      </c>
      <c r="I6" s="38" t="s">
        <v>187</v>
      </c>
      <c r="J6" s="38" t="s">
        <v>188</v>
      </c>
      <c r="K6" s="38" t="s">
        <v>189</v>
      </c>
      <c r="L6" s="38" t="s">
        <v>190</v>
      </c>
      <c r="M6" s="39" t="s">
        <v>191</v>
      </c>
      <c r="N6" s="39" t="s">
        <v>192</v>
      </c>
      <c r="O6" s="40" t="s">
        <v>193</v>
      </c>
      <c r="P6" s="37" t="s">
        <v>194</v>
      </c>
      <c r="Q6" s="41" t="s">
        <v>195</v>
      </c>
      <c r="R6" s="37" t="s">
        <v>196</v>
      </c>
      <c r="S6" s="42" t="s">
        <v>197</v>
      </c>
      <c r="T6" s="43" t="s">
        <v>198</v>
      </c>
      <c r="U6" s="43" t="s">
        <v>199</v>
      </c>
      <c r="V6" s="43" t="s">
        <v>200</v>
      </c>
      <c r="W6" s="43" t="s">
        <v>201</v>
      </c>
      <c r="X6" s="43" t="s">
        <v>202</v>
      </c>
      <c r="Y6" s="43" t="s">
        <v>203</v>
      </c>
      <c r="Z6" s="43" t="s">
        <v>204</v>
      </c>
      <c r="AA6" s="43" t="s">
        <v>205</v>
      </c>
      <c r="AB6" s="43" t="s">
        <v>206</v>
      </c>
      <c r="AC6" s="43" t="s">
        <v>207</v>
      </c>
      <c r="AD6" s="43" t="s">
        <v>208</v>
      </c>
      <c r="AE6" s="43" t="s">
        <v>209</v>
      </c>
      <c r="AF6" s="43" t="s">
        <v>210</v>
      </c>
      <c r="AG6" s="43" t="s">
        <v>211</v>
      </c>
      <c r="AH6" s="43" t="s">
        <v>212</v>
      </c>
      <c r="AI6" s="43" t="s">
        <v>213</v>
      </c>
      <c r="AJ6" s="43" t="s">
        <v>214</v>
      </c>
      <c r="AK6" s="43" t="s">
        <v>215</v>
      </c>
      <c r="AL6" s="43" t="s">
        <v>216</v>
      </c>
      <c r="AM6" s="43" t="s">
        <v>217</v>
      </c>
      <c r="AN6" s="43" t="s">
        <v>218</v>
      </c>
      <c r="AO6" s="43" t="s">
        <v>219</v>
      </c>
      <c r="AP6" s="43" t="s">
        <v>220</v>
      </c>
      <c r="AQ6" s="43" t="s">
        <v>221</v>
      </c>
      <c r="AR6" s="43" t="s">
        <v>222</v>
      </c>
      <c r="AS6" s="43" t="s">
        <v>223</v>
      </c>
      <c r="AT6" s="43" t="s">
        <v>224</v>
      </c>
      <c r="AU6" s="43" t="s">
        <v>225</v>
      </c>
    </row>
    <row r="7" spans="1:47" ht="31.5">
      <c r="A7" s="44" t="str">
        <f>IF(AND(F7="B",IF(OR(G7="LD",G7="LDU",G7="ADD",G7="SUB",G7="AND",G7="OR",G7="XOR"),1,0)),CONCATENATE(G7,"#"),G7)</f>
        <v>NOP</v>
      </c>
      <c r="B7" s="43" t="s">
        <v>226</v>
      </c>
      <c r="C7" s="43" t="s">
        <v>227</v>
      </c>
      <c r="D7" s="43" t="str">
        <f>IF(F7="A",CONCATENATE(F7," ",G7," R",H7,",R",I7,",",J7),IF(F7="B",CONCATENATE(F7," ",G7," R",H7,",R",I7,",",K7),CONCATENATE(F7," ",G7," ",K7)))</f>
        <v>A NOP R0,R0,0</v>
      </c>
      <c r="E7" s="45"/>
      <c r="F7" s="44" t="s">
        <v>228</v>
      </c>
      <c r="G7" s="44" t="s">
        <v>68</v>
      </c>
      <c r="H7" s="46">
        <v>0</v>
      </c>
      <c r="I7" s="46">
        <v>0</v>
      </c>
      <c r="J7" s="46">
        <v>0</v>
      </c>
      <c r="K7" s="47" t="s">
        <v>226</v>
      </c>
      <c r="L7" s="47" t="s">
        <v>226</v>
      </c>
      <c r="M7" s="48">
        <v>0</v>
      </c>
      <c r="N7" s="43"/>
      <c r="O7" s="42">
        <v>0</v>
      </c>
      <c r="P7" s="42"/>
      <c r="Q7" s="43"/>
      <c r="R7" s="43"/>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2"/>
  <sheetViews>
    <sheetView zoomScaleNormal="100" workbookViewId="0">
      <selection activeCell="A2" activeCellId="1" sqref="E3:E38 A2"/>
    </sheetView>
  </sheetViews>
  <sheetFormatPr defaultRowHeight="15.75"/>
  <cols>
    <col min="1" max="1" width="12.5"/>
    <col min="2" max="3" width="13.125"/>
    <col min="4" max="4" width="8.625"/>
    <col min="5" max="5" width="21.75"/>
    <col min="6" max="1025" width="8.625"/>
  </cols>
  <sheetData>
    <row r="1" spans="1:68">
      <c r="A1" t="s">
        <v>232</v>
      </c>
      <c r="E1" s="50" t="s">
        <v>233</v>
      </c>
      <c r="F1" s="51"/>
      <c r="G1" s="51"/>
      <c r="H1" s="51"/>
      <c r="I1" s="51"/>
      <c r="J1" s="51"/>
      <c r="K1" s="51"/>
      <c r="L1" s="51"/>
      <c r="M1" s="51"/>
      <c r="N1" s="51"/>
      <c r="O1" s="51"/>
      <c r="P1" s="51"/>
      <c r="Q1" s="51"/>
      <c r="R1" s="51"/>
      <c r="S1" s="51"/>
      <c r="T1" s="51"/>
      <c r="U1" s="51"/>
      <c r="V1" s="51"/>
      <c r="W1" s="51"/>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row>
    <row r="2" spans="1:68">
      <c r="A2" s="51" t="s">
        <v>180</v>
      </c>
      <c r="B2" s="51" t="s">
        <v>181</v>
      </c>
      <c r="C2" s="51" t="s">
        <v>234</v>
      </c>
      <c r="D2" s="51" t="s">
        <v>191</v>
      </c>
      <c r="E2" s="43" t="s">
        <v>193</v>
      </c>
      <c r="F2" s="43" t="s">
        <v>194</v>
      </c>
      <c r="G2" s="43" t="s">
        <v>195</v>
      </c>
      <c r="H2" s="43" t="s">
        <v>196</v>
      </c>
      <c r="I2" s="43" t="s">
        <v>197</v>
      </c>
      <c r="J2" s="43" t="s">
        <v>198</v>
      </c>
      <c r="K2" s="43" t="s">
        <v>199</v>
      </c>
      <c r="L2" s="43" t="s">
        <v>200</v>
      </c>
      <c r="M2" s="43" t="s">
        <v>201</v>
      </c>
      <c r="N2" s="43" t="s">
        <v>202</v>
      </c>
      <c r="O2" s="43" t="s">
        <v>203</v>
      </c>
      <c r="P2" s="43" t="s">
        <v>204</v>
      </c>
      <c r="Q2" s="43" t="s">
        <v>205</v>
      </c>
      <c r="R2" s="43" t="s">
        <v>206</v>
      </c>
      <c r="S2" s="43" t="s">
        <v>207</v>
      </c>
      <c r="T2" s="43" t="s">
        <v>208</v>
      </c>
      <c r="U2" s="43" t="s">
        <v>209</v>
      </c>
      <c r="V2" s="43" t="s">
        <v>210</v>
      </c>
      <c r="W2" s="43" t="s">
        <v>211</v>
      </c>
      <c r="X2" s="43" t="s">
        <v>212</v>
      </c>
      <c r="Y2" s="43" t="s">
        <v>213</v>
      </c>
      <c r="Z2" s="43" t="s">
        <v>214</v>
      </c>
      <c r="AA2" s="43" t="s">
        <v>215</v>
      </c>
      <c r="AB2" s="43" t="s">
        <v>216</v>
      </c>
      <c r="AC2" s="43" t="s">
        <v>217</v>
      </c>
      <c r="AD2" s="43" t="s">
        <v>218</v>
      </c>
      <c r="AE2" s="43" t="s">
        <v>219</v>
      </c>
      <c r="AF2" s="43" t="s">
        <v>220</v>
      </c>
      <c r="AG2" s="43" t="s">
        <v>221</v>
      </c>
      <c r="AH2" s="43" t="s">
        <v>222</v>
      </c>
      <c r="AI2" s="43" t="s">
        <v>223</v>
      </c>
      <c r="AJ2" s="43" t="s">
        <v>224</v>
      </c>
      <c r="AK2" s="52"/>
      <c r="AL2" s="52"/>
      <c r="AM2" s="52"/>
      <c r="AN2" s="52"/>
      <c r="AO2" s="52"/>
      <c r="AP2" s="52"/>
      <c r="AQ2" s="52"/>
      <c r="AR2" s="52"/>
      <c r="AS2" s="52"/>
      <c r="AT2" s="52"/>
      <c r="AU2" s="52"/>
      <c r="AV2" s="52"/>
      <c r="AW2" s="52"/>
      <c r="AX2" s="52"/>
      <c r="AY2" s="52"/>
      <c r="AZ2" s="52"/>
      <c r="BA2" s="52"/>
      <c r="BB2" s="52"/>
      <c r="BC2" s="52"/>
      <c r="BD2" s="52"/>
      <c r="BE2" s="52"/>
      <c r="BF2" s="52"/>
      <c r="BG2" s="52"/>
      <c r="BH2" s="52"/>
      <c r="BI2" s="52"/>
      <c r="BJ2" s="52"/>
      <c r="BK2" s="52"/>
      <c r="BL2" s="52"/>
      <c r="BM2" s="52"/>
      <c r="BN2" s="52"/>
      <c r="BO2" s="52"/>
      <c r="BP2" s="52"/>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B3"/>
  <sheetViews>
    <sheetView topLeftCell="D1" zoomScaleNormal="100" workbookViewId="0">
      <selection activeCell="E45" activeCellId="1" sqref="E3:E38 E45"/>
    </sheetView>
  </sheetViews>
  <sheetFormatPr defaultRowHeight="15.75"/>
  <cols>
    <col min="1" max="1" width="8.625"/>
    <col min="2" max="2" width="13.125"/>
    <col min="3" max="4" width="8.625"/>
    <col min="5" max="5" width="21.75"/>
    <col min="6" max="6" width="11.625"/>
    <col min="7" max="7" width="19.5"/>
    <col min="8" max="68" width="8.625"/>
    <col min="69" max="69" width="11.625"/>
    <col min="70" max="1025" width="8.625"/>
  </cols>
  <sheetData>
    <row r="1" spans="1:132">
      <c r="A1" t="s">
        <v>235</v>
      </c>
    </row>
    <row r="2" spans="1:132">
      <c r="E2" s="53" t="s">
        <v>236</v>
      </c>
      <c r="F2" s="50" t="s">
        <v>237</v>
      </c>
      <c r="G2" s="51" t="s">
        <v>238</v>
      </c>
      <c r="H2" s="51"/>
      <c r="I2" s="51"/>
      <c r="J2" s="51"/>
      <c r="K2" s="51"/>
      <c r="L2" s="51"/>
      <c r="M2" s="51"/>
      <c r="N2" s="51"/>
      <c r="O2" s="51"/>
      <c r="P2" s="51"/>
      <c r="Q2" s="51"/>
      <c r="R2" s="51"/>
      <c r="S2" s="51"/>
      <c r="T2" s="51"/>
      <c r="U2" s="51"/>
      <c r="V2" s="51"/>
      <c r="W2" s="51"/>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4" t="s">
        <v>237</v>
      </c>
    </row>
    <row r="3" spans="1:132">
      <c r="A3" s="51" t="s">
        <v>180</v>
      </c>
      <c r="B3" s="51" t="s">
        <v>181</v>
      </c>
      <c r="C3" s="51" t="s">
        <v>234</v>
      </c>
      <c r="D3" s="51" t="s">
        <v>191</v>
      </c>
      <c r="E3" s="44" t="s">
        <v>193</v>
      </c>
      <c r="F3" s="43" t="s">
        <v>194</v>
      </c>
      <c r="G3" s="43" t="s">
        <v>195</v>
      </c>
      <c r="H3" s="43" t="s">
        <v>196</v>
      </c>
      <c r="I3" s="43" t="s">
        <v>197</v>
      </c>
      <c r="J3" s="43" t="s">
        <v>198</v>
      </c>
      <c r="K3" s="43" t="s">
        <v>199</v>
      </c>
      <c r="L3" s="43" t="s">
        <v>200</v>
      </c>
      <c r="M3" s="43" t="s">
        <v>201</v>
      </c>
      <c r="N3" s="43" t="s">
        <v>202</v>
      </c>
      <c r="O3" s="43" t="s">
        <v>203</v>
      </c>
      <c r="P3" s="43" t="s">
        <v>204</v>
      </c>
      <c r="Q3" s="43" t="s">
        <v>205</v>
      </c>
      <c r="R3" s="43" t="s">
        <v>206</v>
      </c>
      <c r="S3" s="43" t="s">
        <v>207</v>
      </c>
      <c r="T3" s="43" t="s">
        <v>208</v>
      </c>
      <c r="U3" s="43" t="s">
        <v>209</v>
      </c>
      <c r="V3" s="43" t="s">
        <v>210</v>
      </c>
      <c r="W3" s="43" t="s">
        <v>211</v>
      </c>
      <c r="X3" s="43" t="s">
        <v>212</v>
      </c>
      <c r="Y3" s="43" t="s">
        <v>213</v>
      </c>
      <c r="Z3" s="43" t="s">
        <v>214</v>
      </c>
      <c r="AA3" s="43" t="s">
        <v>215</v>
      </c>
      <c r="AB3" s="43" t="s">
        <v>216</v>
      </c>
      <c r="AC3" s="43" t="s">
        <v>217</v>
      </c>
      <c r="AD3" s="43" t="s">
        <v>218</v>
      </c>
      <c r="AE3" s="43" t="s">
        <v>219</v>
      </c>
      <c r="AF3" s="43" t="s">
        <v>220</v>
      </c>
      <c r="AG3" s="43" t="s">
        <v>221</v>
      </c>
      <c r="AH3" s="43" t="s">
        <v>222</v>
      </c>
      <c r="AI3" s="43" t="s">
        <v>223</v>
      </c>
      <c r="AJ3" s="43" t="s">
        <v>224</v>
      </c>
      <c r="AK3" s="43" t="s">
        <v>225</v>
      </c>
      <c r="AL3" s="43" t="s">
        <v>239</v>
      </c>
      <c r="AM3" s="43" t="s">
        <v>240</v>
      </c>
      <c r="AN3" s="43" t="s">
        <v>241</v>
      </c>
      <c r="AO3" s="43" t="s">
        <v>242</v>
      </c>
      <c r="AP3" s="43" t="s">
        <v>243</v>
      </c>
      <c r="AQ3" s="43" t="s">
        <v>244</v>
      </c>
      <c r="AR3" s="43" t="s">
        <v>245</v>
      </c>
      <c r="AS3" s="43" t="s">
        <v>246</v>
      </c>
      <c r="AT3" s="43" t="s">
        <v>247</v>
      </c>
      <c r="AU3" s="43" t="s">
        <v>248</v>
      </c>
      <c r="AV3" s="43" t="s">
        <v>249</v>
      </c>
      <c r="AW3" s="43" t="s">
        <v>250</v>
      </c>
      <c r="AX3" s="43" t="s">
        <v>251</v>
      </c>
      <c r="AY3" s="43" t="s">
        <v>252</v>
      </c>
      <c r="AZ3" s="43" t="s">
        <v>253</v>
      </c>
      <c r="BA3" s="43" t="s">
        <v>254</v>
      </c>
      <c r="BB3" s="43" t="s">
        <v>255</v>
      </c>
      <c r="BC3" s="43" t="s">
        <v>256</v>
      </c>
      <c r="BD3" s="43" t="s">
        <v>257</v>
      </c>
      <c r="BE3" s="43" t="s">
        <v>258</v>
      </c>
      <c r="BF3" s="43" t="s">
        <v>259</v>
      </c>
      <c r="BG3" s="43" t="s">
        <v>260</v>
      </c>
      <c r="BH3" s="43" t="s">
        <v>261</v>
      </c>
      <c r="BI3" s="43" t="s">
        <v>262</v>
      </c>
      <c r="BJ3" s="43" t="s">
        <v>263</v>
      </c>
      <c r="BK3" s="43" t="s">
        <v>264</v>
      </c>
      <c r="BL3" s="43" t="s">
        <v>265</v>
      </c>
      <c r="BM3" s="43" t="s">
        <v>266</v>
      </c>
      <c r="BN3" s="43" t="s">
        <v>267</v>
      </c>
      <c r="BO3" s="48" t="s">
        <v>268</v>
      </c>
      <c r="BP3" s="43" t="s">
        <v>269</v>
      </c>
      <c r="BQ3" s="55" t="s">
        <v>270</v>
      </c>
      <c r="BR3" s="43" t="s">
        <v>271</v>
      </c>
      <c r="BS3" s="43" t="s">
        <v>272</v>
      </c>
      <c r="BT3" s="43" t="s">
        <v>273</v>
      </c>
      <c r="BU3" s="43" t="s">
        <v>274</v>
      </c>
      <c r="BV3" s="43" t="s">
        <v>275</v>
      </c>
      <c r="BW3" s="43" t="s">
        <v>276</v>
      </c>
      <c r="BX3" s="43" t="s">
        <v>277</v>
      </c>
      <c r="BY3" s="43" t="s">
        <v>278</v>
      </c>
      <c r="BZ3" s="43" t="s">
        <v>279</v>
      </c>
      <c r="CA3" s="43" t="s">
        <v>280</v>
      </c>
      <c r="CB3" s="43" t="s">
        <v>281</v>
      </c>
      <c r="CC3" s="43" t="s">
        <v>282</v>
      </c>
      <c r="CD3" s="43" t="s">
        <v>283</v>
      </c>
      <c r="CE3" s="43" t="s">
        <v>284</v>
      </c>
      <c r="CF3" s="43" t="s">
        <v>285</v>
      </c>
      <c r="CG3" s="43" t="s">
        <v>286</v>
      </c>
      <c r="CH3" s="43" t="s">
        <v>287</v>
      </c>
      <c r="CI3" s="43" t="s">
        <v>288</v>
      </c>
      <c r="CJ3" s="43" t="s">
        <v>289</v>
      </c>
      <c r="CK3" s="43" t="s">
        <v>290</v>
      </c>
      <c r="CL3" s="43" t="s">
        <v>291</v>
      </c>
      <c r="CM3" s="43" t="s">
        <v>292</v>
      </c>
      <c r="CN3" s="43" t="s">
        <v>293</v>
      </c>
      <c r="CO3" s="43" t="s">
        <v>294</v>
      </c>
      <c r="CP3" s="43" t="s">
        <v>295</v>
      </c>
      <c r="CQ3" s="43" t="s">
        <v>296</v>
      </c>
      <c r="CR3" s="43" t="s">
        <v>297</v>
      </c>
      <c r="CS3" s="43" t="s">
        <v>298</v>
      </c>
      <c r="CT3" s="43" t="s">
        <v>299</v>
      </c>
      <c r="CU3" s="43" t="s">
        <v>300</v>
      </c>
      <c r="CV3" s="43" t="s">
        <v>301</v>
      </c>
      <c r="CW3" s="43" t="s">
        <v>302</v>
      </c>
      <c r="CX3" s="43" t="s">
        <v>303</v>
      </c>
      <c r="CY3" s="43" t="s">
        <v>304</v>
      </c>
      <c r="CZ3" s="43" t="s">
        <v>305</v>
      </c>
      <c r="DA3" s="43" t="s">
        <v>306</v>
      </c>
      <c r="DB3" s="43" t="s">
        <v>307</v>
      </c>
      <c r="DC3" s="43" t="s">
        <v>308</v>
      </c>
      <c r="DD3" s="43" t="s">
        <v>309</v>
      </c>
      <c r="DE3" s="43" t="s">
        <v>310</v>
      </c>
      <c r="DF3" s="43" t="s">
        <v>311</v>
      </c>
      <c r="DG3" s="43" t="s">
        <v>312</v>
      </c>
      <c r="DH3" s="43" t="s">
        <v>313</v>
      </c>
      <c r="DI3" s="43" t="s">
        <v>314</v>
      </c>
      <c r="DJ3" s="43" t="s">
        <v>315</v>
      </c>
      <c r="DK3" s="43" t="s">
        <v>316</v>
      </c>
      <c r="DL3" s="43" t="s">
        <v>317</v>
      </c>
      <c r="DM3" s="43" t="s">
        <v>318</v>
      </c>
      <c r="DN3" s="43" t="s">
        <v>319</v>
      </c>
      <c r="DO3" s="43" t="s">
        <v>320</v>
      </c>
      <c r="DP3" s="43" t="s">
        <v>321</v>
      </c>
      <c r="DQ3" s="43" t="s">
        <v>322</v>
      </c>
      <c r="DR3" s="43" t="s">
        <v>323</v>
      </c>
      <c r="DS3" s="43" t="s">
        <v>324</v>
      </c>
      <c r="DT3" s="43" t="s">
        <v>325</v>
      </c>
      <c r="DU3" s="43" t="s">
        <v>326</v>
      </c>
      <c r="DV3" s="43" t="s">
        <v>327</v>
      </c>
      <c r="DW3" s="43" t="s">
        <v>328</v>
      </c>
      <c r="DX3" s="43" t="s">
        <v>329</v>
      </c>
      <c r="DY3" s="43" t="s">
        <v>330</v>
      </c>
      <c r="DZ3" s="43" t="s">
        <v>331</v>
      </c>
      <c r="EA3" s="43" t="s">
        <v>332</v>
      </c>
      <c r="EB3" s="43" t="s">
        <v>333</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
  <sheetViews>
    <sheetView zoomScaleNormal="100" workbookViewId="0">
      <selection activeCellId="1" sqref="E3:E38 A1"/>
    </sheetView>
  </sheetViews>
  <sheetFormatPr defaultRowHeight="15.75"/>
  <cols>
    <col min="1" max="1" width="8.25" style="30"/>
    <col min="2" max="2" width="13.125" style="30"/>
    <col min="3" max="3" width="10.375" style="30"/>
    <col min="4" max="4" width="13" style="30"/>
    <col min="5" max="5" width="16.875" style="30"/>
    <col min="6" max="6" width="7.5" style="30"/>
    <col min="7" max="7" width="8" style="30"/>
    <col min="8" max="8" width="11.125" style="30"/>
    <col min="9" max="10" width="8.125" style="30"/>
    <col min="11" max="12" width="16.75" style="30"/>
    <col min="13" max="14" width="8.25" style="30"/>
    <col min="15" max="15" width="17.375" style="30"/>
    <col min="16" max="1025" width="8.25" style="30"/>
  </cols>
  <sheetData>
    <row r="1" spans="1:47" ht="31.5">
      <c r="A1" s="31" t="s">
        <v>334</v>
      </c>
      <c r="B1" s="31"/>
      <c r="C1" s="31"/>
      <c r="D1" s="31"/>
      <c r="E1" s="31" t="s">
        <v>167</v>
      </c>
      <c r="F1" s="31"/>
      <c r="G1" s="31"/>
      <c r="H1" s="32"/>
      <c r="I1" s="32"/>
      <c r="J1" s="32"/>
      <c r="K1" s="32"/>
      <c r="L1" s="32"/>
      <c r="M1" s="33"/>
      <c r="N1" s="33"/>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row>
    <row r="2" spans="1:47" ht="31.5">
      <c r="A2" s="31"/>
      <c r="B2" s="31"/>
      <c r="C2" s="31"/>
      <c r="D2" s="31"/>
      <c r="E2" s="31" t="s">
        <v>168</v>
      </c>
      <c r="F2" s="31" t="s">
        <v>2</v>
      </c>
      <c r="G2" s="31" t="s">
        <v>169</v>
      </c>
      <c r="H2" s="31" t="s">
        <v>170</v>
      </c>
      <c r="I2" s="32" t="s">
        <v>171</v>
      </c>
      <c r="J2" s="32" t="s">
        <v>172</v>
      </c>
      <c r="K2" s="32"/>
      <c r="L2" s="32"/>
      <c r="M2" s="33"/>
      <c r="N2" s="33"/>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row>
    <row r="3" spans="1:47" ht="31.5">
      <c r="A3" s="31"/>
      <c r="B3" s="31"/>
      <c r="C3" s="31"/>
      <c r="D3" s="31"/>
      <c r="E3" s="31" t="s">
        <v>173</v>
      </c>
      <c r="F3" s="31" t="s">
        <v>2</v>
      </c>
      <c r="G3" s="31" t="s">
        <v>169</v>
      </c>
      <c r="H3" s="31" t="s">
        <v>170</v>
      </c>
      <c r="I3" s="32" t="s">
        <v>171</v>
      </c>
      <c r="J3" s="32"/>
      <c r="K3" s="32" t="s">
        <v>174</v>
      </c>
      <c r="L3" s="32"/>
      <c r="M3" s="33"/>
      <c r="N3" s="33"/>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row>
    <row r="4" spans="1:47">
      <c r="A4" s="31"/>
      <c r="B4" s="31"/>
      <c r="C4" s="31"/>
      <c r="D4" s="31"/>
      <c r="E4" s="31" t="s">
        <v>175</v>
      </c>
      <c r="F4" s="31" t="s">
        <v>2</v>
      </c>
      <c r="G4" s="31" t="s">
        <v>169</v>
      </c>
      <c r="H4" s="31"/>
      <c r="I4" s="32"/>
      <c r="J4" s="32"/>
      <c r="K4" s="32" t="s">
        <v>174</v>
      </c>
      <c r="L4" s="32"/>
      <c r="M4" s="33"/>
      <c r="N4" s="33"/>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row>
    <row r="5" spans="1:47" ht="47.25">
      <c r="A5" s="31"/>
      <c r="B5" s="31"/>
      <c r="C5" s="31"/>
      <c r="D5" s="31"/>
      <c r="E5" s="31"/>
      <c r="F5" s="31"/>
      <c r="G5" s="31"/>
      <c r="H5" s="32"/>
      <c r="I5" s="32"/>
      <c r="J5" s="32"/>
      <c r="K5" s="32" t="str">
        <f>"-"&amp;2^15&amp;"&lt;VAL&lt;"&amp;2^16</f>
        <v>-32768&lt;VAL&lt;65536</v>
      </c>
      <c r="L5" s="32" t="str">
        <f>"-"&amp;2^15&amp;"&lt;VAL&lt;"&amp;2^16</f>
        <v>-32768&lt;VAL&lt;65536</v>
      </c>
      <c r="O5" s="33" t="s">
        <v>176</v>
      </c>
      <c r="P5" s="31" t="s">
        <v>177</v>
      </c>
      <c r="Q5" s="31" t="s">
        <v>178</v>
      </c>
      <c r="R5" s="31" t="s">
        <v>179</v>
      </c>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row>
    <row r="6" spans="1:47" ht="47.25">
      <c r="A6" s="34" t="s">
        <v>180</v>
      </c>
      <c r="B6" s="35" t="s">
        <v>181</v>
      </c>
      <c r="C6" s="36" t="s">
        <v>182</v>
      </c>
      <c r="D6" s="37" t="s">
        <v>183</v>
      </c>
      <c r="E6" s="37" t="s">
        <v>184</v>
      </c>
      <c r="F6" s="37" t="s">
        <v>185</v>
      </c>
      <c r="G6" s="37" t="s">
        <v>180</v>
      </c>
      <c r="H6" s="38" t="s">
        <v>186</v>
      </c>
      <c r="I6" s="38" t="s">
        <v>187</v>
      </c>
      <c r="J6" s="38" t="s">
        <v>188</v>
      </c>
      <c r="K6" s="38" t="s">
        <v>189</v>
      </c>
      <c r="L6" s="38" t="s">
        <v>190</v>
      </c>
      <c r="M6" s="39" t="s">
        <v>191</v>
      </c>
      <c r="N6" s="39" t="s">
        <v>192</v>
      </c>
      <c r="O6" s="40" t="s">
        <v>193</v>
      </c>
      <c r="P6" s="37" t="s">
        <v>194</v>
      </c>
      <c r="Q6" s="41" t="s">
        <v>195</v>
      </c>
      <c r="R6" s="37" t="s">
        <v>196</v>
      </c>
      <c r="S6" s="42" t="s">
        <v>197</v>
      </c>
      <c r="T6" s="43" t="s">
        <v>198</v>
      </c>
      <c r="U6" s="43" t="s">
        <v>199</v>
      </c>
      <c r="V6" s="43" t="s">
        <v>200</v>
      </c>
      <c r="W6" s="43" t="s">
        <v>201</v>
      </c>
      <c r="X6" s="43" t="s">
        <v>202</v>
      </c>
      <c r="Y6" s="43" t="s">
        <v>203</v>
      </c>
      <c r="Z6" s="43" t="s">
        <v>204</v>
      </c>
      <c r="AA6" s="43" t="s">
        <v>205</v>
      </c>
      <c r="AB6" s="43" t="s">
        <v>206</v>
      </c>
      <c r="AC6" s="43" t="s">
        <v>207</v>
      </c>
      <c r="AD6" s="43" t="s">
        <v>208</v>
      </c>
      <c r="AE6" s="43" t="s">
        <v>209</v>
      </c>
      <c r="AF6" s="43" t="s">
        <v>210</v>
      </c>
      <c r="AG6" s="43" t="s">
        <v>211</v>
      </c>
      <c r="AH6" s="43" t="s">
        <v>212</v>
      </c>
      <c r="AI6" s="43" t="s">
        <v>213</v>
      </c>
      <c r="AJ6" s="43" t="s">
        <v>214</v>
      </c>
      <c r="AK6" s="43" t="s">
        <v>215</v>
      </c>
      <c r="AL6" s="43" t="s">
        <v>216</v>
      </c>
      <c r="AM6" s="43" t="s">
        <v>217</v>
      </c>
      <c r="AN6" s="43" t="s">
        <v>218</v>
      </c>
      <c r="AO6" s="43" t="s">
        <v>219</v>
      </c>
      <c r="AP6" s="43" t="s">
        <v>220</v>
      </c>
      <c r="AQ6" s="43" t="s">
        <v>221</v>
      </c>
      <c r="AR6" s="43" t="s">
        <v>222</v>
      </c>
      <c r="AS6" s="43" t="s">
        <v>223</v>
      </c>
      <c r="AT6" s="43" t="s">
        <v>224</v>
      </c>
      <c r="AU6" s="43" t="s">
        <v>225</v>
      </c>
    </row>
    <row r="7" spans="1:47" ht="31.5">
      <c r="A7" s="44" t="str">
        <f>IF(AND(F7="B",IF(OR(G7="LD",G7="LDU",G7="ADD",G7="SUB",G7="AND",G7="OR",G7="XOR"),1,0)),CONCATENATE(G7,"#"),G7)</f>
        <v>NOP</v>
      </c>
      <c r="B7" s="43" t="s">
        <v>226</v>
      </c>
      <c r="C7" s="43" t="s">
        <v>227</v>
      </c>
      <c r="D7" s="43" t="str">
        <f>IF(F7="A",CONCATENATE(F7," ",G7," R",H7,",R",I7,",",J7),IF(F7="B",CONCATENATE(F7," ",G7," R",H7,",R",I7,",",K7),CONCATENATE(F7," ",G7," ",K7)))</f>
        <v>A NOP R0,R0,0</v>
      </c>
      <c r="E7" s="45"/>
      <c r="F7" s="44" t="s">
        <v>228</v>
      </c>
      <c r="G7" s="44" t="s">
        <v>68</v>
      </c>
      <c r="H7" s="46">
        <v>0</v>
      </c>
      <c r="I7" s="46">
        <v>0</v>
      </c>
      <c r="J7" s="46">
        <v>0</v>
      </c>
      <c r="K7" s="47" t="s">
        <v>226</v>
      </c>
      <c r="L7" s="47" t="s">
        <v>226</v>
      </c>
      <c r="M7" s="48">
        <v>0</v>
      </c>
      <c r="N7" s="43"/>
      <c r="O7" s="42">
        <v>0</v>
      </c>
      <c r="P7" s="42"/>
      <c r="Q7" s="43"/>
      <c r="R7" s="43"/>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80"/>
  <sheetViews>
    <sheetView topLeftCell="A40" zoomScaleNormal="100" workbookViewId="0">
      <selection activeCell="B58" activeCellId="1" sqref="E3:E38 B58"/>
    </sheetView>
  </sheetViews>
  <sheetFormatPr defaultRowHeight="15.75"/>
  <cols>
    <col min="1" max="1" width="15.125"/>
    <col min="2" max="2" width="34.875"/>
    <col min="3" max="3" width="15.125"/>
    <col min="4" max="4" width="20.375"/>
    <col min="5" max="10" width="15.125"/>
    <col min="11" max="11" width="18.75"/>
    <col min="12" max="12" width="26"/>
    <col min="13" max="13" width="15.125"/>
    <col min="14" max="14" width="19.25"/>
    <col min="15" max="17" width="15.125"/>
    <col min="18" max="18" width="15.625"/>
    <col min="19" max="1025" width="15.125"/>
  </cols>
  <sheetData>
    <row r="1" spans="1:82" ht="31.5">
      <c r="A1" s="31" t="s">
        <v>335</v>
      </c>
      <c r="B1" s="31" t="s">
        <v>336</v>
      </c>
      <c r="C1" s="31"/>
      <c r="D1" s="31" t="s">
        <v>337</v>
      </c>
      <c r="E1" s="31" t="s">
        <v>167</v>
      </c>
      <c r="F1" s="31"/>
      <c r="G1" s="31"/>
      <c r="H1" s="32"/>
      <c r="I1" s="32"/>
      <c r="J1" s="32"/>
      <c r="K1" s="32"/>
      <c r="L1" s="32" t="s">
        <v>338</v>
      </c>
      <c r="M1" s="33"/>
      <c r="N1" s="33"/>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row>
    <row r="2" spans="1:82">
      <c r="A2" s="31"/>
      <c r="B2" s="31" t="s">
        <v>339</v>
      </c>
      <c r="C2" s="31"/>
      <c r="D2" s="31"/>
      <c r="E2" s="31" t="s">
        <v>168</v>
      </c>
      <c r="F2" s="31" t="s">
        <v>2</v>
      </c>
      <c r="G2" s="31" t="s">
        <v>169</v>
      </c>
      <c r="H2" s="31" t="s">
        <v>170</v>
      </c>
      <c r="I2" s="32" t="s">
        <v>171</v>
      </c>
      <c r="J2" s="32" t="s">
        <v>172</v>
      </c>
      <c r="K2" s="32"/>
      <c r="L2" s="32"/>
      <c r="M2" s="33"/>
      <c r="N2" s="33"/>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row>
    <row r="3" spans="1:82">
      <c r="A3" s="31"/>
      <c r="B3" s="31"/>
      <c r="C3" s="31"/>
      <c r="D3" s="31"/>
      <c r="E3" s="31" t="s">
        <v>173</v>
      </c>
      <c r="F3" s="31" t="s">
        <v>2</v>
      </c>
      <c r="G3" s="31" t="s">
        <v>169</v>
      </c>
      <c r="H3" s="31" t="s">
        <v>170</v>
      </c>
      <c r="I3" s="32" t="s">
        <v>171</v>
      </c>
      <c r="J3" s="32"/>
      <c r="K3" s="32" t="s">
        <v>174</v>
      </c>
      <c r="L3" s="32" t="str">
        <f>"-"&amp;2^15&amp;"&lt;VAL&lt;"&amp;2^16</f>
        <v>-32768&lt;VAL&lt;65536</v>
      </c>
      <c r="M3" s="33"/>
      <c r="N3" s="33"/>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row>
    <row r="4" spans="1:82">
      <c r="A4" s="31"/>
      <c r="B4" s="31"/>
      <c r="C4" s="31"/>
      <c r="D4" s="31"/>
      <c r="E4" s="31" t="s">
        <v>175</v>
      </c>
      <c r="F4" s="31" t="s">
        <v>2</v>
      </c>
      <c r="G4" s="31" t="s">
        <v>169</v>
      </c>
      <c r="H4" s="31"/>
      <c r="I4" s="32"/>
      <c r="J4" s="32"/>
      <c r="K4" s="32" t="s">
        <v>174</v>
      </c>
      <c r="L4" s="32" t="str">
        <f>"-"&amp;2^24&amp;"&lt;VAL&lt;"&amp;2^25</f>
        <v>-16777216&lt;VAL&lt;33554432</v>
      </c>
      <c r="M4" s="33"/>
      <c r="N4" s="33"/>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row>
    <row r="5" spans="1:82" ht="31.5">
      <c r="A5" s="31"/>
      <c r="B5" s="31"/>
      <c r="C5" s="31"/>
      <c r="D5" s="31"/>
      <c r="E5" s="31"/>
      <c r="F5" s="31"/>
      <c r="G5" s="31"/>
      <c r="H5" s="32"/>
      <c r="I5" s="32"/>
      <c r="J5" s="32"/>
      <c r="L5" s="32"/>
      <c r="M5" s="30"/>
      <c r="N5" s="30"/>
      <c r="O5" s="33" t="s">
        <v>176</v>
      </c>
      <c r="P5" s="31" t="s">
        <v>177</v>
      </c>
      <c r="Q5" s="31" t="s">
        <v>178</v>
      </c>
      <c r="R5" s="31" t="s">
        <v>179</v>
      </c>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row>
    <row r="6" spans="1:82" ht="31.5">
      <c r="A6" s="34" t="s">
        <v>180</v>
      </c>
      <c r="B6" s="35" t="s">
        <v>181</v>
      </c>
      <c r="C6" s="36" t="s">
        <v>182</v>
      </c>
      <c r="D6" s="43" t="s">
        <v>183</v>
      </c>
      <c r="E6" s="43" t="s">
        <v>184</v>
      </c>
      <c r="F6" s="43" t="s">
        <v>185</v>
      </c>
      <c r="G6" s="43" t="s">
        <v>180</v>
      </c>
      <c r="H6" s="43" t="s">
        <v>186</v>
      </c>
      <c r="I6" s="43" t="s">
        <v>187</v>
      </c>
      <c r="J6" s="43" t="s">
        <v>188</v>
      </c>
      <c r="K6" s="43" t="s">
        <v>189</v>
      </c>
      <c r="L6" s="43" t="s">
        <v>190</v>
      </c>
      <c r="M6" s="43" t="s">
        <v>191</v>
      </c>
      <c r="N6" s="43" t="s">
        <v>192</v>
      </c>
      <c r="O6" s="40" t="s">
        <v>193</v>
      </c>
      <c r="P6" s="37" t="s">
        <v>194</v>
      </c>
      <c r="Q6" s="41" t="s">
        <v>195</v>
      </c>
      <c r="R6" s="37" t="s">
        <v>196</v>
      </c>
      <c r="S6" s="41" t="s">
        <v>197</v>
      </c>
      <c r="T6" s="37" t="s">
        <v>198</v>
      </c>
      <c r="U6" s="37" t="s">
        <v>199</v>
      </c>
      <c r="V6" s="37" t="s">
        <v>200</v>
      </c>
      <c r="W6" s="37" t="s">
        <v>201</v>
      </c>
      <c r="X6" s="37" t="s">
        <v>202</v>
      </c>
      <c r="Y6" s="37" t="s">
        <v>203</v>
      </c>
      <c r="Z6" s="37" t="s">
        <v>204</v>
      </c>
      <c r="AA6" s="37" t="s">
        <v>205</v>
      </c>
      <c r="AB6" s="37" t="s">
        <v>206</v>
      </c>
      <c r="AC6" s="37" t="s">
        <v>207</v>
      </c>
      <c r="AD6" s="37" t="s">
        <v>208</v>
      </c>
      <c r="AE6" s="37" t="s">
        <v>209</v>
      </c>
      <c r="AF6" s="37" t="s">
        <v>210</v>
      </c>
      <c r="AG6" s="37" t="s">
        <v>211</v>
      </c>
      <c r="AH6" s="37" t="s">
        <v>212</v>
      </c>
      <c r="AI6" s="37" t="s">
        <v>213</v>
      </c>
      <c r="AJ6" s="37" t="s">
        <v>214</v>
      </c>
      <c r="AK6" s="37" t="s">
        <v>215</v>
      </c>
      <c r="AL6" s="37" t="s">
        <v>216</v>
      </c>
      <c r="AM6" s="37" t="s">
        <v>217</v>
      </c>
      <c r="AN6" s="37" t="s">
        <v>218</v>
      </c>
      <c r="AO6" s="37" t="s">
        <v>219</v>
      </c>
      <c r="AP6" s="37" t="s">
        <v>220</v>
      </c>
      <c r="AQ6" s="37" t="s">
        <v>221</v>
      </c>
      <c r="AR6" s="37" t="s">
        <v>222</v>
      </c>
      <c r="AS6" s="37" t="s">
        <v>223</v>
      </c>
      <c r="AT6" s="37" t="s">
        <v>224</v>
      </c>
      <c r="AU6" s="37" t="s">
        <v>225</v>
      </c>
      <c r="AV6" s="52"/>
      <c r="AW6" s="52"/>
      <c r="AX6" s="52"/>
      <c r="AY6" s="52"/>
      <c r="AZ6" s="52"/>
      <c r="BA6" s="52"/>
      <c r="BB6" s="52"/>
      <c r="BC6" s="52"/>
      <c r="BD6" s="52"/>
      <c r="BE6" s="52"/>
      <c r="BF6" s="52"/>
      <c r="BG6" s="52"/>
      <c r="BH6" s="52"/>
      <c r="BI6" s="52"/>
      <c r="BJ6" s="52"/>
      <c r="BK6" s="52"/>
      <c r="BL6" s="52"/>
      <c r="BM6" s="52"/>
      <c r="BN6" s="52"/>
      <c r="BO6" s="52"/>
      <c r="BP6" s="52"/>
      <c r="BQ6" s="52"/>
      <c r="BR6" s="52"/>
      <c r="BS6" s="52"/>
      <c r="BT6" s="52"/>
      <c r="BU6" s="52"/>
      <c r="BV6" s="52"/>
      <c r="BW6" s="52"/>
      <c r="BX6" s="52"/>
      <c r="BY6" s="52"/>
      <c r="BZ6" s="52"/>
      <c r="CA6" s="52"/>
      <c r="CB6" s="52"/>
      <c r="CC6" s="52"/>
      <c r="CD6" s="52"/>
    </row>
    <row r="7" spans="1:82" ht="31.5">
      <c r="A7" s="35" t="str">
        <f t="shared" ref="A7:A38" si="0">IF(AND(F7="B",IF(OR(G7="LD",G7="LDU",G7="ADD",G7="SUB",G7="AND",G7="OR",G7="XOR"),1,0)),CONCATENATE(G7,"#"),G7)</f>
        <v>NOP</v>
      </c>
      <c r="B7" s="37" t="s">
        <v>226</v>
      </c>
      <c r="C7" s="37" t="s">
        <v>227</v>
      </c>
      <c r="D7" s="43" t="str">
        <f t="shared" ref="D7:D38" si="1">IF(F7="A",CONCATENATE(F7," ",G7," R",H7,",R",I7,",R",J7),IF(F7="B",CONCATENATE(F7," ",G7," R",H7,",R",I7,",",K7),CONCATENATE(F7," ",G7," ",K7)))</f>
        <v>A NOP R0,R0,R0</v>
      </c>
      <c r="E7" s="45"/>
      <c r="F7" s="44" t="s">
        <v>228</v>
      </c>
      <c r="G7" s="44" t="s">
        <v>68</v>
      </c>
      <c r="H7" s="46">
        <v>0</v>
      </c>
      <c r="I7" s="46">
        <v>0</v>
      </c>
      <c r="J7" s="46">
        <v>0</v>
      </c>
      <c r="K7" s="47" t="s">
        <v>226</v>
      </c>
      <c r="L7" s="47" t="s">
        <v>226</v>
      </c>
      <c r="M7" s="48">
        <v>0</v>
      </c>
      <c r="N7" s="43"/>
      <c r="O7" s="42">
        <f>0</f>
        <v>0</v>
      </c>
      <c r="P7" s="42"/>
      <c r="Q7" s="43"/>
      <c r="R7" s="43"/>
      <c r="S7" s="56"/>
      <c r="T7" s="56"/>
      <c r="U7" s="56"/>
      <c r="V7" s="56"/>
      <c r="W7" s="56"/>
      <c r="X7" s="56"/>
      <c r="Y7" s="56"/>
      <c r="Z7" s="56"/>
      <c r="AA7" s="56"/>
      <c r="AB7" s="56"/>
      <c r="AC7" s="56"/>
      <c r="AD7" s="56"/>
      <c r="AE7" s="56"/>
      <c r="AF7" s="56"/>
      <c r="AG7" s="56"/>
      <c r="AH7" s="56"/>
      <c r="AI7" s="56"/>
      <c r="AJ7" s="56"/>
      <c r="AK7" s="56"/>
      <c r="AL7" s="56"/>
      <c r="AM7" s="56"/>
      <c r="AN7" s="56"/>
      <c r="AO7" s="56"/>
      <c r="AP7" s="56"/>
      <c r="AQ7" s="56"/>
      <c r="AR7" s="56"/>
      <c r="AS7" s="56"/>
      <c r="AT7" s="56"/>
      <c r="AU7" s="4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row>
    <row r="8" spans="1:82">
      <c r="A8" s="44" t="str">
        <f t="shared" si="0"/>
        <v>LDU#</v>
      </c>
      <c r="B8" s="43" t="str">
        <f>"R["&amp;H8&amp;"] &lt;= "&amp;K8</f>
        <v>R[1] &lt;= 1</v>
      </c>
      <c r="C8" s="43" t="s">
        <v>340</v>
      </c>
      <c r="D8" s="57" t="str">
        <f t="shared" si="1"/>
        <v>B LDU R1,R0,1</v>
      </c>
      <c r="E8" s="58"/>
      <c r="F8" s="59" t="s">
        <v>341</v>
      </c>
      <c r="G8" s="60" t="s">
        <v>342</v>
      </c>
      <c r="H8" s="61">
        <v>1</v>
      </c>
      <c r="I8" s="61">
        <v>0</v>
      </c>
      <c r="J8" s="61" t="s">
        <v>226</v>
      </c>
      <c r="K8" s="62">
        <v>1</v>
      </c>
      <c r="L8" s="63" t="str">
        <f>RIGHT(DEC2HEX(K8,10),8)</f>
        <v>00000001</v>
      </c>
      <c r="M8" s="64">
        <f t="shared" ref="M8:M39" si="2">M7+1</f>
        <v>1</v>
      </c>
      <c r="N8" s="65"/>
      <c r="O8" s="43">
        <f t="shared" ref="O8:O39" si="3">O7</f>
        <v>0</v>
      </c>
      <c r="P8" s="66" t="str">
        <f>L8</f>
        <v>00000001</v>
      </c>
      <c r="Q8" s="46"/>
      <c r="R8" s="46"/>
      <c r="S8" s="52"/>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7"/>
      <c r="AV8" s="67"/>
      <c r="AW8" s="67"/>
      <c r="AX8" s="67"/>
      <c r="AY8" s="67"/>
      <c r="AZ8" s="67"/>
      <c r="BA8" s="67"/>
      <c r="BB8" s="67"/>
      <c r="BC8" s="67"/>
      <c r="BD8" s="67"/>
      <c r="BE8" s="67"/>
      <c r="BF8" s="67"/>
      <c r="BG8" s="67"/>
      <c r="BH8" s="67"/>
      <c r="BI8" s="67"/>
      <c r="BJ8" s="67"/>
      <c r="BK8" s="67"/>
      <c r="BL8" s="67"/>
      <c r="BM8" s="67"/>
      <c r="BN8" s="67"/>
      <c r="BO8" s="67"/>
      <c r="BP8" s="67"/>
      <c r="BQ8" s="67"/>
      <c r="BR8" s="67"/>
      <c r="BS8" s="67"/>
      <c r="BT8" s="67"/>
      <c r="BU8" s="67"/>
      <c r="BV8" s="67"/>
      <c r="BW8" s="67"/>
      <c r="BX8" s="67"/>
      <c r="BY8" s="67"/>
      <c r="BZ8" s="67"/>
      <c r="CA8" s="67"/>
      <c r="CB8" s="67"/>
      <c r="CC8" s="67"/>
      <c r="CD8" s="67"/>
    </row>
    <row r="9" spans="1:82">
      <c r="A9" s="64" t="str">
        <f t="shared" si="0"/>
        <v>LDU#</v>
      </c>
      <c r="B9" s="43" t="str">
        <f>"R["&amp;H9&amp;"] &lt;= "&amp;K9</f>
        <v>R[2] &lt;= 2</v>
      </c>
      <c r="C9" s="43" t="s">
        <v>226</v>
      </c>
      <c r="D9" s="41" t="str">
        <f t="shared" si="1"/>
        <v>B LDU R2,R0,2</v>
      </c>
      <c r="E9" s="45"/>
      <c r="F9" s="43" t="s">
        <v>341</v>
      </c>
      <c r="G9" s="43" t="str">
        <f>IF(K9&gt;=0,"LDU","LD")</f>
        <v>LDU</v>
      </c>
      <c r="H9" s="46">
        <v>2</v>
      </c>
      <c r="I9" s="46">
        <v>0</v>
      </c>
      <c r="J9" s="46" t="s">
        <v>226</v>
      </c>
      <c r="K9" s="46">
        <v>2</v>
      </c>
      <c r="L9" s="68" t="str">
        <f>RIGHT(DEC2HEX(K9,10),8)</f>
        <v>00000002</v>
      </c>
      <c r="M9" s="43">
        <f t="shared" si="2"/>
        <v>2</v>
      </c>
      <c r="N9" s="69"/>
      <c r="O9" s="43">
        <f t="shared" si="3"/>
        <v>0</v>
      </c>
      <c r="P9" s="70" t="str">
        <f>P8</f>
        <v>00000001</v>
      </c>
      <c r="Q9" s="71" t="str">
        <f>L9</f>
        <v>00000002</v>
      </c>
      <c r="R9" s="46"/>
      <c r="S9" s="52"/>
      <c r="T9" s="52"/>
      <c r="U9" s="52"/>
      <c r="V9" s="52"/>
      <c r="W9" s="52"/>
      <c r="X9" s="52"/>
      <c r="Y9" s="52"/>
      <c r="Z9" s="52"/>
      <c r="AA9" s="52"/>
      <c r="AB9" s="52"/>
      <c r="AC9" s="52"/>
      <c r="AD9" s="52"/>
      <c r="AE9" s="52"/>
      <c r="AF9" s="52"/>
      <c r="AG9" s="52"/>
      <c r="AH9" s="52"/>
      <c r="AI9" s="52"/>
      <c r="AJ9" s="52"/>
      <c r="AK9" s="52"/>
      <c r="AL9" s="52"/>
      <c r="AM9" s="52"/>
      <c r="AN9" s="52"/>
      <c r="AO9" s="52"/>
      <c r="AP9" s="52"/>
      <c r="AQ9" s="52"/>
      <c r="AR9" s="52"/>
      <c r="AS9" s="52"/>
      <c r="AT9" s="52"/>
      <c r="AU9" s="57"/>
      <c r="AV9" s="67"/>
      <c r="AW9" s="67"/>
      <c r="AX9" s="67"/>
      <c r="AY9" s="67"/>
      <c r="AZ9" s="67"/>
      <c r="BA9" s="67"/>
      <c r="BB9" s="67"/>
      <c r="BC9" s="67"/>
      <c r="BD9" s="67"/>
      <c r="BE9" s="67"/>
      <c r="BF9" s="67"/>
      <c r="BG9" s="67"/>
      <c r="BH9" s="67"/>
      <c r="BI9" s="67"/>
      <c r="BJ9" s="67"/>
      <c r="BK9" s="67"/>
      <c r="BL9" s="67"/>
      <c r="BM9" s="67"/>
      <c r="BN9" s="67"/>
      <c r="BO9" s="67"/>
      <c r="BP9" s="67"/>
      <c r="BQ9" s="67"/>
      <c r="BR9" s="67"/>
      <c r="BS9" s="67"/>
      <c r="BT9" s="67"/>
      <c r="BU9" s="67"/>
      <c r="BV9" s="67"/>
      <c r="BW9" s="67"/>
      <c r="BX9" s="67"/>
      <c r="BY9" s="67"/>
      <c r="BZ9" s="67"/>
      <c r="CA9" s="67"/>
      <c r="CB9" s="67"/>
      <c r="CC9" s="67"/>
      <c r="CD9" s="67"/>
    </row>
    <row r="10" spans="1:82" ht="110.25">
      <c r="A10" s="60" t="str">
        <f t="shared" si="0"/>
        <v>ADD</v>
      </c>
      <c r="B10" s="43" t="str">
        <f>"R["&amp;H10&amp;"] &lt;= R["&amp;I10&amp;"] + R["&amp;J10&amp;"]"</f>
        <v>R[3] &lt;= R[1] + R[2]</v>
      </c>
      <c r="C10" s="43" t="s">
        <v>343</v>
      </c>
      <c r="D10" s="41" t="str">
        <f t="shared" si="1"/>
        <v>A ADD R3,R1,R2</v>
      </c>
      <c r="E10" s="45"/>
      <c r="F10" s="44" t="s">
        <v>228</v>
      </c>
      <c r="G10" s="44" t="s">
        <v>11</v>
      </c>
      <c r="H10" s="46">
        <v>3</v>
      </c>
      <c r="I10" s="46">
        <v>1</v>
      </c>
      <c r="J10" s="46">
        <v>2</v>
      </c>
      <c r="K10" s="46" t="s">
        <v>226</v>
      </c>
      <c r="L10" s="72" t="s">
        <v>226</v>
      </c>
      <c r="M10" s="43">
        <f t="shared" si="2"/>
        <v>3</v>
      </c>
      <c r="N10" s="69"/>
      <c r="O10" s="43">
        <f t="shared" si="3"/>
        <v>0</v>
      </c>
      <c r="P10" s="70" t="str">
        <f>P9</f>
        <v>00000001</v>
      </c>
      <c r="Q10" s="46" t="str">
        <f>Q9</f>
        <v>00000002</v>
      </c>
      <c r="R10" s="73" t="str">
        <f>DEC2HEX(HEX2DEC(P10)+HEX2DEC(Q10))</f>
        <v>3</v>
      </c>
      <c r="S10" s="52"/>
      <c r="T10" s="52"/>
      <c r="U10" s="52"/>
      <c r="V10" s="52"/>
      <c r="W10" s="52"/>
      <c r="X10" s="52"/>
      <c r="Y10" s="52"/>
      <c r="Z10" s="52"/>
      <c r="AA10" s="52"/>
      <c r="AB10" s="52"/>
      <c r="AC10" s="52"/>
      <c r="AD10" s="52"/>
      <c r="AE10" s="52"/>
      <c r="AF10" s="52"/>
      <c r="AG10" s="52"/>
      <c r="AH10" s="52"/>
      <c r="AI10" s="52"/>
      <c r="AJ10" s="52"/>
      <c r="AK10" s="52"/>
      <c r="AL10" s="52"/>
      <c r="AM10" s="52"/>
      <c r="AN10" s="52"/>
      <c r="AO10" s="52"/>
      <c r="AP10" s="52"/>
      <c r="AQ10" s="52"/>
      <c r="AR10" s="52"/>
      <c r="AS10" s="52"/>
      <c r="AT10" s="52"/>
      <c r="AU10" s="57"/>
      <c r="AV10" s="67"/>
      <c r="AW10" s="67"/>
      <c r="AX10" s="67"/>
      <c r="AY10" s="67"/>
      <c r="AZ10" s="67"/>
      <c r="BA10" s="67"/>
      <c r="BB10" s="67"/>
      <c r="BC10" s="67"/>
      <c r="BD10" s="67"/>
      <c r="BE10" s="67"/>
      <c r="BF10" s="67"/>
      <c r="BG10" s="67"/>
      <c r="BH10" s="67"/>
      <c r="BI10" s="67"/>
      <c r="BJ10" s="67"/>
      <c r="BK10" s="67"/>
      <c r="BL10" s="67"/>
      <c r="BM10" s="67"/>
      <c r="BN10" s="67"/>
      <c r="BO10" s="67"/>
      <c r="BP10" s="67"/>
      <c r="BQ10" s="67"/>
      <c r="BR10" s="67"/>
      <c r="BS10" s="67"/>
      <c r="BT10" s="67"/>
      <c r="BU10" s="67"/>
      <c r="BV10" s="67"/>
      <c r="BW10" s="67"/>
      <c r="BX10" s="67"/>
      <c r="BY10" s="67"/>
      <c r="BZ10" s="67"/>
      <c r="CA10" s="67"/>
      <c r="CB10" s="67"/>
      <c r="CC10" s="67"/>
      <c r="CD10" s="67"/>
    </row>
    <row r="11" spans="1:82">
      <c r="A11" s="44" t="str">
        <f t="shared" si="0"/>
        <v>LD#</v>
      </c>
      <c r="B11" s="43" t="str">
        <f>"R["&amp;H11&amp;"] &lt;= "&amp;K11</f>
        <v>R[1] &lt;= -3</v>
      </c>
      <c r="C11" s="43" t="s">
        <v>344</v>
      </c>
      <c r="D11" s="42" t="str">
        <f t="shared" si="1"/>
        <v>B LD R1,R0,-3</v>
      </c>
      <c r="E11" s="45"/>
      <c r="F11" s="55" t="s">
        <v>341</v>
      </c>
      <c r="G11" s="44" t="s">
        <v>345</v>
      </c>
      <c r="H11" s="46">
        <v>1</v>
      </c>
      <c r="I11" s="46">
        <v>0</v>
      </c>
      <c r="J11" s="46" t="s">
        <v>226</v>
      </c>
      <c r="K11" s="47">
        <v>-3</v>
      </c>
      <c r="L11" s="74" t="str">
        <f>RIGHT(DEC2HEX(K11,10),8)</f>
        <v>FFFFFFFD</v>
      </c>
      <c r="M11" s="43">
        <f t="shared" si="2"/>
        <v>4</v>
      </c>
      <c r="N11" s="69"/>
      <c r="O11" s="43">
        <f t="shared" si="3"/>
        <v>0</v>
      </c>
      <c r="P11" s="75" t="str">
        <f>L11</f>
        <v>FFFFFFFD</v>
      </c>
      <c r="Q11" s="46"/>
      <c r="R11" s="46"/>
      <c r="S11" s="52"/>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52"/>
      <c r="AS11" s="52"/>
      <c r="AT11" s="52"/>
      <c r="AU11" s="57"/>
      <c r="AV11" s="67"/>
      <c r="AW11" s="67"/>
      <c r="AX11" s="67"/>
      <c r="AY11" s="67"/>
      <c r="AZ11" s="67"/>
      <c r="BA11" s="67"/>
      <c r="BB11" s="67"/>
      <c r="BC11" s="67"/>
      <c r="BD11" s="67"/>
      <c r="BE11" s="67"/>
      <c r="BF11" s="67"/>
      <c r="BG11" s="67"/>
      <c r="BH11" s="67"/>
      <c r="BI11" s="67"/>
      <c r="BJ11" s="67"/>
      <c r="BK11" s="67"/>
      <c r="BL11" s="67"/>
      <c r="BM11" s="67"/>
      <c r="BN11" s="67"/>
      <c r="BO11" s="67"/>
      <c r="BP11" s="67"/>
      <c r="BQ11" s="67"/>
      <c r="BR11" s="67"/>
      <c r="BS11" s="67"/>
      <c r="BT11" s="67"/>
      <c r="BU11" s="67"/>
      <c r="BV11" s="67"/>
      <c r="BW11" s="67"/>
      <c r="BX11" s="67"/>
      <c r="BY11" s="67"/>
      <c r="BZ11" s="67"/>
      <c r="CA11" s="67"/>
      <c r="CB11" s="67"/>
      <c r="CC11" s="67"/>
      <c r="CD11" s="67"/>
    </row>
    <row r="12" spans="1:82">
      <c r="A12" s="64" t="str">
        <f t="shared" si="0"/>
        <v>LD#</v>
      </c>
      <c r="B12" s="43" t="str">
        <f>"R["&amp;H12&amp;"] &lt;= "&amp;K12</f>
        <v>R[2] &lt;= -3</v>
      </c>
      <c r="C12" s="43" t="s">
        <v>226</v>
      </c>
      <c r="D12" s="42" t="str">
        <f t="shared" si="1"/>
        <v>B LD R2,R0,-3</v>
      </c>
      <c r="E12" s="45"/>
      <c r="F12" s="43" t="s">
        <v>341</v>
      </c>
      <c r="G12" s="43" t="str">
        <f>IF(K12&gt;=0,"LDU","LD")</f>
        <v>LD</v>
      </c>
      <c r="H12" s="46">
        <v>2</v>
      </c>
      <c r="I12" s="46">
        <v>0</v>
      </c>
      <c r="J12" s="46" t="s">
        <v>226</v>
      </c>
      <c r="K12" s="46">
        <v>-3</v>
      </c>
      <c r="L12" s="68" t="str">
        <f>RIGHT(DEC2HEX(K12,10),8)</f>
        <v>FFFFFFFD</v>
      </c>
      <c r="M12" s="43">
        <f t="shared" si="2"/>
        <v>5</v>
      </c>
      <c r="N12" s="69"/>
      <c r="O12" s="43">
        <f t="shared" si="3"/>
        <v>0</v>
      </c>
      <c r="P12" s="70" t="str">
        <f>P11</f>
        <v>FFFFFFFD</v>
      </c>
      <c r="Q12" s="71" t="str">
        <f>L12</f>
        <v>FFFFFFFD</v>
      </c>
      <c r="R12" s="46"/>
      <c r="S12" s="52"/>
      <c r="T12" s="52"/>
      <c r="U12" s="52"/>
      <c r="V12" s="52"/>
      <c r="W12" s="52"/>
      <c r="X12" s="52"/>
      <c r="Y12" s="52"/>
      <c r="Z12" s="52"/>
      <c r="AA12" s="52"/>
      <c r="AB12" s="52"/>
      <c r="AC12" s="52"/>
      <c r="AD12" s="52"/>
      <c r="AE12" s="52"/>
      <c r="AF12" s="52"/>
      <c r="AG12" s="52"/>
      <c r="AH12" s="52"/>
      <c r="AI12" s="52"/>
      <c r="AJ12" s="52"/>
      <c r="AK12" s="52"/>
      <c r="AL12" s="52"/>
      <c r="AM12" s="52"/>
      <c r="AN12" s="52"/>
      <c r="AO12" s="52"/>
      <c r="AP12" s="52"/>
      <c r="AQ12" s="52"/>
      <c r="AR12" s="52"/>
      <c r="AS12" s="52"/>
      <c r="AT12" s="52"/>
      <c r="AU12" s="57"/>
      <c r="AV12" s="67"/>
      <c r="AW12" s="67"/>
      <c r="AX12" s="67"/>
      <c r="AY12" s="67"/>
      <c r="AZ12" s="67"/>
      <c r="BA12" s="67"/>
      <c r="BB12" s="67"/>
      <c r="BC12" s="67"/>
      <c r="BD12" s="67"/>
      <c r="BE12" s="67"/>
      <c r="BF12" s="67"/>
      <c r="BG12" s="67"/>
      <c r="BH12" s="67"/>
      <c r="BI12" s="67"/>
      <c r="BJ12" s="67"/>
      <c r="BK12" s="67"/>
      <c r="BL12" s="67"/>
      <c r="BM12" s="67"/>
      <c r="BN12" s="67"/>
      <c r="BO12" s="67"/>
      <c r="BP12" s="67"/>
      <c r="BQ12" s="67"/>
      <c r="BR12" s="67"/>
      <c r="BS12" s="67"/>
      <c r="BT12" s="67"/>
      <c r="BU12" s="67"/>
      <c r="BV12" s="67"/>
      <c r="BW12" s="67"/>
      <c r="BX12" s="67"/>
      <c r="BY12" s="67"/>
      <c r="BZ12" s="67"/>
      <c r="CA12" s="67"/>
      <c r="CB12" s="67"/>
      <c r="CC12" s="67"/>
      <c r="CD12" s="67"/>
    </row>
    <row r="13" spans="1:82" ht="31.5">
      <c r="A13" s="60" t="str">
        <f t="shared" si="0"/>
        <v>SUB</v>
      </c>
      <c r="B13" s="43" t="str">
        <f>"R["&amp;H13&amp;"] &lt;= R["&amp;I13&amp;"] - R["&amp;J13&amp;"]"</f>
        <v>R[3] &lt;= R[1] - R[2]</v>
      </c>
      <c r="C13" s="43" t="s">
        <v>346</v>
      </c>
      <c r="D13" s="42" t="str">
        <f t="shared" si="1"/>
        <v>A SUB R3,R1,R2</v>
      </c>
      <c r="E13" s="45"/>
      <c r="F13" s="44" t="s">
        <v>228</v>
      </c>
      <c r="G13" s="44" t="s">
        <v>14</v>
      </c>
      <c r="H13" s="46">
        <v>3</v>
      </c>
      <c r="I13" s="46">
        <v>1</v>
      </c>
      <c r="J13" s="46">
        <v>2</v>
      </c>
      <c r="K13" s="46" t="s">
        <v>226</v>
      </c>
      <c r="L13" s="72" t="s">
        <v>226</v>
      </c>
      <c r="M13" s="43">
        <f t="shared" si="2"/>
        <v>6</v>
      </c>
      <c r="N13" s="76" t="s">
        <v>347</v>
      </c>
      <c r="O13" s="43">
        <f t="shared" si="3"/>
        <v>0</v>
      </c>
      <c r="P13" s="70" t="str">
        <f>P12</f>
        <v>FFFFFFFD</v>
      </c>
      <c r="Q13" s="46" t="str">
        <f>Q12</f>
        <v>FFFFFFFD</v>
      </c>
      <c r="R13" s="73" t="str">
        <f>DEC2HEX(K11-K12)</f>
        <v>0</v>
      </c>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7"/>
      <c r="AV13" s="67"/>
      <c r="AW13" s="67"/>
      <c r="AX13" s="67"/>
      <c r="AY13" s="67"/>
      <c r="AZ13" s="67"/>
      <c r="BA13" s="67"/>
      <c r="BB13" s="67"/>
      <c r="BC13" s="67"/>
      <c r="BD13" s="67"/>
      <c r="BE13" s="67"/>
      <c r="BF13" s="67"/>
      <c r="BG13" s="67"/>
      <c r="BH13" s="67"/>
      <c r="BI13" s="67"/>
      <c r="BJ13" s="67"/>
      <c r="BK13" s="67"/>
      <c r="BL13" s="67"/>
      <c r="BM13" s="67"/>
      <c r="BN13" s="67"/>
      <c r="BO13" s="67"/>
      <c r="BP13" s="67"/>
      <c r="BQ13" s="67"/>
      <c r="BR13" s="67"/>
      <c r="BS13" s="67"/>
      <c r="BT13" s="67"/>
      <c r="BU13" s="67"/>
      <c r="BV13" s="67"/>
      <c r="BW13" s="67"/>
      <c r="BX13" s="67"/>
      <c r="BY13" s="67"/>
      <c r="BZ13" s="67"/>
      <c r="CA13" s="67"/>
      <c r="CB13" s="67"/>
      <c r="CC13" s="67"/>
      <c r="CD13" s="67"/>
    </row>
    <row r="14" spans="1:82">
      <c r="A14" s="43" t="str">
        <f t="shared" si="0"/>
        <v>LD#</v>
      </c>
      <c r="B14" s="43" t="str">
        <f>"R["&amp;H14&amp;"] &lt;= "&amp;K14</f>
        <v>R[1] &lt;= -5</v>
      </c>
      <c r="C14" s="43" t="s">
        <v>226</v>
      </c>
      <c r="D14" s="42" t="str">
        <f t="shared" si="1"/>
        <v>B LD R1,R0,-5</v>
      </c>
      <c r="E14" s="45"/>
      <c r="F14" s="43" t="s">
        <v>341</v>
      </c>
      <c r="G14" s="43" t="str">
        <f>IF(K14&gt;=0,"LDU","LD")</f>
        <v>LD</v>
      </c>
      <c r="H14" s="46">
        <v>1</v>
      </c>
      <c r="I14" s="46">
        <v>0</v>
      </c>
      <c r="J14" s="46" t="s">
        <v>226</v>
      </c>
      <c r="K14" s="47">
        <v>-5</v>
      </c>
      <c r="L14" s="74" t="str">
        <f>RIGHT(DEC2HEX(K14,10),8)</f>
        <v>FFFFFFFB</v>
      </c>
      <c r="M14" s="43">
        <f t="shared" si="2"/>
        <v>7</v>
      </c>
      <c r="N14" s="69"/>
      <c r="O14" s="43">
        <f t="shared" si="3"/>
        <v>0</v>
      </c>
      <c r="P14" s="66" t="str">
        <f>L14</f>
        <v>FFFFFFFB</v>
      </c>
      <c r="Q14" s="46"/>
      <c r="R14" s="46"/>
      <c r="S14" s="52"/>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c r="AR14" s="52"/>
      <c r="AS14" s="52"/>
      <c r="AT14" s="52"/>
      <c r="AU14" s="57"/>
      <c r="AV14" s="67"/>
      <c r="AW14" s="67"/>
      <c r="AX14" s="67"/>
      <c r="AY14" s="67"/>
      <c r="AZ14" s="67"/>
      <c r="BA14" s="67"/>
      <c r="BB14" s="67"/>
      <c r="BC14" s="67"/>
      <c r="BD14" s="67"/>
      <c r="BE14" s="67"/>
      <c r="BF14" s="67"/>
      <c r="BG14" s="67"/>
      <c r="BH14" s="67"/>
      <c r="BI14" s="67"/>
      <c r="BJ14" s="67"/>
      <c r="BK14" s="67"/>
      <c r="BL14" s="67"/>
      <c r="BM14" s="67"/>
      <c r="BN14" s="67"/>
      <c r="BO14" s="67"/>
      <c r="BP14" s="67"/>
      <c r="BQ14" s="67"/>
      <c r="BR14" s="67"/>
      <c r="BS14" s="67"/>
      <c r="BT14" s="67"/>
      <c r="BU14" s="67"/>
      <c r="BV14" s="67"/>
      <c r="BW14" s="67"/>
      <c r="BX14" s="67"/>
      <c r="BY14" s="67"/>
      <c r="BZ14" s="67"/>
      <c r="CA14" s="67"/>
      <c r="CB14" s="67"/>
      <c r="CC14" s="67"/>
      <c r="CD14" s="67"/>
    </row>
    <row r="15" spans="1:82" ht="63">
      <c r="A15" s="60" t="str">
        <f t="shared" si="0"/>
        <v>NEG</v>
      </c>
      <c r="B15" s="43" t="str">
        <f>"R["&amp;H15&amp;"] &lt;= - R["&amp;I15&amp;"]"</f>
        <v>R[3] &lt;= - R[1]</v>
      </c>
      <c r="C15" s="43" t="s">
        <v>348</v>
      </c>
      <c r="D15" s="42" t="str">
        <f t="shared" si="1"/>
        <v>A NEG R3,R1,R2</v>
      </c>
      <c r="E15" s="45"/>
      <c r="F15" s="44" t="s">
        <v>228</v>
      </c>
      <c r="G15" s="44" t="s">
        <v>23</v>
      </c>
      <c r="H15" s="46">
        <v>3</v>
      </c>
      <c r="I15" s="46">
        <v>1</v>
      </c>
      <c r="J15" s="46">
        <v>2</v>
      </c>
      <c r="K15" s="46" t="s">
        <v>226</v>
      </c>
      <c r="L15" s="72" t="s">
        <v>226</v>
      </c>
      <c r="M15" s="43">
        <f t="shared" si="2"/>
        <v>8</v>
      </c>
      <c r="N15" s="76" t="s">
        <v>349</v>
      </c>
      <c r="O15" s="43">
        <f t="shared" si="3"/>
        <v>0</v>
      </c>
      <c r="P15" s="70" t="str">
        <f>P14</f>
        <v>FFFFFFFB</v>
      </c>
      <c r="Q15" s="46">
        <f>Q14</f>
        <v>0</v>
      </c>
      <c r="R15" s="73" t="str">
        <f>DEC2HEX(-K14)</f>
        <v>5</v>
      </c>
      <c r="S15" s="52"/>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c r="AR15" s="52"/>
      <c r="AS15" s="52"/>
      <c r="AT15" s="52"/>
      <c r="AU15" s="57"/>
      <c r="AV15" s="67"/>
      <c r="AW15" s="67"/>
      <c r="AX15" s="67"/>
      <c r="AY15" s="67"/>
      <c r="AZ15" s="67"/>
      <c r="BA15" s="67"/>
      <c r="BB15" s="67"/>
      <c r="BC15" s="67"/>
      <c r="BD15" s="67"/>
      <c r="BE15" s="67"/>
      <c r="BF15" s="67"/>
      <c r="BG15" s="67"/>
      <c r="BH15" s="67"/>
      <c r="BI15" s="67"/>
      <c r="BJ15" s="67"/>
      <c r="BK15" s="67"/>
      <c r="BL15" s="67"/>
      <c r="BM15" s="67"/>
      <c r="BN15" s="67"/>
      <c r="BO15" s="67"/>
      <c r="BP15" s="67"/>
      <c r="BQ15" s="67"/>
      <c r="BR15" s="67"/>
      <c r="BS15" s="67"/>
      <c r="BT15" s="67"/>
      <c r="BU15" s="67"/>
      <c r="BV15" s="67"/>
      <c r="BW15" s="67"/>
      <c r="BX15" s="67"/>
      <c r="BY15" s="67"/>
      <c r="BZ15" s="67"/>
      <c r="CA15" s="67"/>
      <c r="CB15" s="67"/>
      <c r="CC15" s="67"/>
      <c r="CD15" s="67"/>
    </row>
    <row r="16" spans="1:82">
      <c r="A16" s="43" t="str">
        <f t="shared" si="0"/>
        <v>LDU#</v>
      </c>
      <c r="B16" s="43" t="str">
        <f>"R["&amp;H16&amp;"] &lt;= "&amp;K16</f>
        <v>R[1] &lt;= 3</v>
      </c>
      <c r="C16" s="43" t="s">
        <v>226</v>
      </c>
      <c r="D16" s="42" t="str">
        <f t="shared" si="1"/>
        <v>B LDU R1,R0,3</v>
      </c>
      <c r="E16" s="45"/>
      <c r="F16" s="43" t="s">
        <v>341</v>
      </c>
      <c r="G16" s="43" t="str">
        <f>IF(K16&gt;=0,"LDU","LD")</f>
        <v>LDU</v>
      </c>
      <c r="H16" s="46">
        <v>1</v>
      </c>
      <c r="I16" s="46">
        <v>0</v>
      </c>
      <c r="J16" s="46" t="s">
        <v>226</v>
      </c>
      <c r="K16" s="47">
        <v>3</v>
      </c>
      <c r="L16" s="74" t="str">
        <f>RIGHT(DEC2HEX(K16,10),8)</f>
        <v>00000003</v>
      </c>
      <c r="M16" s="43">
        <f t="shared" si="2"/>
        <v>9</v>
      </c>
      <c r="N16" s="69"/>
      <c r="O16" s="43">
        <f t="shared" si="3"/>
        <v>0</v>
      </c>
      <c r="P16" s="66" t="str">
        <f>L16</f>
        <v>00000003</v>
      </c>
      <c r="Q16" s="46"/>
      <c r="R16" s="46"/>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c r="AR16" s="52"/>
      <c r="AS16" s="52"/>
      <c r="AT16" s="52"/>
      <c r="AU16" s="57"/>
      <c r="AV16" s="67"/>
      <c r="AW16" s="67"/>
      <c r="AX16" s="67"/>
      <c r="AY16" s="67"/>
      <c r="AZ16" s="67"/>
      <c r="BA16" s="67"/>
      <c r="BB16" s="67"/>
      <c r="BC16" s="67"/>
      <c r="BD16" s="67"/>
      <c r="BE16" s="67"/>
      <c r="BF16" s="67"/>
      <c r="BG16" s="67"/>
      <c r="BH16" s="67"/>
      <c r="BI16" s="67"/>
      <c r="BJ16" s="67"/>
      <c r="BK16" s="67"/>
      <c r="BL16" s="67"/>
      <c r="BM16" s="67"/>
      <c r="BN16" s="67"/>
      <c r="BO16" s="67"/>
      <c r="BP16" s="67"/>
      <c r="BQ16" s="67"/>
      <c r="BR16" s="67"/>
      <c r="BS16" s="67"/>
      <c r="BT16" s="67"/>
      <c r="BU16" s="67"/>
      <c r="BV16" s="67"/>
      <c r="BW16" s="67"/>
      <c r="BX16" s="67"/>
      <c r="BY16" s="67"/>
      <c r="BZ16" s="67"/>
      <c r="CA16" s="67"/>
      <c r="CB16" s="67"/>
      <c r="CC16" s="67"/>
      <c r="CD16" s="67"/>
    </row>
    <row r="17" spans="1:82">
      <c r="A17" s="64" t="str">
        <f t="shared" si="0"/>
        <v>LDU#</v>
      </c>
      <c r="B17" s="43" t="str">
        <f>"R["&amp;H17&amp;"] &lt;= "&amp;K17</f>
        <v>R[2] &lt;= 9</v>
      </c>
      <c r="C17" s="43" t="s">
        <v>226</v>
      </c>
      <c r="D17" s="42" t="str">
        <f t="shared" si="1"/>
        <v>B LDU R2,R0,9</v>
      </c>
      <c r="E17" s="45"/>
      <c r="F17" s="43" t="s">
        <v>341</v>
      </c>
      <c r="G17" s="43" t="str">
        <f>IF(K17&gt;=0,"LDU","LD")</f>
        <v>LDU</v>
      </c>
      <c r="H17" s="46">
        <v>2</v>
      </c>
      <c r="I17" s="46">
        <v>0</v>
      </c>
      <c r="J17" s="46" t="s">
        <v>226</v>
      </c>
      <c r="K17" s="46">
        <v>9</v>
      </c>
      <c r="L17" s="68" t="str">
        <f>RIGHT(DEC2HEX(K17,10),8)</f>
        <v>00000009</v>
      </c>
      <c r="M17" s="43">
        <f t="shared" si="2"/>
        <v>10</v>
      </c>
      <c r="N17" s="69"/>
      <c r="O17" s="43">
        <f t="shared" si="3"/>
        <v>0</v>
      </c>
      <c r="P17" s="70" t="str">
        <f>P16</f>
        <v>00000003</v>
      </c>
      <c r="Q17" s="71" t="str">
        <f>L17</f>
        <v>00000009</v>
      </c>
      <c r="R17" s="46"/>
      <c r="S17" s="52"/>
      <c r="T17" s="52"/>
      <c r="U17" s="52"/>
      <c r="V17" s="52"/>
      <c r="W17" s="52"/>
      <c r="X17" s="52"/>
      <c r="Y17" s="52"/>
      <c r="Z17" s="52"/>
      <c r="AA17" s="52"/>
      <c r="AB17" s="52"/>
      <c r="AC17" s="52"/>
      <c r="AD17" s="52"/>
      <c r="AE17" s="52"/>
      <c r="AF17" s="52"/>
      <c r="AG17" s="52"/>
      <c r="AH17" s="52"/>
      <c r="AI17" s="52"/>
      <c r="AJ17" s="52"/>
      <c r="AK17" s="52"/>
      <c r="AL17" s="52"/>
      <c r="AM17" s="52"/>
      <c r="AN17" s="52"/>
      <c r="AO17" s="52"/>
      <c r="AP17" s="52"/>
      <c r="AQ17" s="52"/>
      <c r="AR17" s="52"/>
      <c r="AS17" s="52"/>
      <c r="AT17" s="52"/>
      <c r="AU17" s="57"/>
      <c r="AV17" s="67"/>
      <c r="AW17" s="67"/>
      <c r="AX17" s="67"/>
      <c r="AY17" s="67"/>
      <c r="AZ17" s="67"/>
      <c r="BA17" s="67"/>
      <c r="BB17" s="67"/>
      <c r="BC17" s="67"/>
      <c r="BD17" s="67"/>
      <c r="BE17" s="67"/>
      <c r="BF17" s="67"/>
      <c r="BG17" s="67"/>
      <c r="BH17" s="67"/>
      <c r="BI17" s="67"/>
      <c r="BJ17" s="67"/>
      <c r="BK17" s="67"/>
      <c r="BL17" s="67"/>
      <c r="BM17" s="67"/>
      <c r="BN17" s="67"/>
      <c r="BO17" s="67"/>
      <c r="BP17" s="67"/>
      <c r="BQ17" s="67"/>
      <c r="BR17" s="67"/>
      <c r="BS17" s="67"/>
      <c r="BT17" s="67"/>
      <c r="BU17" s="67"/>
      <c r="BV17" s="67"/>
      <c r="BW17" s="67"/>
      <c r="BX17" s="67"/>
      <c r="BY17" s="67"/>
      <c r="BZ17" s="67"/>
      <c r="CA17" s="67"/>
      <c r="CB17" s="67"/>
      <c r="CC17" s="67"/>
      <c r="CD17" s="67"/>
    </row>
    <row r="18" spans="1:82" ht="31.5">
      <c r="A18" s="44" t="str">
        <f t="shared" si="0"/>
        <v>AND</v>
      </c>
      <c r="B18" s="43" t="str">
        <f>"R["&amp;H18&amp;"] &lt;= R["&amp;I18&amp;"] &amp; R["&amp;J18&amp;"]"</f>
        <v>R[3] &lt;= R[1] &amp; R[2]</v>
      </c>
      <c r="C18" s="43" t="s">
        <v>350</v>
      </c>
      <c r="D18" s="41" t="str">
        <f t="shared" si="1"/>
        <v>A AND R3,R1,R2</v>
      </c>
      <c r="E18" s="77"/>
      <c r="F18" s="35" t="s">
        <v>228</v>
      </c>
      <c r="G18" s="35" t="s">
        <v>17</v>
      </c>
      <c r="H18" s="38">
        <v>3</v>
      </c>
      <c r="I18" s="38">
        <v>1</v>
      </c>
      <c r="J18" s="38">
        <v>2</v>
      </c>
      <c r="K18" s="38" t="s">
        <v>226</v>
      </c>
      <c r="L18" s="72" t="s">
        <v>226</v>
      </c>
      <c r="M18" s="43">
        <f t="shared" si="2"/>
        <v>11</v>
      </c>
      <c r="N18" s="56"/>
      <c r="O18" s="43">
        <f t="shared" si="3"/>
        <v>0</v>
      </c>
      <c r="P18" s="70" t="str">
        <f>P17</f>
        <v>00000003</v>
      </c>
      <c r="Q18" s="46" t="str">
        <f>Q17</f>
        <v>00000009</v>
      </c>
      <c r="R18" s="73" t="e">
        <f ca="1">DEC2HEX(bitwise_and(HEX2DEC(P18),HEX2DEC(Q18)))</f>
        <v>#NAME?</v>
      </c>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7"/>
      <c r="AV18" s="67"/>
      <c r="AW18" s="67"/>
      <c r="AX18" s="67"/>
      <c r="AY18" s="67"/>
      <c r="AZ18" s="67"/>
      <c r="BA18" s="67"/>
      <c r="BB18" s="67"/>
      <c r="BC18" s="67"/>
      <c r="BD18" s="67"/>
      <c r="BE18" s="67"/>
      <c r="BF18" s="67"/>
      <c r="BG18" s="67"/>
      <c r="BH18" s="67"/>
      <c r="BI18" s="67"/>
      <c r="BJ18" s="67"/>
      <c r="BK18" s="67"/>
      <c r="BL18" s="67"/>
      <c r="BM18" s="67"/>
      <c r="BN18" s="67"/>
      <c r="BO18" s="67"/>
      <c r="BP18" s="67"/>
      <c r="BQ18" s="67"/>
      <c r="BR18" s="67"/>
      <c r="BS18" s="67"/>
      <c r="BT18" s="67"/>
      <c r="BU18" s="67"/>
      <c r="BV18" s="67"/>
      <c r="BW18" s="67"/>
      <c r="BX18" s="67"/>
      <c r="BY18" s="67"/>
      <c r="BZ18" s="67"/>
      <c r="CA18" s="67"/>
      <c r="CB18" s="67"/>
      <c r="CC18" s="67"/>
      <c r="CD18" s="67"/>
    </row>
    <row r="19" spans="1:82">
      <c r="A19" s="43" t="str">
        <f t="shared" si="0"/>
        <v>LDU#</v>
      </c>
      <c r="B19" s="43" t="str">
        <f>"R["&amp;H19&amp;"] &lt;= "&amp;K19</f>
        <v>R[1] &lt;= 9</v>
      </c>
      <c r="C19" s="43" t="s">
        <v>226</v>
      </c>
      <c r="D19" s="43" t="str">
        <f t="shared" si="1"/>
        <v>B LDU R1,R0,9</v>
      </c>
      <c r="E19" s="45"/>
      <c r="F19" s="43" t="s">
        <v>341</v>
      </c>
      <c r="G19" s="43" t="str">
        <f>IF(K19&gt;=0,"LDU","LD")</f>
        <v>LDU</v>
      </c>
      <c r="H19" s="46">
        <v>1</v>
      </c>
      <c r="I19" s="46">
        <v>0</v>
      </c>
      <c r="J19" s="46" t="s">
        <v>226</v>
      </c>
      <c r="K19" s="47">
        <v>9</v>
      </c>
      <c r="L19" s="74" t="str">
        <f>RIGHT(DEC2HEX(K19,10),8)</f>
        <v>00000009</v>
      </c>
      <c r="M19" s="43">
        <f t="shared" si="2"/>
        <v>12</v>
      </c>
      <c r="N19" s="69"/>
      <c r="O19" s="43">
        <f t="shared" si="3"/>
        <v>0</v>
      </c>
      <c r="P19" s="66" t="str">
        <f>L19</f>
        <v>00000009</v>
      </c>
      <c r="Q19" s="46"/>
      <c r="R19" s="46"/>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7"/>
      <c r="AV19" s="67"/>
      <c r="AW19" s="67"/>
      <c r="AX19" s="67"/>
      <c r="AY19" s="67"/>
      <c r="AZ19" s="67"/>
      <c r="BA19" s="67"/>
      <c r="BB19" s="67"/>
      <c r="BC19" s="67"/>
      <c r="BD19" s="67"/>
      <c r="BE19" s="67"/>
      <c r="BF19" s="67"/>
      <c r="BG19" s="67"/>
      <c r="BH19" s="67"/>
      <c r="BI19" s="67"/>
      <c r="BJ19" s="67"/>
      <c r="BK19" s="67"/>
      <c r="BL19" s="67"/>
      <c r="BM19" s="67"/>
      <c r="BN19" s="67"/>
      <c r="BO19" s="67"/>
      <c r="BP19" s="67"/>
      <c r="BQ19" s="67"/>
      <c r="BR19" s="67"/>
      <c r="BS19" s="67"/>
      <c r="BT19" s="67"/>
      <c r="BU19" s="67"/>
      <c r="BV19" s="67"/>
      <c r="BW19" s="67"/>
      <c r="BX19" s="67"/>
      <c r="BY19" s="67"/>
      <c r="BZ19" s="67"/>
      <c r="CA19" s="67"/>
      <c r="CB19" s="67"/>
      <c r="CC19" s="67"/>
      <c r="CD19" s="67"/>
    </row>
    <row r="20" spans="1:82">
      <c r="A20" s="64" t="str">
        <f t="shared" si="0"/>
        <v>LDU#</v>
      </c>
      <c r="B20" s="43" t="str">
        <f>"R["&amp;H20&amp;"] &lt;= "&amp;K20</f>
        <v>R[2] &lt;= 5</v>
      </c>
      <c r="C20" s="43" t="s">
        <v>226</v>
      </c>
      <c r="D20" s="43" t="str">
        <f t="shared" si="1"/>
        <v>B LDU R2,R0,5</v>
      </c>
      <c r="E20" s="45"/>
      <c r="F20" s="43" t="s">
        <v>341</v>
      </c>
      <c r="G20" s="43" t="str">
        <f>IF(K20&gt;=0,"LDU","LD")</f>
        <v>LDU</v>
      </c>
      <c r="H20" s="46">
        <v>2</v>
      </c>
      <c r="I20" s="46">
        <v>0</v>
      </c>
      <c r="J20" s="46" t="s">
        <v>226</v>
      </c>
      <c r="K20" s="46">
        <v>5</v>
      </c>
      <c r="L20" s="68" t="str">
        <f>RIGHT(DEC2HEX(K20,10),8)</f>
        <v>00000005</v>
      </c>
      <c r="M20" s="43">
        <f t="shared" si="2"/>
        <v>13</v>
      </c>
      <c r="N20" s="69"/>
      <c r="O20" s="43">
        <f t="shared" si="3"/>
        <v>0</v>
      </c>
      <c r="P20" s="70" t="str">
        <f>P19</f>
        <v>00000009</v>
      </c>
      <c r="Q20" s="71" t="str">
        <f>L20</f>
        <v>00000005</v>
      </c>
      <c r="R20" s="46"/>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7"/>
      <c r="AV20" s="67"/>
      <c r="AW20" s="67"/>
      <c r="AX20" s="67"/>
      <c r="AY20" s="67"/>
      <c r="AZ20" s="67"/>
      <c r="BA20" s="67"/>
      <c r="BB20" s="67"/>
      <c r="BC20" s="67"/>
      <c r="BD20" s="67"/>
      <c r="BE20" s="67"/>
      <c r="BF20" s="67"/>
      <c r="BG20" s="67"/>
      <c r="BH20" s="67"/>
      <c r="BI20" s="67"/>
      <c r="BJ20" s="67"/>
      <c r="BK20" s="67"/>
      <c r="BL20" s="67"/>
      <c r="BM20" s="67"/>
      <c r="BN20" s="67"/>
      <c r="BO20" s="67"/>
      <c r="BP20" s="67"/>
      <c r="BQ20" s="67"/>
      <c r="BR20" s="67"/>
      <c r="BS20" s="67"/>
      <c r="BT20" s="67"/>
      <c r="BU20" s="67"/>
      <c r="BV20" s="67"/>
      <c r="BW20" s="67"/>
      <c r="BX20" s="67"/>
      <c r="BY20" s="67"/>
      <c r="BZ20" s="67"/>
      <c r="CA20" s="67"/>
      <c r="CB20" s="67"/>
      <c r="CC20" s="67"/>
      <c r="CD20" s="67"/>
    </row>
    <row r="21" spans="1:82" ht="31.5">
      <c r="A21" s="44" t="str">
        <f t="shared" si="0"/>
        <v>OR</v>
      </c>
      <c r="B21" s="43" t="str">
        <f>"R["&amp;H21&amp;"] &lt;= R["&amp;I21&amp;"] | R["&amp;J21&amp;"]"</f>
        <v>R[3] &lt;= R[1] | R[2]</v>
      </c>
      <c r="C21" s="43" t="s">
        <v>351</v>
      </c>
      <c r="D21" s="43" t="str">
        <f t="shared" si="1"/>
        <v>A OR R3,R1,R2</v>
      </c>
      <c r="E21" s="45"/>
      <c r="F21" s="44" t="s">
        <v>228</v>
      </c>
      <c r="G21" s="44" t="s">
        <v>20</v>
      </c>
      <c r="H21" s="46">
        <v>3</v>
      </c>
      <c r="I21" s="46">
        <v>1</v>
      </c>
      <c r="J21" s="46">
        <v>2</v>
      </c>
      <c r="K21" s="46" t="s">
        <v>226</v>
      </c>
      <c r="L21" s="72" t="s">
        <v>226</v>
      </c>
      <c r="M21" s="43">
        <f t="shared" si="2"/>
        <v>14</v>
      </c>
      <c r="N21" s="56"/>
      <c r="O21" s="43">
        <f t="shared" si="3"/>
        <v>0</v>
      </c>
      <c r="P21" s="70" t="str">
        <f>P20</f>
        <v>00000009</v>
      </c>
      <c r="Q21" s="46" t="str">
        <f>Q20</f>
        <v>00000005</v>
      </c>
      <c r="R21" s="73" t="e">
        <f ca="1">DEC2HEX(bitwise_or(HEX2DEC(P21),HEX2DEC(Q21)))</f>
        <v>#NAME?</v>
      </c>
      <c r="S21" s="52"/>
      <c r="T21" s="52"/>
      <c r="U21" s="52"/>
      <c r="V21" s="52"/>
      <c r="W21" s="52"/>
      <c r="X21" s="52"/>
      <c r="Y21" s="52"/>
      <c r="Z21" s="52"/>
      <c r="AA21" s="52"/>
      <c r="AB21" s="52"/>
      <c r="AC21" s="52"/>
      <c r="AD21" s="52"/>
      <c r="AE21" s="52"/>
      <c r="AF21" s="52"/>
      <c r="AG21" s="52"/>
      <c r="AH21" s="52"/>
      <c r="AI21" s="52"/>
      <c r="AJ21" s="52"/>
      <c r="AK21" s="52"/>
      <c r="AL21" s="52"/>
      <c r="AM21" s="52"/>
      <c r="AN21" s="52"/>
      <c r="AO21" s="52"/>
      <c r="AP21" s="52"/>
      <c r="AQ21" s="52"/>
      <c r="AR21" s="52"/>
      <c r="AS21" s="52"/>
      <c r="AT21" s="52"/>
      <c r="AU21" s="5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c r="BV21" s="67"/>
      <c r="BW21" s="67"/>
      <c r="BX21" s="67"/>
      <c r="BY21" s="67"/>
      <c r="BZ21" s="67"/>
      <c r="CA21" s="67"/>
      <c r="CB21" s="67"/>
      <c r="CC21" s="67"/>
      <c r="CD21" s="67"/>
    </row>
    <row r="22" spans="1:82">
      <c r="A22" s="43" t="str">
        <f t="shared" si="0"/>
        <v>LDU#</v>
      </c>
      <c r="B22" s="43" t="str">
        <f>"R["&amp;H22&amp;"] &lt;= "&amp;K22</f>
        <v>R[1] &lt;= 2</v>
      </c>
      <c r="C22" s="43" t="s">
        <v>226</v>
      </c>
      <c r="D22" s="43" t="str">
        <f t="shared" si="1"/>
        <v>B LDU R1,R0,2</v>
      </c>
      <c r="E22" s="45"/>
      <c r="F22" s="43" t="s">
        <v>341</v>
      </c>
      <c r="G22" s="43" t="str">
        <f>IF(K22&gt;=0,"LDU","LD")</f>
        <v>LDU</v>
      </c>
      <c r="H22" s="46">
        <v>1</v>
      </c>
      <c r="I22" s="46">
        <v>0</v>
      </c>
      <c r="J22" s="46" t="s">
        <v>226</v>
      </c>
      <c r="K22" s="47">
        <v>2</v>
      </c>
      <c r="L22" s="74" t="str">
        <f>RIGHT(DEC2HEX(K22,10),8)</f>
        <v>00000002</v>
      </c>
      <c r="M22" s="43">
        <f t="shared" si="2"/>
        <v>15</v>
      </c>
      <c r="N22" s="69"/>
      <c r="O22" s="43">
        <f t="shared" si="3"/>
        <v>0</v>
      </c>
      <c r="P22" s="66" t="str">
        <f>L22</f>
        <v>00000002</v>
      </c>
      <c r="Q22" s="46"/>
      <c r="R22" s="46"/>
      <c r="S22" s="52"/>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c r="AR22" s="52"/>
      <c r="AS22" s="52"/>
      <c r="AT22" s="52"/>
      <c r="AU22" s="57"/>
      <c r="AV22" s="67"/>
      <c r="AW22" s="67"/>
      <c r="AX22" s="67"/>
      <c r="AY22" s="67"/>
      <c r="AZ22" s="67"/>
      <c r="BA22" s="67"/>
      <c r="BB22" s="67"/>
      <c r="BC22" s="67"/>
      <c r="BD22" s="67"/>
      <c r="BE22" s="67"/>
      <c r="BF22" s="67"/>
      <c r="BG22" s="67"/>
      <c r="BH22" s="67"/>
      <c r="BI22" s="67"/>
      <c r="BJ22" s="67"/>
      <c r="BK22" s="67"/>
      <c r="BL22" s="67"/>
      <c r="BM22" s="67"/>
      <c r="BN22" s="67"/>
      <c r="BO22" s="67"/>
      <c r="BP22" s="67"/>
      <c r="BQ22" s="67"/>
      <c r="BR22" s="67"/>
      <c r="BS22" s="67"/>
      <c r="BT22" s="67"/>
      <c r="BU22" s="67"/>
      <c r="BV22" s="67"/>
      <c r="BW22" s="67"/>
      <c r="BX22" s="67"/>
      <c r="BY22" s="67"/>
      <c r="BZ22" s="67"/>
      <c r="CA22" s="67"/>
      <c r="CB22" s="67"/>
      <c r="CC22" s="67"/>
      <c r="CD22" s="67"/>
    </row>
    <row r="23" spans="1:82">
      <c r="A23" s="64" t="str">
        <f t="shared" si="0"/>
        <v>LDU#</v>
      </c>
      <c r="B23" s="43" t="str">
        <f>"R["&amp;H23&amp;"] &lt;= "&amp;K23</f>
        <v>R[2] &lt;= 9</v>
      </c>
      <c r="C23" s="43" t="s">
        <v>226</v>
      </c>
      <c r="D23" s="43" t="str">
        <f t="shared" si="1"/>
        <v>B LDU R2,R0,9</v>
      </c>
      <c r="E23" s="45"/>
      <c r="F23" s="43" t="s">
        <v>341</v>
      </c>
      <c r="G23" s="43" t="str">
        <f>IF(K23&gt;=0,"LDU","LD")</f>
        <v>LDU</v>
      </c>
      <c r="H23" s="46">
        <v>2</v>
      </c>
      <c r="I23" s="46">
        <v>0</v>
      </c>
      <c r="J23" s="46" t="s">
        <v>226</v>
      </c>
      <c r="K23" s="46">
        <v>9</v>
      </c>
      <c r="L23" s="68" t="str">
        <f>RIGHT(DEC2HEX(K23,10),8)</f>
        <v>00000009</v>
      </c>
      <c r="M23" s="43">
        <f t="shared" si="2"/>
        <v>16</v>
      </c>
      <c r="N23" s="69"/>
      <c r="O23" s="43">
        <f t="shared" si="3"/>
        <v>0</v>
      </c>
      <c r="P23" s="70" t="str">
        <f>P22</f>
        <v>00000002</v>
      </c>
      <c r="Q23" s="71" t="str">
        <f>L23</f>
        <v>00000009</v>
      </c>
      <c r="R23" s="46"/>
      <c r="S23" s="52"/>
      <c r="T23" s="52"/>
      <c r="U23" s="52"/>
      <c r="V23" s="52"/>
      <c r="W23" s="52"/>
      <c r="X23" s="52"/>
      <c r="Y23" s="52"/>
      <c r="Z23" s="52"/>
      <c r="AA23" s="52"/>
      <c r="AB23" s="52"/>
      <c r="AC23" s="52"/>
      <c r="AD23" s="52"/>
      <c r="AE23" s="52"/>
      <c r="AF23" s="52"/>
      <c r="AG23" s="52"/>
      <c r="AH23" s="52"/>
      <c r="AI23" s="52"/>
      <c r="AJ23" s="52"/>
      <c r="AK23" s="52"/>
      <c r="AL23" s="52"/>
      <c r="AM23" s="52"/>
      <c r="AN23" s="52"/>
      <c r="AO23" s="52"/>
      <c r="AP23" s="52"/>
      <c r="AQ23" s="52"/>
      <c r="AR23" s="52"/>
      <c r="AS23" s="52"/>
      <c r="AT23" s="52"/>
      <c r="AU23" s="57"/>
      <c r="AV23" s="67"/>
      <c r="AW23" s="67"/>
      <c r="AX23" s="67"/>
      <c r="AY23" s="67"/>
      <c r="AZ23" s="67"/>
      <c r="BA23" s="67"/>
      <c r="BB23" s="67"/>
      <c r="BC23" s="67"/>
      <c r="BD23" s="67"/>
      <c r="BE23" s="67"/>
      <c r="BF23" s="67"/>
      <c r="BG23" s="67"/>
      <c r="BH23" s="67"/>
      <c r="BI23" s="67"/>
      <c r="BJ23" s="67"/>
      <c r="BK23" s="67"/>
      <c r="BL23" s="67"/>
      <c r="BM23" s="67"/>
      <c r="BN23" s="67"/>
      <c r="BO23" s="67"/>
      <c r="BP23" s="67"/>
      <c r="BQ23" s="67"/>
      <c r="BR23" s="67"/>
      <c r="BS23" s="67"/>
      <c r="BT23" s="67"/>
      <c r="BU23" s="67"/>
      <c r="BV23" s="67"/>
      <c r="BW23" s="67"/>
      <c r="BX23" s="67"/>
      <c r="BY23" s="67"/>
      <c r="BZ23" s="67"/>
      <c r="CA23" s="67"/>
      <c r="CB23" s="67"/>
      <c r="CC23" s="67"/>
      <c r="CD23" s="67"/>
    </row>
    <row r="24" spans="1:82" ht="31.5">
      <c r="A24" s="44" t="str">
        <f t="shared" si="0"/>
        <v>XOR</v>
      </c>
      <c r="B24" s="43" t="str">
        <f>"R["&amp;H24&amp;"] &lt;= XOR(R["&amp;I24&amp;"] , R["&amp;J24&amp;"])"</f>
        <v>R[3] &lt;= XOR(R[1] , R[2])</v>
      </c>
      <c r="C24" s="43" t="s">
        <v>352</v>
      </c>
      <c r="D24" s="43" t="str">
        <f t="shared" si="1"/>
        <v>A XOR R3,R1,R2</v>
      </c>
      <c r="E24" s="45"/>
      <c r="F24" s="44" t="s">
        <v>228</v>
      </c>
      <c r="G24" s="44" t="s">
        <v>26</v>
      </c>
      <c r="H24" s="46">
        <v>3</v>
      </c>
      <c r="I24" s="46">
        <v>1</v>
      </c>
      <c r="J24" s="46">
        <v>2</v>
      </c>
      <c r="K24" s="46" t="s">
        <v>226</v>
      </c>
      <c r="L24" s="72" t="s">
        <v>226</v>
      </c>
      <c r="M24" s="43">
        <f t="shared" si="2"/>
        <v>17</v>
      </c>
      <c r="N24" s="56"/>
      <c r="O24" s="43">
        <f t="shared" si="3"/>
        <v>0</v>
      </c>
      <c r="P24" s="70" t="str">
        <f>P23</f>
        <v>00000002</v>
      </c>
      <c r="Q24" s="46" t="str">
        <f>Q23</f>
        <v>00000009</v>
      </c>
      <c r="R24" s="73" t="e">
        <f ca="1">DEC2HEX(bitwise_xor(HEX2DEC(P24),HEX2DEC(Q24)))</f>
        <v>#NAME?</v>
      </c>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c r="AR24" s="52"/>
      <c r="AS24" s="52"/>
      <c r="AT24" s="52"/>
      <c r="AU24" s="57"/>
      <c r="AV24" s="67"/>
      <c r="AW24" s="67"/>
      <c r="AX24" s="67"/>
      <c r="AY24" s="67"/>
      <c r="AZ24" s="67"/>
      <c r="BA24" s="67"/>
      <c r="BB24" s="67"/>
      <c r="BC24" s="67"/>
      <c r="BD24" s="67"/>
      <c r="BE24" s="67"/>
      <c r="BF24" s="67"/>
      <c r="BG24" s="67"/>
      <c r="BH24" s="67"/>
      <c r="BI24" s="67"/>
      <c r="BJ24" s="67"/>
      <c r="BK24" s="67"/>
      <c r="BL24" s="67"/>
      <c r="BM24" s="67"/>
      <c r="BN24" s="67"/>
      <c r="BO24" s="67"/>
      <c r="BP24" s="67"/>
      <c r="BQ24" s="67"/>
      <c r="BR24" s="67"/>
      <c r="BS24" s="67"/>
      <c r="BT24" s="67"/>
      <c r="BU24" s="67"/>
      <c r="BV24" s="67"/>
      <c r="BW24" s="67"/>
      <c r="BX24" s="67"/>
      <c r="BY24" s="67"/>
      <c r="BZ24" s="67"/>
      <c r="CA24" s="67"/>
      <c r="CB24" s="67"/>
      <c r="CC24" s="67"/>
      <c r="CD24" s="67"/>
    </row>
    <row r="25" spans="1:82">
      <c r="A25" s="43" t="str">
        <f t="shared" si="0"/>
        <v>LDU#</v>
      </c>
      <c r="B25" s="43" t="str">
        <f>"R["&amp;H25&amp;"] &lt;= "&amp;K25</f>
        <v>R[1] &lt;= 2</v>
      </c>
      <c r="C25" s="43" t="s">
        <v>226</v>
      </c>
      <c r="D25" s="43" t="str">
        <f t="shared" si="1"/>
        <v>B LDU R1,R0,2</v>
      </c>
      <c r="E25" s="45"/>
      <c r="F25" s="43" t="s">
        <v>341</v>
      </c>
      <c r="G25" s="43" t="str">
        <f>IF(K25&gt;=0,"LDU","LD")</f>
        <v>LDU</v>
      </c>
      <c r="H25" s="46">
        <v>1</v>
      </c>
      <c r="I25" s="46">
        <v>0</v>
      </c>
      <c r="J25" s="46" t="s">
        <v>226</v>
      </c>
      <c r="K25" s="47">
        <v>2</v>
      </c>
      <c r="L25" s="74" t="str">
        <f>RIGHT(DEC2HEX(K25,10),8)</f>
        <v>00000002</v>
      </c>
      <c r="M25" s="43">
        <f t="shared" si="2"/>
        <v>18</v>
      </c>
      <c r="N25" s="69"/>
      <c r="O25" s="43">
        <f t="shared" si="3"/>
        <v>0</v>
      </c>
      <c r="P25" s="66" t="str">
        <f>L25</f>
        <v>00000002</v>
      </c>
      <c r="Q25" s="46"/>
      <c r="R25" s="46"/>
      <c r="S25" s="52"/>
      <c r="T25" s="52"/>
      <c r="U25" s="52"/>
      <c r="V25" s="52"/>
      <c r="W25" s="52"/>
      <c r="X25" s="52"/>
      <c r="Y25" s="52"/>
      <c r="Z25" s="52"/>
      <c r="AA25" s="52"/>
      <c r="AB25" s="52"/>
      <c r="AC25" s="52"/>
      <c r="AD25" s="52"/>
      <c r="AE25" s="52"/>
      <c r="AF25" s="52"/>
      <c r="AG25" s="52"/>
      <c r="AH25" s="52"/>
      <c r="AI25" s="52"/>
      <c r="AJ25" s="52"/>
      <c r="AK25" s="52"/>
      <c r="AL25" s="52"/>
      <c r="AM25" s="52"/>
      <c r="AN25" s="52"/>
      <c r="AO25" s="52"/>
      <c r="AP25" s="52"/>
      <c r="AQ25" s="52"/>
      <c r="AR25" s="52"/>
      <c r="AS25" s="52"/>
      <c r="AT25" s="52"/>
      <c r="AU25" s="57"/>
      <c r="AV25" s="67"/>
      <c r="AW25" s="67"/>
      <c r="AX25" s="67"/>
      <c r="AY25" s="67"/>
      <c r="AZ25" s="67"/>
      <c r="BA25" s="67"/>
      <c r="BB25" s="67"/>
      <c r="BC25" s="67"/>
      <c r="BD25" s="67"/>
      <c r="BE25" s="67"/>
      <c r="BF25" s="67"/>
      <c r="BG25" s="67"/>
      <c r="BH25" s="67"/>
      <c r="BI25" s="67"/>
      <c r="BJ25" s="67"/>
      <c r="BK25" s="67"/>
      <c r="BL25" s="67"/>
      <c r="BM25" s="67"/>
      <c r="BN25" s="67"/>
      <c r="BO25" s="67"/>
      <c r="BP25" s="67"/>
      <c r="BQ25" s="67"/>
      <c r="BR25" s="67"/>
      <c r="BS25" s="67"/>
      <c r="BT25" s="67"/>
      <c r="BU25" s="67"/>
      <c r="BV25" s="67"/>
      <c r="BW25" s="67"/>
      <c r="BX25" s="67"/>
      <c r="BY25" s="67"/>
      <c r="BZ25" s="67"/>
      <c r="CA25" s="67"/>
      <c r="CB25" s="67"/>
      <c r="CC25" s="67"/>
      <c r="CD25" s="67"/>
    </row>
    <row r="26" spans="1:82">
      <c r="A26" s="64" t="str">
        <f t="shared" si="0"/>
        <v>LDU#</v>
      </c>
      <c r="B26" s="43" t="str">
        <f>"R["&amp;H26&amp;"] &lt;= "&amp;K26</f>
        <v>R[2] &lt;= 0</v>
      </c>
      <c r="C26" s="43" t="s">
        <v>226</v>
      </c>
      <c r="D26" s="43" t="str">
        <f t="shared" si="1"/>
        <v>B LDU R2,R0,0</v>
      </c>
      <c r="E26" s="45"/>
      <c r="F26" s="43" t="s">
        <v>341</v>
      </c>
      <c r="G26" s="43" t="str">
        <f>IF(K26&gt;=0,"LDU","LD")</f>
        <v>LDU</v>
      </c>
      <c r="H26" s="46">
        <v>2</v>
      </c>
      <c r="I26" s="46">
        <v>0</v>
      </c>
      <c r="J26" s="46" t="s">
        <v>226</v>
      </c>
      <c r="K26" s="46">
        <v>0</v>
      </c>
      <c r="L26" s="68" t="str">
        <f>RIGHT(DEC2HEX(K26,10),8)</f>
        <v>00000000</v>
      </c>
      <c r="M26" s="43">
        <f t="shared" si="2"/>
        <v>19</v>
      </c>
      <c r="N26" s="69"/>
      <c r="O26" s="43">
        <f t="shared" si="3"/>
        <v>0</v>
      </c>
      <c r="P26" s="70" t="str">
        <f>P25</f>
        <v>00000002</v>
      </c>
      <c r="Q26" s="71" t="str">
        <f>L26</f>
        <v>00000000</v>
      </c>
      <c r="R26" s="46"/>
      <c r="S26" s="52"/>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c r="AR26" s="52"/>
      <c r="AS26" s="52"/>
      <c r="AT26" s="52"/>
      <c r="AU26" s="57"/>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row>
    <row r="27" spans="1:82" ht="78.75">
      <c r="A27" s="44" t="str">
        <f t="shared" si="0"/>
        <v>COMP</v>
      </c>
      <c r="B27" s="43" t="str">
        <f>"R["&amp;H27&amp;"] &lt;= -R["&amp;I27&amp;"] -1"</f>
        <v>R[3] &lt;= -R[1] -1</v>
      </c>
      <c r="C27" s="43" t="s">
        <v>353</v>
      </c>
      <c r="D27" s="43" t="str">
        <f t="shared" si="1"/>
        <v>A COMP R3,R1,R0</v>
      </c>
      <c r="E27" s="45"/>
      <c r="F27" s="44" t="s">
        <v>228</v>
      </c>
      <c r="G27" s="44" t="s">
        <v>29</v>
      </c>
      <c r="H27" s="46">
        <v>3</v>
      </c>
      <c r="I27" s="46">
        <v>1</v>
      </c>
      <c r="J27" s="46">
        <v>0</v>
      </c>
      <c r="K27" s="46" t="s">
        <v>226</v>
      </c>
      <c r="L27" s="72" t="s">
        <v>226</v>
      </c>
      <c r="M27" s="43">
        <f t="shared" si="2"/>
        <v>20</v>
      </c>
      <c r="N27" s="56"/>
      <c r="O27" s="43">
        <f t="shared" si="3"/>
        <v>0</v>
      </c>
      <c r="P27" s="70" t="str">
        <f>P26</f>
        <v>00000002</v>
      </c>
      <c r="Q27" s="46" t="str">
        <f t="shared" ref="Q27:Q50" si="4">Q26</f>
        <v>00000000</v>
      </c>
      <c r="R27" s="73" t="str">
        <f>DEC2HEX(-HEX2DEC(P27)-1)</f>
        <v>FFFFFFFFFD</v>
      </c>
      <c r="S27" s="52"/>
      <c r="T27" s="52"/>
      <c r="U27" s="52"/>
      <c r="V27" s="52"/>
      <c r="W27" s="52"/>
      <c r="X27" s="52"/>
      <c r="Y27" s="52"/>
      <c r="Z27" s="52"/>
      <c r="AA27" s="52"/>
      <c r="AB27" s="52"/>
      <c r="AC27" s="52"/>
      <c r="AD27" s="52"/>
      <c r="AE27" s="52"/>
      <c r="AF27" s="52"/>
      <c r="AG27" s="52"/>
      <c r="AH27" s="52"/>
      <c r="AI27" s="52"/>
      <c r="AJ27" s="52"/>
      <c r="AK27" s="52"/>
      <c r="AL27" s="52"/>
      <c r="AM27" s="52"/>
      <c r="AN27" s="52"/>
      <c r="AO27" s="52"/>
      <c r="AP27" s="52"/>
      <c r="AQ27" s="52"/>
      <c r="AR27" s="52"/>
      <c r="AS27" s="52"/>
      <c r="AT27" s="52"/>
      <c r="AU27" s="57"/>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row>
    <row r="28" spans="1:82">
      <c r="A28" s="43" t="str">
        <f t="shared" si="0"/>
        <v>LD#</v>
      </c>
      <c r="B28" s="43" t="str">
        <f>"R["&amp;H28&amp;"] &lt;= "&amp;K28</f>
        <v>R[1] &lt;= -7</v>
      </c>
      <c r="C28" s="43" t="s">
        <v>226</v>
      </c>
      <c r="D28" s="43" t="str">
        <f t="shared" si="1"/>
        <v>B LD R1,R0,-7</v>
      </c>
      <c r="E28" s="45"/>
      <c r="F28" s="43" t="s">
        <v>341</v>
      </c>
      <c r="G28" s="43" t="str">
        <f>IF(K28&gt;=0,"LDU","LD")</f>
        <v>LD</v>
      </c>
      <c r="H28" s="46">
        <v>1</v>
      </c>
      <c r="I28" s="46">
        <v>0</v>
      </c>
      <c r="J28" s="46" t="s">
        <v>226</v>
      </c>
      <c r="K28" s="47">
        <v>-7</v>
      </c>
      <c r="L28" s="74" t="str">
        <f>RIGHT(DEC2HEX(K28,10),8)</f>
        <v>FFFFFFF9</v>
      </c>
      <c r="M28" s="43">
        <f t="shared" si="2"/>
        <v>21</v>
      </c>
      <c r="N28" s="69"/>
      <c r="O28" s="43">
        <f t="shared" si="3"/>
        <v>0</v>
      </c>
      <c r="P28" s="66" t="str">
        <f>L28</f>
        <v>FFFFFFF9</v>
      </c>
      <c r="Q28" s="46" t="str">
        <f t="shared" si="4"/>
        <v>00000000</v>
      </c>
      <c r="R28" s="46"/>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c r="AR28" s="52"/>
      <c r="AS28" s="52"/>
      <c r="AT28" s="52"/>
      <c r="AU28" s="57"/>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row>
    <row r="29" spans="1:82" ht="31.5">
      <c r="A29" s="78" t="str">
        <f t="shared" si="0"/>
        <v>LSL</v>
      </c>
      <c r="B29" s="43" t="str">
        <f>"R["&amp;H29&amp;"] &lt;=   R["&amp;I29&amp;"] &lt;&lt;"</f>
        <v>R[3] &lt;=   R[1] &lt;&lt;</v>
      </c>
      <c r="C29" s="43" t="s">
        <v>354</v>
      </c>
      <c r="D29" s="43" t="str">
        <f t="shared" si="1"/>
        <v>A LSL R3,R1,R0</v>
      </c>
      <c r="E29" s="45"/>
      <c r="F29" s="44" t="s">
        <v>228</v>
      </c>
      <c r="G29" s="44" t="s">
        <v>42</v>
      </c>
      <c r="H29" s="46">
        <v>3</v>
      </c>
      <c r="I29" s="46">
        <v>1</v>
      </c>
      <c r="J29" s="46">
        <v>0</v>
      </c>
      <c r="K29" s="46" t="s">
        <v>226</v>
      </c>
      <c r="L29" s="72" t="s">
        <v>226</v>
      </c>
      <c r="M29" s="43">
        <f t="shared" si="2"/>
        <v>22</v>
      </c>
      <c r="N29" s="56"/>
      <c r="O29" s="43">
        <f t="shared" si="3"/>
        <v>0</v>
      </c>
      <c r="P29" s="70" t="str">
        <f>P28</f>
        <v>FFFFFFF9</v>
      </c>
      <c r="Q29" s="46" t="str">
        <f t="shared" si="4"/>
        <v>00000000</v>
      </c>
      <c r="R29" s="79" t="e">
        <f ca="1">DEC2HEX(logicalshiftleft(ABS(P29),1))</f>
        <v>#NAME?</v>
      </c>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c r="AR29" s="52"/>
      <c r="AS29" s="52"/>
      <c r="AT29" s="52"/>
      <c r="AU29" s="57"/>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row>
    <row r="30" spans="1:82">
      <c r="A30" s="43" t="str">
        <f t="shared" si="0"/>
        <v>LD#</v>
      </c>
      <c r="B30" s="43" t="str">
        <f>"R["&amp;H30&amp;"] &lt;= "&amp;K30</f>
        <v>R[1] &lt;= -10</v>
      </c>
      <c r="C30" s="43" t="s">
        <v>226</v>
      </c>
      <c r="D30" s="43" t="str">
        <f t="shared" si="1"/>
        <v>B LD R1,R0,-10</v>
      </c>
      <c r="E30" s="45"/>
      <c r="F30" s="43" t="s">
        <v>341</v>
      </c>
      <c r="G30" s="43" t="str">
        <f>IF(K30&gt;=0,"LDU","LD")</f>
        <v>LD</v>
      </c>
      <c r="H30" s="46">
        <v>1</v>
      </c>
      <c r="I30" s="46">
        <v>0</v>
      </c>
      <c r="J30" s="46" t="s">
        <v>226</v>
      </c>
      <c r="K30" s="47">
        <v>-10</v>
      </c>
      <c r="L30" s="74" t="str">
        <f>RIGHT(DEC2HEX(K30,10),8)</f>
        <v>FFFFFFF6</v>
      </c>
      <c r="M30" s="43">
        <f t="shared" si="2"/>
        <v>23</v>
      </c>
      <c r="N30" s="69"/>
      <c r="O30" s="43">
        <f t="shared" si="3"/>
        <v>0</v>
      </c>
      <c r="P30" s="66" t="str">
        <f>L30</f>
        <v>FFFFFFF6</v>
      </c>
      <c r="Q30" s="46" t="str">
        <f t="shared" si="4"/>
        <v>00000000</v>
      </c>
      <c r="R30" s="46"/>
      <c r="S30" s="52"/>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c r="AR30" s="52"/>
      <c r="AS30" s="52"/>
      <c r="AT30" s="52"/>
      <c r="AU30" s="57"/>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row>
    <row r="31" spans="1:82" ht="47.25">
      <c r="A31" s="78" t="str">
        <f t="shared" si="0"/>
        <v>LSR</v>
      </c>
      <c r="B31" s="43" t="str">
        <f>"R["&amp;H31&amp;"] &lt;=  &gt;&gt; R["&amp;I31&amp;"]"</f>
        <v>R[3] &lt;=  &gt;&gt; R[1]</v>
      </c>
      <c r="C31" s="43" t="s">
        <v>355</v>
      </c>
      <c r="D31" s="43" t="str">
        <f t="shared" si="1"/>
        <v>A LSR R3,R1,R2</v>
      </c>
      <c r="E31" s="45"/>
      <c r="F31" s="44" t="s">
        <v>228</v>
      </c>
      <c r="G31" s="44" t="s">
        <v>34</v>
      </c>
      <c r="H31" s="46">
        <v>3</v>
      </c>
      <c r="I31" s="46">
        <v>1</v>
      </c>
      <c r="J31" s="46">
        <v>2</v>
      </c>
      <c r="K31" s="46" t="s">
        <v>226</v>
      </c>
      <c r="L31" s="72" t="s">
        <v>226</v>
      </c>
      <c r="M31" s="43">
        <f t="shared" si="2"/>
        <v>24</v>
      </c>
      <c r="N31" s="56"/>
      <c r="O31" s="43">
        <f t="shared" si="3"/>
        <v>0</v>
      </c>
      <c r="P31" s="70" t="str">
        <f>P30</f>
        <v>FFFFFFF6</v>
      </c>
      <c r="Q31" s="46" t="str">
        <f t="shared" si="4"/>
        <v>00000000</v>
      </c>
      <c r="R31" s="79" t="e">
        <f ca="1">DEC2HEX(logicalshiftright(K30,1))</f>
        <v>#NAME?</v>
      </c>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7"/>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row>
    <row r="32" spans="1:82">
      <c r="A32" s="43" t="str">
        <f t="shared" si="0"/>
        <v>LD#</v>
      </c>
      <c r="B32" s="43" t="str">
        <f>"R["&amp;H32&amp;"] &lt;= "&amp;K32</f>
        <v>R[1] &lt;= -7</v>
      </c>
      <c r="C32" s="43" t="s">
        <v>226</v>
      </c>
      <c r="D32" s="43" t="str">
        <f t="shared" si="1"/>
        <v>B LD R1,R0,-7</v>
      </c>
      <c r="E32" s="45"/>
      <c r="F32" s="43" t="s">
        <v>341</v>
      </c>
      <c r="G32" s="43" t="str">
        <f>IF(K32&gt;=0,"LDU","LD")</f>
        <v>LD</v>
      </c>
      <c r="H32" s="46">
        <v>1</v>
      </c>
      <c r="I32" s="46">
        <v>0</v>
      </c>
      <c r="J32" s="46" t="s">
        <v>226</v>
      </c>
      <c r="K32" s="47">
        <v>-7</v>
      </c>
      <c r="L32" s="74" t="str">
        <f>RIGHT(DEC2HEX(K32,10),8)</f>
        <v>FFFFFFF9</v>
      </c>
      <c r="M32" s="43">
        <f t="shared" si="2"/>
        <v>25</v>
      </c>
      <c r="N32" s="69"/>
      <c r="O32" s="43">
        <f t="shared" si="3"/>
        <v>0</v>
      </c>
      <c r="P32" s="66" t="str">
        <f>L32</f>
        <v>FFFFFFF9</v>
      </c>
      <c r="Q32" s="46" t="str">
        <f t="shared" si="4"/>
        <v>00000000</v>
      </c>
      <c r="R32" s="46"/>
      <c r="S32" s="52"/>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c r="AR32" s="52"/>
      <c r="AS32" s="52"/>
      <c r="AT32" s="52"/>
      <c r="AU32" s="57"/>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row>
    <row r="33" spans="1:82" ht="47.25">
      <c r="A33" s="78" t="str">
        <f t="shared" si="0"/>
        <v>ASL</v>
      </c>
      <c r="B33" s="43" t="str">
        <f>"R["&amp;H33&amp;"] &lt;=  R["&amp;I33&amp;"]  &lt;&lt;&lt; "</f>
        <v xml:space="preserve">R[3] &lt;=  R[1]  &lt;&lt;&lt; </v>
      </c>
      <c r="C33" s="43" t="s">
        <v>356</v>
      </c>
      <c r="D33" s="43" t="str">
        <f t="shared" si="1"/>
        <v>A ASL R3,R1,R0</v>
      </c>
      <c r="E33" s="45"/>
      <c r="F33" s="44" t="s">
        <v>228</v>
      </c>
      <c r="G33" s="44" t="s">
        <v>44</v>
      </c>
      <c r="H33" s="46">
        <v>3</v>
      </c>
      <c r="I33" s="46">
        <v>1</v>
      </c>
      <c r="J33" s="46">
        <v>0</v>
      </c>
      <c r="K33" s="46" t="s">
        <v>226</v>
      </c>
      <c r="L33" s="72" t="s">
        <v>226</v>
      </c>
      <c r="M33" s="43">
        <f t="shared" si="2"/>
        <v>26</v>
      </c>
      <c r="N33" s="56"/>
      <c r="O33" s="43">
        <f t="shared" si="3"/>
        <v>0</v>
      </c>
      <c r="P33" s="70" t="str">
        <f>P32</f>
        <v>FFFFFFF9</v>
      </c>
      <c r="Q33" s="46" t="str">
        <f t="shared" si="4"/>
        <v>00000000</v>
      </c>
      <c r="R33" s="79" t="e">
        <f ca="1">DEC2HEX(arithmeticalshiftleft(K32,1))</f>
        <v>#NAME?</v>
      </c>
      <c r="S33" s="52"/>
      <c r="T33" s="52"/>
      <c r="U33" s="52"/>
      <c r="V33" s="52"/>
      <c r="W33" s="52"/>
      <c r="X33" s="52"/>
      <c r="Y33" s="52"/>
      <c r="Z33" s="52"/>
      <c r="AA33" s="52"/>
      <c r="AB33" s="52"/>
      <c r="AC33" s="52"/>
      <c r="AD33" s="52"/>
      <c r="AE33" s="52"/>
      <c r="AF33" s="52"/>
      <c r="AG33" s="52"/>
      <c r="AH33" s="52"/>
      <c r="AI33" s="52"/>
      <c r="AJ33" s="52"/>
      <c r="AK33" s="52"/>
      <c r="AL33" s="52"/>
      <c r="AM33" s="52"/>
      <c r="AN33" s="52"/>
      <c r="AO33" s="52"/>
      <c r="AP33" s="52"/>
      <c r="AQ33" s="52"/>
      <c r="AR33" s="52"/>
      <c r="AS33" s="52"/>
      <c r="AT33" s="52"/>
      <c r="AU33" s="57"/>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row>
    <row r="34" spans="1:82">
      <c r="A34" s="43" t="str">
        <f t="shared" si="0"/>
        <v>LD#</v>
      </c>
      <c r="B34" s="43" t="str">
        <f>"R["&amp;H34&amp;"] &lt;= "&amp;K34</f>
        <v>R[1] &lt;= -5</v>
      </c>
      <c r="C34" s="43" t="s">
        <v>226</v>
      </c>
      <c r="D34" s="43" t="str">
        <f t="shared" si="1"/>
        <v>B LD R1,R0,-5</v>
      </c>
      <c r="E34" s="45"/>
      <c r="F34" s="43" t="s">
        <v>341</v>
      </c>
      <c r="G34" s="43" t="str">
        <f>IF(K34&gt;=0,"LDU","LD")</f>
        <v>LD</v>
      </c>
      <c r="H34" s="46">
        <v>1</v>
      </c>
      <c r="I34" s="46">
        <v>0</v>
      </c>
      <c r="J34" s="46" t="s">
        <v>226</v>
      </c>
      <c r="K34" s="47">
        <v>-5</v>
      </c>
      <c r="L34" s="74" t="str">
        <f>RIGHT(DEC2HEX(K34,10),8)</f>
        <v>FFFFFFFB</v>
      </c>
      <c r="M34" s="43">
        <f t="shared" si="2"/>
        <v>27</v>
      </c>
      <c r="N34" s="69"/>
      <c r="O34" s="43">
        <f t="shared" si="3"/>
        <v>0</v>
      </c>
      <c r="P34" s="66" t="str">
        <f>L34</f>
        <v>FFFFFFFB</v>
      </c>
      <c r="Q34" s="46" t="str">
        <f t="shared" si="4"/>
        <v>00000000</v>
      </c>
      <c r="R34" s="46"/>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2"/>
      <c r="AS34" s="52"/>
      <c r="AT34" s="52"/>
      <c r="AU34" s="57"/>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row>
    <row r="35" spans="1:82" ht="47.25">
      <c r="A35" s="78" t="str">
        <f t="shared" si="0"/>
        <v>ASR</v>
      </c>
      <c r="B35" s="43" t="str">
        <f>"R["&amp;H35&amp;"] &lt;=  &gt;&gt;&gt; R["&amp;I35&amp;"]"</f>
        <v>R[3] &lt;=  &gt;&gt;&gt; R[1]</v>
      </c>
      <c r="C35" s="43" t="s">
        <v>357</v>
      </c>
      <c r="D35" s="43" t="str">
        <f t="shared" si="1"/>
        <v>A ASR R3,R1,R2</v>
      </c>
      <c r="E35" s="45"/>
      <c r="F35" s="44" t="s">
        <v>228</v>
      </c>
      <c r="G35" s="44" t="s">
        <v>38</v>
      </c>
      <c r="H35" s="46">
        <v>3</v>
      </c>
      <c r="I35" s="46">
        <v>1</v>
      </c>
      <c r="J35" s="46">
        <v>2</v>
      </c>
      <c r="K35" s="46" t="s">
        <v>226</v>
      </c>
      <c r="L35" s="72" t="s">
        <v>226</v>
      </c>
      <c r="M35" s="43">
        <f t="shared" si="2"/>
        <v>28</v>
      </c>
      <c r="N35" s="56"/>
      <c r="O35" s="43">
        <f t="shared" si="3"/>
        <v>0</v>
      </c>
      <c r="P35" s="70" t="str">
        <f>P34</f>
        <v>FFFFFFFB</v>
      </c>
      <c r="Q35" s="46" t="str">
        <f t="shared" si="4"/>
        <v>00000000</v>
      </c>
      <c r="R35" s="79" t="e">
        <f ca="1">DEC2HEX(arithmeticalshiftright(K34,1))</f>
        <v>#NAME?</v>
      </c>
      <c r="S35" s="52"/>
      <c r="T35" s="52"/>
      <c r="U35" s="52"/>
      <c r="V35" s="52"/>
      <c r="W35" s="52"/>
      <c r="X35" s="52"/>
      <c r="Y35" s="52"/>
      <c r="Z35" s="52"/>
      <c r="AA35" s="52"/>
      <c r="AB35" s="52"/>
      <c r="AC35" s="52"/>
      <c r="AD35" s="52"/>
      <c r="AE35" s="52"/>
      <c r="AF35" s="52"/>
      <c r="AG35" s="52"/>
      <c r="AH35" s="52"/>
      <c r="AI35" s="52"/>
      <c r="AJ35" s="52"/>
      <c r="AK35" s="52"/>
      <c r="AL35" s="52"/>
      <c r="AM35" s="52"/>
      <c r="AN35" s="52"/>
      <c r="AO35" s="52"/>
      <c r="AP35" s="52"/>
      <c r="AQ35" s="52"/>
      <c r="AR35" s="52"/>
      <c r="AS35" s="52"/>
      <c r="AT35" s="52"/>
      <c r="AU35" s="57"/>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row>
    <row r="36" spans="1:82">
      <c r="A36" s="43" t="str">
        <f t="shared" si="0"/>
        <v>LDU#</v>
      </c>
      <c r="B36" s="43" t="str">
        <f>"R["&amp;H36&amp;"] &lt;= "&amp;K36</f>
        <v>R[1] &lt;= 7</v>
      </c>
      <c r="C36" s="43" t="s">
        <v>226</v>
      </c>
      <c r="D36" s="43" t="str">
        <f t="shared" si="1"/>
        <v>B LDU R1,R0,7</v>
      </c>
      <c r="E36" s="45"/>
      <c r="F36" s="43" t="s">
        <v>341</v>
      </c>
      <c r="G36" s="43" t="str">
        <f>IF(K36&gt;=0,"LDU","LD")</f>
        <v>LDU</v>
      </c>
      <c r="H36" s="46">
        <v>1</v>
      </c>
      <c r="I36" s="46">
        <v>0</v>
      </c>
      <c r="J36" s="46" t="s">
        <v>226</v>
      </c>
      <c r="K36" s="47">
        <v>7</v>
      </c>
      <c r="L36" s="74" t="str">
        <f>RIGHT(DEC2HEX(K36,10),8)</f>
        <v>00000007</v>
      </c>
      <c r="M36" s="43">
        <f t="shared" si="2"/>
        <v>29</v>
      </c>
      <c r="N36" s="69"/>
      <c r="O36" s="43">
        <f t="shared" si="3"/>
        <v>0</v>
      </c>
      <c r="P36" s="66" t="str">
        <f>L36</f>
        <v>00000007</v>
      </c>
      <c r="Q36" s="46" t="str">
        <f t="shared" si="4"/>
        <v>00000000</v>
      </c>
      <c r="R36" s="46"/>
      <c r="S36" s="52"/>
      <c r="T36" s="52"/>
      <c r="U36" s="52"/>
      <c r="V36" s="52"/>
      <c r="W36" s="52"/>
      <c r="X36" s="52"/>
      <c r="Y36" s="52"/>
      <c r="Z36" s="52"/>
      <c r="AA36" s="52"/>
      <c r="AB36" s="52"/>
      <c r="AC36" s="52"/>
      <c r="AD36" s="52"/>
      <c r="AE36" s="52"/>
      <c r="AF36" s="52"/>
      <c r="AG36" s="52"/>
      <c r="AH36" s="52"/>
      <c r="AI36" s="52"/>
      <c r="AJ36" s="52"/>
      <c r="AK36" s="52"/>
      <c r="AL36" s="52"/>
      <c r="AM36" s="52"/>
      <c r="AN36" s="52"/>
      <c r="AO36" s="52"/>
      <c r="AP36" s="52"/>
      <c r="AQ36" s="52"/>
      <c r="AR36" s="52"/>
      <c r="AS36" s="52"/>
      <c r="AT36" s="52"/>
      <c r="AU36" s="57"/>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row>
    <row r="37" spans="1:82" ht="47.25">
      <c r="A37" s="44" t="str">
        <f t="shared" si="0"/>
        <v>ROL</v>
      </c>
      <c r="B37" s="43" t="str">
        <f>"R["&amp;H37&amp;"] &lt;=  {R["&amp;I37&amp;"]{30:0},CARRY_FLAG}"&amp;CHAR(10)&amp;"CARRY_FLAG &lt;=  R["&amp;I37&amp;"]{31}"</f>
        <v>R[3] &lt;=  {R[1]{30:0},CARRY_FLAG}
CARRY_FLAG &lt;=  R[1]{31}</v>
      </c>
      <c r="C37" s="43" t="s">
        <v>358</v>
      </c>
      <c r="D37" s="42" t="str">
        <f t="shared" si="1"/>
        <v>A ROL R3,R1,R0</v>
      </c>
      <c r="E37" s="45"/>
      <c r="F37" s="44" t="s">
        <v>228</v>
      </c>
      <c r="G37" s="44" t="s">
        <v>52</v>
      </c>
      <c r="H37" s="46">
        <v>3</v>
      </c>
      <c r="I37" s="46">
        <v>1</v>
      </c>
      <c r="J37" s="46">
        <v>0</v>
      </c>
      <c r="K37" s="46" t="s">
        <v>226</v>
      </c>
      <c r="L37" s="72" t="s">
        <v>226</v>
      </c>
      <c r="M37" s="43">
        <f t="shared" si="2"/>
        <v>30</v>
      </c>
      <c r="N37" s="56"/>
      <c r="O37" s="43">
        <f t="shared" si="3"/>
        <v>0</v>
      </c>
      <c r="P37" s="70" t="str">
        <f>P36</f>
        <v>00000007</v>
      </c>
      <c r="Q37" s="46" t="str">
        <f t="shared" si="4"/>
        <v>00000000</v>
      </c>
      <c r="R37" s="73" t="e">
        <f ca="1">DEC2HEX(logicalshiftleft(P37,1))&amp;" | "&amp;DEC2HEX(2^0+logicalshiftleft(P37,1))</f>
        <v>#NAME?</v>
      </c>
      <c r="S37" s="52"/>
      <c r="T37" s="52"/>
      <c r="U37" s="52"/>
      <c r="V37" s="52"/>
      <c r="W37" s="52"/>
      <c r="X37" s="52"/>
      <c r="Y37" s="52"/>
      <c r="Z37" s="52"/>
      <c r="AA37" s="52"/>
      <c r="AB37" s="52"/>
      <c r="AC37" s="52"/>
      <c r="AD37" s="52"/>
      <c r="AE37" s="52"/>
      <c r="AF37" s="52"/>
      <c r="AG37" s="52"/>
      <c r="AH37" s="52"/>
      <c r="AI37" s="52"/>
      <c r="AJ37" s="52"/>
      <c r="AK37" s="52"/>
      <c r="AL37" s="52"/>
      <c r="AM37" s="52"/>
      <c r="AN37" s="52"/>
      <c r="AO37" s="52"/>
      <c r="AP37" s="52"/>
      <c r="AQ37" s="52"/>
      <c r="AR37" s="52"/>
      <c r="AS37" s="52"/>
      <c r="AT37" s="52"/>
      <c r="AU37" s="57"/>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row>
    <row r="38" spans="1:82">
      <c r="A38" s="43" t="str">
        <f t="shared" si="0"/>
        <v>LDU#</v>
      </c>
      <c r="B38" s="43" t="str">
        <f>"R["&amp;H38&amp;"] &lt;= "&amp;K38</f>
        <v>R[1] &lt;= 7</v>
      </c>
      <c r="C38" s="43" t="s">
        <v>226</v>
      </c>
      <c r="D38" s="43" t="str">
        <f t="shared" si="1"/>
        <v>B LDU R1,R0,7</v>
      </c>
      <c r="E38" s="45"/>
      <c r="F38" s="43" t="s">
        <v>341</v>
      </c>
      <c r="G38" s="43" t="str">
        <f>IF(K38&gt;=0,"LDU","LD")</f>
        <v>LDU</v>
      </c>
      <c r="H38" s="46">
        <v>1</v>
      </c>
      <c r="I38" s="46">
        <v>0</v>
      </c>
      <c r="J38" s="46" t="s">
        <v>226</v>
      </c>
      <c r="K38" s="47">
        <v>7</v>
      </c>
      <c r="L38" s="74" t="str">
        <f>RIGHT(DEC2HEX(K38,10),8)</f>
        <v>00000007</v>
      </c>
      <c r="M38" s="43">
        <f t="shared" si="2"/>
        <v>31</v>
      </c>
      <c r="N38" s="69"/>
      <c r="O38" s="43">
        <f t="shared" si="3"/>
        <v>0</v>
      </c>
      <c r="P38" s="66" t="str">
        <f>L38</f>
        <v>00000007</v>
      </c>
      <c r="Q38" s="46" t="str">
        <f t="shared" si="4"/>
        <v>00000000</v>
      </c>
      <c r="R38" s="46"/>
      <c r="S38" s="52"/>
      <c r="T38" s="52"/>
      <c r="U38" s="52"/>
      <c r="V38" s="52"/>
      <c r="W38" s="52"/>
      <c r="X38" s="52"/>
      <c r="Y38" s="52"/>
      <c r="Z38" s="52"/>
      <c r="AA38" s="52"/>
      <c r="AB38" s="52"/>
      <c r="AC38" s="52"/>
      <c r="AD38" s="52"/>
      <c r="AE38" s="52"/>
      <c r="AF38" s="52"/>
      <c r="AG38" s="52"/>
      <c r="AH38" s="52"/>
      <c r="AI38" s="52"/>
      <c r="AJ38" s="52"/>
      <c r="AK38" s="52"/>
      <c r="AL38" s="52"/>
      <c r="AM38" s="52"/>
      <c r="AN38" s="52"/>
      <c r="AO38" s="52"/>
      <c r="AP38" s="52"/>
      <c r="AQ38" s="52"/>
      <c r="AR38" s="52"/>
      <c r="AS38" s="52"/>
      <c r="AT38" s="52"/>
      <c r="AU38" s="57"/>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row>
    <row r="39" spans="1:82" ht="47.25">
      <c r="A39" s="35" t="str">
        <f t="shared" ref="A39:A60" si="5">IF(AND(F39="B",IF(OR(G39="LD",G39="LDU",G39="ADD",G39="SUB",G39="AND",G39="OR",G39="XOR"),1,0)),CONCATENATE(G39,"#"),G39)</f>
        <v>ROR</v>
      </c>
      <c r="B39" s="37" t="str">
        <f>"R["&amp;H39&amp;"] &lt;=  {CARRY_FLAG,R["&amp;I39&amp;"]{31:1}}"&amp;CHAR(10)&amp;"CARRY_FLAG &lt;=  R["&amp;I39&amp;"]{30}"</f>
        <v>R[3] &lt;=  {CARRY_FLAG,R[1]{31:1}}
CARRY_FLAG &lt;=  R[1]{30}</v>
      </c>
      <c r="C39" s="37" t="s">
        <v>359</v>
      </c>
      <c r="D39" s="43" t="str">
        <f t="shared" ref="D39:D60" si="6">IF(F39="A",CONCATENATE(F39," ",G39," R",H39,",R",I39,",R",J39),IF(F39="B",CONCATENATE(F39," ",G39," R",H39,",R",I39,",",K39),CONCATENATE(F39," ",G39," ",K39)))</f>
        <v>A ROR R3,R1,R0</v>
      </c>
      <c r="E39" s="45"/>
      <c r="F39" s="44" t="s">
        <v>228</v>
      </c>
      <c r="G39" s="44" t="s">
        <v>48</v>
      </c>
      <c r="H39" s="46">
        <v>3</v>
      </c>
      <c r="I39" s="46">
        <v>1</v>
      </c>
      <c r="J39" s="46">
        <v>0</v>
      </c>
      <c r="K39" s="46" t="s">
        <v>226</v>
      </c>
      <c r="L39" s="72" t="s">
        <v>226</v>
      </c>
      <c r="M39" s="43">
        <f t="shared" si="2"/>
        <v>32</v>
      </c>
      <c r="N39" s="80" t="s">
        <v>360</v>
      </c>
      <c r="O39" s="43">
        <f t="shared" si="3"/>
        <v>0</v>
      </c>
      <c r="P39" s="70" t="str">
        <f>P38</f>
        <v>00000007</v>
      </c>
      <c r="Q39" s="46" t="str">
        <f t="shared" si="4"/>
        <v>00000000</v>
      </c>
      <c r="R39" s="73" t="e">
        <f ca="1">DEC2HEX(logicalshiftright(P39,1))&amp;" | "&amp;DEC2HEX(2^31+logicalshiftright(P39,1))</f>
        <v>#NAME?</v>
      </c>
      <c r="S39" s="52"/>
      <c r="T39" s="52"/>
      <c r="U39" s="52"/>
      <c r="V39" s="52"/>
      <c r="W39" s="52"/>
      <c r="X39" s="52"/>
      <c r="Y39" s="52"/>
      <c r="Z39" s="52"/>
      <c r="AA39" s="52"/>
      <c r="AB39" s="52"/>
      <c r="AC39" s="52"/>
      <c r="AD39" s="52"/>
      <c r="AE39" s="52"/>
      <c r="AF39" s="52"/>
      <c r="AG39" s="52"/>
      <c r="AH39" s="52"/>
      <c r="AI39" s="52"/>
      <c r="AJ39" s="52"/>
      <c r="AK39" s="52"/>
      <c r="AL39" s="52"/>
      <c r="AM39" s="52"/>
      <c r="AN39" s="52"/>
      <c r="AO39" s="52"/>
      <c r="AP39" s="52"/>
      <c r="AQ39" s="52"/>
      <c r="AR39" s="52"/>
      <c r="AS39" s="52"/>
      <c r="AT39" s="52"/>
      <c r="AU39" s="57"/>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row>
    <row r="40" spans="1:82">
      <c r="A40" s="43" t="str">
        <f t="shared" si="5"/>
        <v>LDU#</v>
      </c>
      <c r="B40" s="43" t="str">
        <f>"R["&amp;H40&amp;"] &lt;= "&amp;K40</f>
        <v>R[1] &lt;= 1</v>
      </c>
      <c r="C40" s="43" t="s">
        <v>226</v>
      </c>
      <c r="D40" s="43" t="str">
        <f t="shared" si="6"/>
        <v>B LDU R1,R0,1</v>
      </c>
      <c r="E40" s="45"/>
      <c r="F40" s="43" t="s">
        <v>341</v>
      </c>
      <c r="G40" s="43" t="str">
        <f>IF(K40&gt;=0,"LDU","LD")</f>
        <v>LDU</v>
      </c>
      <c r="H40" s="46">
        <v>1</v>
      </c>
      <c r="I40" s="46">
        <v>0</v>
      </c>
      <c r="J40" s="46" t="s">
        <v>226</v>
      </c>
      <c r="K40" s="47">
        <v>1</v>
      </c>
      <c r="L40" s="74" t="str">
        <f>RIGHT(DEC2HEX(K40,10),8)</f>
        <v>00000001</v>
      </c>
      <c r="M40" s="43">
        <f t="shared" ref="M40:M60" si="7">M39+1</f>
        <v>33</v>
      </c>
      <c r="N40" s="69"/>
      <c r="O40" s="43">
        <f t="shared" ref="O40:O71" si="8">O39</f>
        <v>0</v>
      </c>
      <c r="P40" s="66" t="str">
        <f>L40</f>
        <v>00000001</v>
      </c>
      <c r="Q40" s="46" t="str">
        <f t="shared" si="4"/>
        <v>00000000</v>
      </c>
      <c r="R40" s="46"/>
      <c r="S40" s="52"/>
      <c r="T40" s="52"/>
      <c r="U40" s="52"/>
      <c r="V40" s="52"/>
      <c r="W40" s="52"/>
      <c r="X40" s="52"/>
      <c r="Y40" s="52"/>
      <c r="Z40" s="52"/>
      <c r="AA40" s="52"/>
      <c r="AB40" s="52"/>
      <c r="AC40" s="52"/>
      <c r="AD40" s="52"/>
      <c r="AE40" s="52"/>
      <c r="AF40" s="52"/>
      <c r="AG40" s="52"/>
      <c r="AH40" s="52"/>
      <c r="AI40" s="52"/>
      <c r="AJ40" s="52"/>
      <c r="AK40" s="52"/>
      <c r="AL40" s="52"/>
      <c r="AM40" s="52"/>
      <c r="AN40" s="52"/>
      <c r="AO40" s="52"/>
      <c r="AP40" s="52"/>
      <c r="AQ40" s="52"/>
      <c r="AR40" s="52"/>
      <c r="AS40" s="52"/>
      <c r="AT40" s="52"/>
      <c r="AU40" s="57"/>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row>
    <row r="41" spans="1:82" ht="126">
      <c r="A41" s="60" t="str">
        <f t="shared" si="5"/>
        <v>ADD#</v>
      </c>
      <c r="B41" s="43" t="str">
        <f>"R["&amp;H41&amp;"] &lt;= R["&amp;I41&amp;"] + "&amp;K41</f>
        <v>R[3] &lt;= R[1] + 4</v>
      </c>
      <c r="C41" s="43" t="s">
        <v>361</v>
      </c>
      <c r="D41" s="43" t="str">
        <f t="shared" si="6"/>
        <v>B ADD R3,R1,4</v>
      </c>
      <c r="E41" s="45"/>
      <c r="F41" s="55" t="s">
        <v>341</v>
      </c>
      <c r="G41" s="44" t="s">
        <v>11</v>
      </c>
      <c r="H41" s="46">
        <v>3</v>
      </c>
      <c r="I41" s="46">
        <v>1</v>
      </c>
      <c r="J41" s="46" t="s">
        <v>226</v>
      </c>
      <c r="K41" s="46">
        <v>4</v>
      </c>
      <c r="L41" s="72"/>
      <c r="M41" s="43">
        <f t="shared" si="7"/>
        <v>34</v>
      </c>
      <c r="N41" s="69"/>
      <c r="O41" s="43">
        <f t="shared" si="8"/>
        <v>0</v>
      </c>
      <c r="P41" s="70" t="str">
        <f>P40</f>
        <v>00000001</v>
      </c>
      <c r="Q41" s="46" t="str">
        <f t="shared" si="4"/>
        <v>00000000</v>
      </c>
      <c r="R41" s="73" t="str">
        <f>DEC2HEX(K40+K41)</f>
        <v>5</v>
      </c>
      <c r="S41" s="52"/>
      <c r="T41" s="52"/>
      <c r="U41" s="52"/>
      <c r="V41" s="52"/>
      <c r="W41" s="52"/>
      <c r="X41" s="52"/>
      <c r="Y41" s="52"/>
      <c r="Z41" s="52"/>
      <c r="AA41" s="52"/>
      <c r="AB41" s="52"/>
      <c r="AC41" s="52"/>
      <c r="AD41" s="52"/>
      <c r="AE41" s="52"/>
      <c r="AF41" s="52"/>
      <c r="AG41" s="52"/>
      <c r="AH41" s="52"/>
      <c r="AI41" s="52"/>
      <c r="AJ41" s="52"/>
      <c r="AK41" s="52"/>
      <c r="AL41" s="52"/>
      <c r="AM41" s="52"/>
      <c r="AN41" s="52"/>
      <c r="AO41" s="52"/>
      <c r="AP41" s="52"/>
      <c r="AQ41" s="52"/>
      <c r="AR41" s="52"/>
      <c r="AS41" s="52"/>
      <c r="AT41" s="52"/>
      <c r="AU41" s="57"/>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row>
    <row r="42" spans="1:82">
      <c r="A42" s="64" t="str">
        <f t="shared" si="5"/>
        <v>LD#</v>
      </c>
      <c r="B42" s="64" t="str">
        <f>"R["&amp;H42&amp;"] &lt;= "&amp;K42</f>
        <v>R[1] &lt;= -3</v>
      </c>
      <c r="C42" s="64" t="s">
        <v>226</v>
      </c>
      <c r="D42" s="81" t="str">
        <f t="shared" si="6"/>
        <v>B LD R1,R0,-3</v>
      </c>
      <c r="E42" s="58"/>
      <c r="F42" s="64" t="s">
        <v>341</v>
      </c>
      <c r="G42" s="43" t="str">
        <f>IF(K42&gt;=0,"LDU","LD")</f>
        <v>LD</v>
      </c>
      <c r="H42" s="61">
        <v>1</v>
      </c>
      <c r="I42" s="61">
        <v>0</v>
      </c>
      <c r="J42" s="61" t="s">
        <v>226</v>
      </c>
      <c r="K42" s="62">
        <v>-3</v>
      </c>
      <c r="L42" s="63" t="str">
        <f t="shared" ref="L42:L55" si="9">RIGHT(DEC2HEX(K42,10),8)</f>
        <v>FFFFFFFD</v>
      </c>
      <c r="M42" s="64">
        <f t="shared" si="7"/>
        <v>35</v>
      </c>
      <c r="N42" s="65"/>
      <c r="O42" s="64">
        <f t="shared" si="8"/>
        <v>0</v>
      </c>
      <c r="P42" s="82" t="str">
        <f>L42</f>
        <v>FFFFFFFD</v>
      </c>
      <c r="Q42" s="46" t="str">
        <f t="shared" si="4"/>
        <v>00000000</v>
      </c>
      <c r="R42" s="61"/>
      <c r="S42" s="52"/>
      <c r="T42" s="52"/>
      <c r="U42" s="52"/>
      <c r="V42" s="52"/>
      <c r="W42" s="52"/>
      <c r="X42" s="52"/>
      <c r="Y42" s="52"/>
      <c r="Z42" s="52"/>
      <c r="AA42" s="52"/>
      <c r="AB42" s="52"/>
      <c r="AC42" s="52"/>
      <c r="AD42" s="52"/>
      <c r="AE42" s="52"/>
      <c r="AF42" s="52"/>
      <c r="AG42" s="52"/>
      <c r="AH42" s="52"/>
      <c r="AI42" s="52"/>
      <c r="AJ42" s="52"/>
      <c r="AK42" s="52"/>
      <c r="AL42" s="52"/>
      <c r="AM42" s="52"/>
      <c r="AN42" s="52"/>
      <c r="AO42" s="52"/>
      <c r="AP42" s="52"/>
      <c r="AQ42" s="52"/>
      <c r="AR42" s="52"/>
      <c r="AS42" s="52"/>
      <c r="AT42" s="52"/>
      <c r="AU42" s="57"/>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row>
    <row r="43" spans="1:82" ht="31.5">
      <c r="A43" s="60" t="str">
        <f t="shared" si="5"/>
        <v>SUB#</v>
      </c>
      <c r="B43" s="43" t="str">
        <f>"R["&amp;H43&amp;"] &lt;= R["&amp;I43&amp;"] -  "&amp;K43</f>
        <v>R[3] &lt;= R[1] -  -3</v>
      </c>
      <c r="C43" s="37" t="s">
        <v>346</v>
      </c>
      <c r="D43" s="41" t="str">
        <f t="shared" si="6"/>
        <v>B SUB R3,R1,-3</v>
      </c>
      <c r="E43" s="77"/>
      <c r="F43" s="83" t="s">
        <v>341</v>
      </c>
      <c r="G43" s="35" t="s">
        <v>14</v>
      </c>
      <c r="H43" s="38">
        <v>3</v>
      </c>
      <c r="I43" s="38">
        <v>1</v>
      </c>
      <c r="J43" s="38" t="s">
        <v>226</v>
      </c>
      <c r="K43" s="38">
        <v>-3</v>
      </c>
      <c r="L43" s="84" t="str">
        <f t="shared" si="9"/>
        <v>FFFFFFFD</v>
      </c>
      <c r="M43" s="37">
        <f t="shared" si="7"/>
        <v>36</v>
      </c>
      <c r="N43" s="76" t="s">
        <v>347</v>
      </c>
      <c r="O43" s="37">
        <f t="shared" si="8"/>
        <v>0</v>
      </c>
      <c r="P43" s="85" t="str">
        <f>P42</f>
        <v>FFFFFFFD</v>
      </c>
      <c r="Q43" s="46" t="str">
        <f t="shared" si="4"/>
        <v>00000000</v>
      </c>
      <c r="R43" s="86" t="str">
        <f>DEC2HEX(K42-K43)</f>
        <v>0</v>
      </c>
      <c r="S43" s="52"/>
      <c r="T43" s="52"/>
      <c r="U43" s="52"/>
      <c r="V43" s="52"/>
      <c r="W43" s="52"/>
      <c r="X43" s="52"/>
      <c r="Y43" s="52"/>
      <c r="Z43" s="52"/>
      <c r="AA43" s="52"/>
      <c r="AB43" s="52"/>
      <c r="AC43" s="52"/>
      <c r="AD43" s="52"/>
      <c r="AE43" s="52"/>
      <c r="AF43" s="52"/>
      <c r="AG43" s="52"/>
      <c r="AH43" s="52"/>
      <c r="AI43" s="52"/>
      <c r="AJ43" s="52"/>
      <c r="AK43" s="52"/>
      <c r="AL43" s="52"/>
      <c r="AM43" s="52"/>
      <c r="AN43" s="52"/>
      <c r="AO43" s="52"/>
      <c r="AP43" s="52"/>
      <c r="AQ43" s="52"/>
      <c r="AR43" s="52"/>
      <c r="AS43" s="52"/>
      <c r="AT43" s="52"/>
      <c r="AU43" s="57"/>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row>
    <row r="44" spans="1:82">
      <c r="A44" s="43" t="str">
        <f t="shared" si="5"/>
        <v>LDU#</v>
      </c>
      <c r="B44" s="48" t="str">
        <f>"R["&amp;H44&amp;"] &lt;= "&amp;K44</f>
        <v>R[1] &lt;= 15</v>
      </c>
      <c r="C44" s="43" t="s">
        <v>226</v>
      </c>
      <c r="D44" s="43" t="str">
        <f t="shared" si="6"/>
        <v>B LDU R1,R0,15</v>
      </c>
      <c r="E44" s="45"/>
      <c r="F44" s="43" t="s">
        <v>341</v>
      </c>
      <c r="G44" s="43" t="str">
        <f>IF(K44&gt;=0,"LDU","LD")</f>
        <v>LDU</v>
      </c>
      <c r="H44" s="46">
        <v>1</v>
      </c>
      <c r="I44" s="46">
        <v>0</v>
      </c>
      <c r="J44" s="46" t="s">
        <v>226</v>
      </c>
      <c r="K44" s="47">
        <v>15</v>
      </c>
      <c r="L44" s="74" t="str">
        <f t="shared" si="9"/>
        <v>0000000F</v>
      </c>
      <c r="M44" s="43">
        <f t="shared" si="7"/>
        <v>37</v>
      </c>
      <c r="N44" s="69"/>
      <c r="O44" s="43">
        <f t="shared" si="8"/>
        <v>0</v>
      </c>
      <c r="P44" s="66" t="str">
        <f>L44</f>
        <v>0000000F</v>
      </c>
      <c r="Q44" s="46" t="str">
        <f t="shared" si="4"/>
        <v>00000000</v>
      </c>
      <c r="R44" s="46"/>
      <c r="S44" s="52"/>
      <c r="T44" s="52"/>
      <c r="U44" s="52"/>
      <c r="V44" s="52"/>
      <c r="W44" s="52"/>
      <c r="X44" s="52"/>
      <c r="Y44" s="52"/>
      <c r="Z44" s="52"/>
      <c r="AA44" s="52"/>
      <c r="AB44" s="52"/>
      <c r="AC44" s="52"/>
      <c r="AD44" s="52"/>
      <c r="AE44" s="52"/>
      <c r="AF44" s="52"/>
      <c r="AG44" s="52"/>
      <c r="AH44" s="52"/>
      <c r="AI44" s="52"/>
      <c r="AJ44" s="52"/>
      <c r="AK44" s="52"/>
      <c r="AL44" s="52"/>
      <c r="AM44" s="52"/>
      <c r="AN44" s="52"/>
      <c r="AO44" s="52"/>
      <c r="AP44" s="52"/>
      <c r="AQ44" s="52"/>
      <c r="AR44" s="52"/>
      <c r="AS44" s="52"/>
      <c r="AT44" s="52"/>
      <c r="AU44" s="57"/>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row>
    <row r="45" spans="1:82" ht="31.5">
      <c r="A45" s="44" t="str">
        <f t="shared" si="5"/>
        <v>AND#</v>
      </c>
      <c r="B45" s="43" t="str">
        <f>"R["&amp;H45&amp;"] &lt;= R["&amp;I45&amp;"] &amp; "&amp;K45</f>
        <v>R[3] &lt;= R[1] &amp; 45</v>
      </c>
      <c r="C45" s="43" t="s">
        <v>350</v>
      </c>
      <c r="D45" s="43" t="str">
        <f t="shared" si="6"/>
        <v>B AND R3,R1,45</v>
      </c>
      <c r="E45" s="45"/>
      <c r="F45" s="55" t="s">
        <v>341</v>
      </c>
      <c r="G45" s="44" t="s">
        <v>17</v>
      </c>
      <c r="H45" s="46">
        <v>3</v>
      </c>
      <c r="I45" s="46">
        <v>1</v>
      </c>
      <c r="J45" s="46" t="s">
        <v>226</v>
      </c>
      <c r="K45" s="46">
        <v>45</v>
      </c>
      <c r="L45" s="72" t="str">
        <f t="shared" si="9"/>
        <v>0000002D</v>
      </c>
      <c r="M45" s="43">
        <f t="shared" si="7"/>
        <v>38</v>
      </c>
      <c r="N45" s="69"/>
      <c r="O45" s="43">
        <f t="shared" si="8"/>
        <v>0</v>
      </c>
      <c r="P45" s="70" t="str">
        <f>P44</f>
        <v>0000000F</v>
      </c>
      <c r="Q45" s="46" t="str">
        <f t="shared" si="4"/>
        <v>00000000</v>
      </c>
      <c r="R45" s="73" t="e">
        <f ca="1">DEC2HEX(bitwise_and(K44,K45))</f>
        <v>#NAME?</v>
      </c>
      <c r="S45" s="52"/>
      <c r="T45" s="52"/>
      <c r="U45" s="52"/>
      <c r="V45" s="52"/>
      <c r="W45" s="52"/>
      <c r="X45" s="52"/>
      <c r="Y45" s="52"/>
      <c r="Z45" s="52"/>
      <c r="AA45" s="52"/>
      <c r="AB45" s="52"/>
      <c r="AC45" s="52"/>
      <c r="AD45" s="52"/>
      <c r="AE45" s="52"/>
      <c r="AF45" s="52"/>
      <c r="AG45" s="52"/>
      <c r="AH45" s="52"/>
      <c r="AI45" s="52"/>
      <c r="AJ45" s="52"/>
      <c r="AK45" s="52"/>
      <c r="AL45" s="52"/>
      <c r="AM45" s="52"/>
      <c r="AN45" s="52"/>
      <c r="AO45" s="52"/>
      <c r="AP45" s="52"/>
      <c r="AQ45" s="52"/>
      <c r="AR45" s="52"/>
      <c r="AS45" s="52"/>
      <c r="AT45" s="52"/>
      <c r="AU45" s="57"/>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row>
    <row r="46" spans="1:82">
      <c r="A46" s="43" t="str">
        <f t="shared" si="5"/>
        <v>LDU#</v>
      </c>
      <c r="B46" s="43" t="str">
        <f>"R["&amp;H46&amp;"] &lt;= "&amp;K46</f>
        <v>R[1] &lt;= 9</v>
      </c>
      <c r="C46" s="64" t="s">
        <v>226</v>
      </c>
      <c r="D46" s="43" t="str">
        <f t="shared" si="6"/>
        <v>B LDU R1,R0,9</v>
      </c>
      <c r="E46" s="45"/>
      <c r="F46" s="43" t="s">
        <v>341</v>
      </c>
      <c r="G46" s="43" t="str">
        <f>IF(K46&gt;=0,"LDU","LD")</f>
        <v>LDU</v>
      </c>
      <c r="H46" s="46">
        <v>1</v>
      </c>
      <c r="I46" s="46">
        <v>0</v>
      </c>
      <c r="J46" s="46" t="s">
        <v>226</v>
      </c>
      <c r="K46" s="47">
        <v>9</v>
      </c>
      <c r="L46" s="74" t="str">
        <f t="shared" si="9"/>
        <v>00000009</v>
      </c>
      <c r="M46" s="43">
        <f t="shared" si="7"/>
        <v>39</v>
      </c>
      <c r="N46" s="69"/>
      <c r="O46" s="43">
        <f t="shared" si="8"/>
        <v>0</v>
      </c>
      <c r="P46" s="66" t="str">
        <f>L46</f>
        <v>00000009</v>
      </c>
      <c r="Q46" s="46" t="str">
        <f t="shared" si="4"/>
        <v>00000000</v>
      </c>
      <c r="R46" s="46"/>
      <c r="S46" s="52"/>
      <c r="T46" s="52"/>
      <c r="U46" s="52"/>
      <c r="V46" s="52"/>
      <c r="W46" s="52"/>
      <c r="X46" s="52"/>
      <c r="Y46" s="52"/>
      <c r="Z46" s="52"/>
      <c r="AA46" s="52"/>
      <c r="AB46" s="52"/>
      <c r="AC46" s="52"/>
      <c r="AD46" s="52"/>
      <c r="AE46" s="52"/>
      <c r="AF46" s="52"/>
      <c r="AG46" s="52"/>
      <c r="AH46" s="52"/>
      <c r="AI46" s="52"/>
      <c r="AJ46" s="52"/>
      <c r="AK46" s="52"/>
      <c r="AL46" s="52"/>
      <c r="AM46" s="52"/>
      <c r="AN46" s="52"/>
      <c r="AO46" s="52"/>
      <c r="AP46" s="52"/>
      <c r="AQ46" s="52"/>
      <c r="AR46" s="52"/>
      <c r="AS46" s="52"/>
      <c r="AT46" s="52"/>
      <c r="AU46" s="57"/>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row>
    <row r="47" spans="1:82" ht="31.5">
      <c r="A47" s="35" t="str">
        <f t="shared" si="5"/>
        <v>OR#</v>
      </c>
      <c r="B47" s="43" t="str">
        <f>"R["&amp;H47&amp;"] &lt;= R["&amp;I47&amp;"] | "&amp;K47</f>
        <v>R[3] &lt;= R[1] | 3</v>
      </c>
      <c r="C47" s="37" t="s">
        <v>351</v>
      </c>
      <c r="D47" s="43" t="str">
        <f t="shared" si="6"/>
        <v>B OR R3,R1,3</v>
      </c>
      <c r="E47" s="77"/>
      <c r="F47" s="83" t="s">
        <v>341</v>
      </c>
      <c r="G47" s="35" t="s">
        <v>20</v>
      </c>
      <c r="H47" s="38">
        <v>3</v>
      </c>
      <c r="I47" s="38">
        <v>1</v>
      </c>
      <c r="J47" s="38" t="s">
        <v>226</v>
      </c>
      <c r="K47" s="38">
        <v>3</v>
      </c>
      <c r="L47" s="84" t="str">
        <f t="shared" si="9"/>
        <v>00000003</v>
      </c>
      <c r="M47" s="37">
        <f t="shared" si="7"/>
        <v>40</v>
      </c>
      <c r="N47" s="56"/>
      <c r="O47" s="37">
        <f t="shared" si="8"/>
        <v>0</v>
      </c>
      <c r="P47" s="85" t="str">
        <f>P46</f>
        <v>00000009</v>
      </c>
      <c r="Q47" s="38" t="str">
        <f t="shared" si="4"/>
        <v>00000000</v>
      </c>
      <c r="R47" s="86" t="e">
        <f ca="1">DEC2HEX(bitwise_or(K46,K47))</f>
        <v>#NAME?</v>
      </c>
      <c r="S47" s="52"/>
      <c r="T47" s="52"/>
      <c r="U47" s="52"/>
      <c r="V47" s="52"/>
      <c r="W47" s="52"/>
      <c r="X47" s="52"/>
      <c r="Y47" s="52"/>
      <c r="Z47" s="52"/>
      <c r="AA47" s="52"/>
      <c r="AB47" s="52"/>
      <c r="AC47" s="52"/>
      <c r="AD47" s="52"/>
      <c r="AE47" s="52"/>
      <c r="AF47" s="52"/>
      <c r="AG47" s="52"/>
      <c r="AH47" s="52"/>
      <c r="AI47" s="52"/>
      <c r="AJ47" s="52"/>
      <c r="AK47" s="52"/>
      <c r="AL47" s="52"/>
      <c r="AM47" s="52"/>
      <c r="AN47" s="52"/>
      <c r="AO47" s="52"/>
      <c r="AP47" s="52"/>
      <c r="AQ47" s="52"/>
      <c r="AR47" s="52"/>
      <c r="AS47" s="52"/>
      <c r="AT47" s="52"/>
      <c r="AU47" s="57"/>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row>
    <row r="48" spans="1:82">
      <c r="A48" s="37" t="str">
        <f t="shared" si="5"/>
        <v>LDU#</v>
      </c>
      <c r="B48" s="37" t="str">
        <f>"R["&amp;H48&amp;"] &lt;= "&amp;K48</f>
        <v>R[1] &lt;= 2</v>
      </c>
      <c r="C48" s="37" t="s">
        <v>226</v>
      </c>
      <c r="D48" s="40" t="str">
        <f t="shared" si="6"/>
        <v>B LDU R1,R0,2</v>
      </c>
      <c r="E48" s="77"/>
      <c r="F48" s="37" t="s">
        <v>341</v>
      </c>
      <c r="G48" s="37" t="str">
        <f>IF(K48&gt;=0,"LDU","LD")</f>
        <v>LDU</v>
      </c>
      <c r="H48" s="38">
        <v>1</v>
      </c>
      <c r="I48" s="38">
        <v>0</v>
      </c>
      <c r="J48" s="38" t="s">
        <v>226</v>
      </c>
      <c r="K48" s="87">
        <v>2</v>
      </c>
      <c r="L48" s="88" t="str">
        <f t="shared" si="9"/>
        <v>00000002</v>
      </c>
      <c r="M48" s="37">
        <f t="shared" si="7"/>
        <v>41</v>
      </c>
      <c r="N48" s="40"/>
      <c r="O48" s="37">
        <f t="shared" si="8"/>
        <v>0</v>
      </c>
      <c r="P48" s="89" t="str">
        <f>L48</f>
        <v>00000002</v>
      </c>
      <c r="Q48" s="38" t="str">
        <f t="shared" si="4"/>
        <v>00000000</v>
      </c>
      <c r="R48" s="38"/>
      <c r="S48" s="52"/>
      <c r="T48" s="52"/>
      <c r="U48" s="52"/>
      <c r="V48" s="52"/>
      <c r="W48" s="52"/>
      <c r="X48" s="52"/>
      <c r="Y48" s="52"/>
      <c r="Z48" s="52"/>
      <c r="AA48" s="52"/>
      <c r="AB48" s="52"/>
      <c r="AC48" s="52"/>
      <c r="AD48" s="52"/>
      <c r="AE48" s="52"/>
      <c r="AF48" s="52"/>
      <c r="AG48" s="52"/>
      <c r="AH48" s="52"/>
      <c r="AI48" s="52"/>
      <c r="AJ48" s="52"/>
      <c r="AK48" s="52"/>
      <c r="AL48" s="52"/>
      <c r="AM48" s="52"/>
      <c r="AN48" s="52"/>
      <c r="AO48" s="52"/>
      <c r="AP48" s="52"/>
      <c r="AQ48" s="52"/>
      <c r="AR48" s="52"/>
      <c r="AS48" s="52"/>
      <c r="AT48" s="52"/>
      <c r="AU48" s="57"/>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row>
    <row r="49" spans="1:82" ht="31.5">
      <c r="A49" s="90" t="str">
        <f t="shared" si="5"/>
        <v>XOR#</v>
      </c>
      <c r="B49" s="91" t="str">
        <f>"R["&amp;H49&amp;"] &lt;= XOR(R["&amp;I49&amp;"] , "&amp;K49&amp;")"</f>
        <v>R[3] &lt;= XOR(R[1] , 12)</v>
      </c>
      <c r="C49" s="92" t="s">
        <v>352</v>
      </c>
      <c r="D49" s="91" t="str">
        <f t="shared" si="6"/>
        <v>B XOR R3,R1,12</v>
      </c>
      <c r="E49" s="93"/>
      <c r="F49" s="94" t="s">
        <v>341</v>
      </c>
      <c r="G49" s="90" t="s">
        <v>26</v>
      </c>
      <c r="H49" s="95">
        <v>3</v>
      </c>
      <c r="I49" s="95">
        <v>1</v>
      </c>
      <c r="J49" s="95" t="s">
        <v>226</v>
      </c>
      <c r="K49" s="95">
        <v>12</v>
      </c>
      <c r="L49" s="95" t="str">
        <f t="shared" si="9"/>
        <v>0000000C</v>
      </c>
      <c r="M49" s="91">
        <f t="shared" si="7"/>
        <v>42</v>
      </c>
      <c r="N49" s="92"/>
      <c r="O49" s="91">
        <f t="shared" si="8"/>
        <v>0</v>
      </c>
      <c r="P49" s="95" t="str">
        <f>P48</f>
        <v>00000002</v>
      </c>
      <c r="Q49" s="95" t="str">
        <f t="shared" si="4"/>
        <v>00000000</v>
      </c>
      <c r="R49" s="96" t="e">
        <f ca="1">DEC2HEX(bitwise_xor(K48,K49))</f>
        <v>#NAME?</v>
      </c>
      <c r="S49" s="52"/>
      <c r="T49" s="52"/>
      <c r="U49" s="52"/>
      <c r="V49" s="52"/>
      <c r="W49" s="52"/>
      <c r="X49" s="52"/>
      <c r="Y49" s="52"/>
      <c r="Z49" s="52"/>
      <c r="AA49" s="52"/>
      <c r="AB49" s="52"/>
      <c r="AC49" s="52"/>
      <c r="AD49" s="52"/>
      <c r="AE49" s="52"/>
      <c r="AF49" s="52"/>
      <c r="AG49" s="52"/>
      <c r="AH49" s="52"/>
      <c r="AI49" s="52"/>
      <c r="AJ49" s="52"/>
      <c r="AK49" s="52"/>
      <c r="AL49" s="52"/>
      <c r="AM49" s="52"/>
      <c r="AN49" s="52"/>
      <c r="AO49" s="52"/>
      <c r="AP49" s="52"/>
      <c r="AQ49" s="52"/>
      <c r="AR49" s="52"/>
      <c r="AS49" s="52"/>
      <c r="AT49" s="52"/>
      <c r="AU49" s="57"/>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row>
    <row r="50" spans="1:82" ht="31.5">
      <c r="A50" s="44" t="str">
        <f t="shared" si="5"/>
        <v>STA</v>
      </c>
      <c r="B50" s="43" t="str">
        <f>"MEM["&amp;K50&amp;"] &lt;= R["&amp;H50&amp;"]"</f>
        <v>MEM[120] &lt;= R[3]</v>
      </c>
      <c r="C50" s="48" t="s">
        <v>362</v>
      </c>
      <c r="D50" s="43" t="str">
        <f t="shared" si="6"/>
        <v>B STA R3,R0,120</v>
      </c>
      <c r="E50" s="45"/>
      <c r="F50" s="55" t="s">
        <v>341</v>
      </c>
      <c r="G50" s="44" t="s">
        <v>142</v>
      </c>
      <c r="H50" s="46">
        <v>3</v>
      </c>
      <c r="I50" s="46">
        <v>0</v>
      </c>
      <c r="J50" s="46" t="s">
        <v>226</v>
      </c>
      <c r="K50" s="47">
        <v>120</v>
      </c>
      <c r="L50" s="97" t="str">
        <f t="shared" si="9"/>
        <v>00000078</v>
      </c>
      <c r="M50" s="43">
        <f t="shared" si="7"/>
        <v>43</v>
      </c>
      <c r="N50" s="48"/>
      <c r="O50" s="43">
        <f t="shared" si="8"/>
        <v>0</v>
      </c>
      <c r="P50" s="46" t="str">
        <f>P49</f>
        <v>00000002</v>
      </c>
      <c r="Q50" s="46" t="str">
        <f t="shared" si="4"/>
        <v>00000000</v>
      </c>
      <c r="R50" s="46" t="e">
        <f t="shared" ref="R50:R55" ca="1" si="10">R49</f>
        <v>#NAME?</v>
      </c>
      <c r="S50" s="52"/>
      <c r="T50" s="52"/>
      <c r="U50" s="52"/>
      <c r="V50" s="52"/>
      <c r="W50" s="52"/>
      <c r="X50" s="52"/>
      <c r="Y50" s="52"/>
      <c r="Z50" s="52"/>
      <c r="AA50" s="52"/>
      <c r="AB50" s="52"/>
      <c r="AC50" s="52"/>
      <c r="AD50" s="52"/>
      <c r="AE50" s="52"/>
      <c r="AF50" s="52"/>
      <c r="AG50" s="52"/>
      <c r="AH50" s="52"/>
      <c r="AI50" s="52"/>
      <c r="AJ50" s="52"/>
      <c r="AK50" s="52"/>
      <c r="AL50" s="52"/>
      <c r="AM50" s="52"/>
      <c r="AN50" s="52"/>
      <c r="AO50" s="52"/>
      <c r="AP50" s="52"/>
      <c r="AQ50" s="52"/>
      <c r="AR50" s="52"/>
      <c r="AS50" s="52"/>
      <c r="AT50" s="52"/>
      <c r="AU50" s="57"/>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row>
    <row r="51" spans="1:82" ht="31.5">
      <c r="A51" s="44" t="str">
        <f t="shared" si="5"/>
        <v>LDA</v>
      </c>
      <c r="B51" s="43" t="str">
        <f>"R["&amp;H51&amp;"] &lt;= MEM["&amp;K51&amp;"] "</f>
        <v xml:space="preserve">R[1] &lt;= MEM[120] </v>
      </c>
      <c r="C51" s="48" t="s">
        <v>363</v>
      </c>
      <c r="D51" s="43" t="str">
        <f t="shared" si="6"/>
        <v>B LDA R1,R0,120</v>
      </c>
      <c r="E51" s="45"/>
      <c r="F51" s="55" t="s">
        <v>341</v>
      </c>
      <c r="G51" s="44" t="s">
        <v>137</v>
      </c>
      <c r="H51" s="46">
        <v>1</v>
      </c>
      <c r="I51" s="46">
        <v>0</v>
      </c>
      <c r="J51" s="46" t="s">
        <v>226</v>
      </c>
      <c r="K51" s="47">
        <v>120</v>
      </c>
      <c r="L51" s="97" t="str">
        <f t="shared" si="9"/>
        <v>00000078</v>
      </c>
      <c r="M51" s="43">
        <f t="shared" si="7"/>
        <v>44</v>
      </c>
      <c r="N51" s="48"/>
      <c r="O51" s="43">
        <f t="shared" si="8"/>
        <v>0</v>
      </c>
      <c r="P51" s="46" t="str">
        <f>P50</f>
        <v>00000002</v>
      </c>
      <c r="Q51" s="73" t="e">
        <f ca="1">R51</f>
        <v>#NAME?</v>
      </c>
      <c r="R51" s="46" t="e">
        <f t="shared" ca="1" si="10"/>
        <v>#NAME?</v>
      </c>
      <c r="S51" s="52"/>
      <c r="T51" s="52"/>
      <c r="U51" s="52"/>
      <c r="V51" s="52"/>
      <c r="W51" s="52"/>
      <c r="X51" s="52"/>
      <c r="Y51" s="52"/>
      <c r="Z51" s="52"/>
      <c r="AA51" s="52"/>
      <c r="AB51" s="52"/>
      <c r="AC51" s="52"/>
      <c r="AD51" s="52"/>
      <c r="AE51" s="52"/>
      <c r="AF51" s="52"/>
      <c r="AG51" s="52"/>
      <c r="AH51" s="52"/>
      <c r="AI51" s="52"/>
      <c r="AJ51" s="52"/>
      <c r="AK51" s="52"/>
      <c r="AL51" s="52"/>
      <c r="AM51" s="52"/>
      <c r="AN51" s="52"/>
      <c r="AO51" s="52"/>
      <c r="AP51" s="52"/>
      <c r="AQ51" s="52"/>
      <c r="AR51" s="52"/>
      <c r="AS51" s="52"/>
      <c r="AT51" s="52"/>
      <c r="AU51" s="57"/>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row>
    <row r="52" spans="1:82" ht="31.5">
      <c r="A52" s="35" t="str">
        <f t="shared" si="5"/>
        <v>STIX</v>
      </c>
      <c r="B52" s="37" t="str">
        <f>"EA &lt;= (R["&amp;I52&amp;"] + "&amp;K52&amp;")"&amp;CHAR(10)&amp;"MEM["&amp;H52&amp;"] &lt;= R[EA]"</f>
        <v>EA &lt;= (R[1] + 118)
MEM[3] &lt;= R[EA]</v>
      </c>
      <c r="C52" s="40" t="s">
        <v>364</v>
      </c>
      <c r="D52" s="43" t="str">
        <f t="shared" si="6"/>
        <v>B STIX R3,R1,118</v>
      </c>
      <c r="E52" s="45"/>
      <c r="F52" s="55" t="s">
        <v>341</v>
      </c>
      <c r="G52" s="44" t="s">
        <v>152</v>
      </c>
      <c r="H52" s="46">
        <v>3</v>
      </c>
      <c r="I52" s="46">
        <v>1</v>
      </c>
      <c r="J52" s="46" t="s">
        <v>226</v>
      </c>
      <c r="K52" s="47">
        <v>118</v>
      </c>
      <c r="L52" s="97" t="str">
        <f t="shared" si="9"/>
        <v>00000076</v>
      </c>
      <c r="M52" s="43">
        <f t="shared" si="7"/>
        <v>45</v>
      </c>
      <c r="N52" s="48"/>
      <c r="O52" s="43">
        <f t="shared" si="8"/>
        <v>0</v>
      </c>
      <c r="P52" s="46" t="str">
        <f>P51</f>
        <v>00000002</v>
      </c>
      <c r="Q52" s="46" t="e">
        <f t="shared" ref="Q52:Q58" ca="1" si="11">Q51</f>
        <v>#NAME?</v>
      </c>
      <c r="R52" s="46" t="e">
        <f t="shared" ca="1" si="10"/>
        <v>#NAME?</v>
      </c>
      <c r="S52" s="52"/>
      <c r="T52" s="52"/>
      <c r="U52" s="52"/>
      <c r="V52" s="52"/>
      <c r="W52" s="52"/>
      <c r="X52" s="52"/>
      <c r="Y52" s="52"/>
      <c r="Z52" s="52"/>
      <c r="AA52" s="52"/>
      <c r="AB52" s="52"/>
      <c r="AC52" s="52"/>
      <c r="AD52" s="52"/>
      <c r="AE52" s="52"/>
      <c r="AF52" s="52"/>
      <c r="AG52" s="52"/>
      <c r="AH52" s="52"/>
      <c r="AI52" s="52"/>
      <c r="AJ52" s="52"/>
      <c r="AK52" s="52"/>
      <c r="AL52" s="52"/>
      <c r="AM52" s="52"/>
      <c r="AN52" s="52"/>
      <c r="AO52" s="52"/>
      <c r="AP52" s="52"/>
      <c r="AQ52" s="52"/>
      <c r="AR52" s="52"/>
      <c r="AS52" s="52"/>
      <c r="AT52" s="52"/>
      <c r="AU52" s="57"/>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row>
    <row r="53" spans="1:82">
      <c r="A53" s="43" t="str">
        <f t="shared" si="5"/>
        <v>LDU#</v>
      </c>
      <c r="B53" s="43" t="str">
        <f>"R["&amp;H53&amp;"] &lt;= "&amp;K53</f>
        <v>R[1] &lt;= 1</v>
      </c>
      <c r="C53" s="48" t="s">
        <v>226</v>
      </c>
      <c r="D53" s="43" t="str">
        <f t="shared" si="6"/>
        <v>B LDU R1,R0,1</v>
      </c>
      <c r="E53" s="45"/>
      <c r="F53" s="43" t="s">
        <v>341</v>
      </c>
      <c r="G53" s="43" t="str">
        <f>IF(K53&gt;=0,"LDU","LD")</f>
        <v>LDU</v>
      </c>
      <c r="H53" s="46">
        <v>1</v>
      </c>
      <c r="I53" s="46">
        <v>0</v>
      </c>
      <c r="J53" s="46" t="s">
        <v>226</v>
      </c>
      <c r="K53" s="46">
        <v>1</v>
      </c>
      <c r="L53" s="98" t="str">
        <f t="shared" si="9"/>
        <v>00000001</v>
      </c>
      <c r="M53" s="43">
        <f t="shared" si="7"/>
        <v>46</v>
      </c>
      <c r="N53" s="48"/>
      <c r="O53" s="43">
        <f t="shared" si="8"/>
        <v>0</v>
      </c>
      <c r="P53" s="99" t="str">
        <f>L53</f>
        <v>00000001</v>
      </c>
      <c r="Q53" s="46" t="e">
        <f t="shared" ca="1" si="11"/>
        <v>#NAME?</v>
      </c>
      <c r="R53" s="46" t="e">
        <f t="shared" ca="1" si="10"/>
        <v>#NAME?</v>
      </c>
      <c r="S53" s="100"/>
      <c r="T53" s="52"/>
      <c r="U53" s="52"/>
      <c r="V53" s="52"/>
      <c r="W53" s="52"/>
      <c r="X53" s="52"/>
      <c r="Y53" s="52"/>
      <c r="Z53" s="52"/>
      <c r="AA53" s="52"/>
      <c r="AB53" s="52"/>
      <c r="AC53" s="52"/>
      <c r="AD53" s="52"/>
      <c r="AE53" s="52"/>
      <c r="AF53" s="52"/>
      <c r="AG53" s="52"/>
      <c r="AH53" s="52"/>
      <c r="AI53" s="52"/>
      <c r="AJ53" s="52"/>
      <c r="AK53" s="52"/>
      <c r="AL53" s="52"/>
      <c r="AM53" s="52"/>
      <c r="AN53" s="52"/>
      <c r="AO53" s="52"/>
      <c r="AP53" s="52"/>
      <c r="AQ53" s="52"/>
      <c r="AR53" s="52"/>
      <c r="AS53" s="52"/>
      <c r="AT53" s="52"/>
      <c r="AU53" s="57"/>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row>
    <row r="54" spans="1:82" ht="31.5">
      <c r="A54" s="60" t="str">
        <f t="shared" si="5"/>
        <v>LDIX</v>
      </c>
      <c r="B54" s="64" t="str">
        <f>"EA &lt;= (R["&amp;I54&amp;"] + "&amp;K54&amp;")"&amp;CHAR(10)&amp;"R["&amp;H54&amp;"] &lt;= MEM[EA]"</f>
        <v>EA &lt;= (R[1] + 119)
R[1] &lt;= MEM[EA]</v>
      </c>
      <c r="C54" s="101" t="s">
        <v>365</v>
      </c>
      <c r="D54" s="43" t="str">
        <f t="shared" si="6"/>
        <v>B LDIX R1,R1,119</v>
      </c>
      <c r="E54" s="45"/>
      <c r="F54" s="55" t="s">
        <v>341</v>
      </c>
      <c r="G54" s="44" t="s">
        <v>147</v>
      </c>
      <c r="H54" s="46">
        <v>1</v>
      </c>
      <c r="I54" s="46">
        <v>1</v>
      </c>
      <c r="J54" s="46" t="s">
        <v>226</v>
      </c>
      <c r="K54" s="47">
        <v>119</v>
      </c>
      <c r="L54" s="97" t="str">
        <f t="shared" si="9"/>
        <v>00000077</v>
      </c>
      <c r="M54" s="43">
        <f t="shared" si="7"/>
        <v>47</v>
      </c>
      <c r="N54" s="48"/>
      <c r="O54" s="43">
        <f t="shared" si="8"/>
        <v>0</v>
      </c>
      <c r="P54" s="73" t="e">
        <f ca="1">R52</f>
        <v>#NAME?</v>
      </c>
      <c r="Q54" s="46" t="e">
        <f t="shared" ca="1" si="11"/>
        <v>#NAME?</v>
      </c>
      <c r="R54" s="46" t="e">
        <f t="shared" ca="1" si="10"/>
        <v>#NAME?</v>
      </c>
      <c r="S54" s="100"/>
      <c r="T54" s="52"/>
      <c r="U54" s="52"/>
      <c r="V54" s="52"/>
      <c r="W54" s="52"/>
      <c r="X54" s="52"/>
      <c r="Y54" s="52"/>
      <c r="Z54" s="52"/>
      <c r="AA54" s="52"/>
      <c r="AB54" s="52"/>
      <c r="AC54" s="52"/>
      <c r="AD54" s="52"/>
      <c r="AE54" s="52"/>
      <c r="AF54" s="52"/>
      <c r="AG54" s="52"/>
      <c r="AH54" s="52"/>
      <c r="AI54" s="52"/>
      <c r="AJ54" s="52"/>
      <c r="AK54" s="52"/>
      <c r="AL54" s="52"/>
      <c r="AM54" s="52"/>
      <c r="AN54" s="52"/>
      <c r="AO54" s="52"/>
      <c r="AP54" s="52"/>
      <c r="AQ54" s="52"/>
      <c r="AR54" s="52"/>
      <c r="AS54" s="52"/>
      <c r="AT54" s="52"/>
      <c r="AU54" s="57"/>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row>
    <row r="55" spans="1:82">
      <c r="A55" s="43" t="str">
        <f t="shared" si="5"/>
        <v>LDU#</v>
      </c>
      <c r="B55" s="43" t="str">
        <f>"R["&amp;H55&amp;"] &lt;= "&amp;K55</f>
        <v>R[1] &lt;= 50</v>
      </c>
      <c r="C55" s="48" t="s">
        <v>226</v>
      </c>
      <c r="D55" s="43" t="str">
        <f t="shared" si="6"/>
        <v>B LDU R1,R0,50</v>
      </c>
      <c r="E55" s="45"/>
      <c r="F55" s="43" t="s">
        <v>341</v>
      </c>
      <c r="G55" s="43" t="str">
        <f>IF(K55&gt;=0,"LDU","LD")</f>
        <v>LDU</v>
      </c>
      <c r="H55" s="46">
        <v>1</v>
      </c>
      <c r="I55" s="46">
        <v>0</v>
      </c>
      <c r="J55" s="46" t="s">
        <v>226</v>
      </c>
      <c r="K55" s="46">
        <v>50</v>
      </c>
      <c r="L55" s="98" t="str">
        <f t="shared" si="9"/>
        <v>00000032</v>
      </c>
      <c r="M55" s="43">
        <f t="shared" si="7"/>
        <v>48</v>
      </c>
      <c r="N55" s="48"/>
      <c r="O55" s="43">
        <f t="shared" si="8"/>
        <v>0</v>
      </c>
      <c r="P55" s="99" t="str">
        <f>L55</f>
        <v>00000032</v>
      </c>
      <c r="Q55" s="46" t="e">
        <f t="shared" ca="1" si="11"/>
        <v>#NAME?</v>
      </c>
      <c r="R55" s="46" t="e">
        <f t="shared" ca="1" si="10"/>
        <v>#NAME?</v>
      </c>
      <c r="S55" s="52"/>
      <c r="T55" s="52"/>
      <c r="U55" s="52"/>
      <c r="V55" s="52"/>
      <c r="W55" s="52"/>
      <c r="X55" s="52"/>
      <c r="Y55" s="52"/>
      <c r="Z55" s="52"/>
      <c r="AA55" s="52"/>
      <c r="AB55" s="52"/>
      <c r="AC55" s="52"/>
      <c r="AD55" s="52"/>
      <c r="AE55" s="52"/>
      <c r="AF55" s="52"/>
      <c r="AG55" s="52"/>
      <c r="AH55" s="52"/>
      <c r="AI55" s="52"/>
      <c r="AJ55" s="52"/>
      <c r="AK55" s="52"/>
      <c r="AL55" s="52"/>
      <c r="AM55" s="52"/>
      <c r="AN55" s="52"/>
      <c r="AO55" s="52"/>
      <c r="AP55" s="52"/>
      <c r="AQ55" s="52"/>
      <c r="AR55" s="52"/>
      <c r="AS55" s="52"/>
      <c r="AT55" s="52"/>
      <c r="AU55" s="57"/>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row>
    <row r="56" spans="1:82" ht="31.5">
      <c r="A56" s="44" t="str">
        <f t="shared" si="5"/>
        <v>MOVE</v>
      </c>
      <c r="B56" s="43" t="str">
        <f>"R["&amp;H56&amp;"] &lt;= R["&amp;I56&amp;"]"</f>
        <v>R[3] &lt;= R[1]</v>
      </c>
      <c r="C56" s="48" t="s">
        <v>366</v>
      </c>
      <c r="D56" s="43" t="str">
        <f t="shared" si="6"/>
        <v>A MOVE R3,R1,R2</v>
      </c>
      <c r="E56" s="45"/>
      <c r="F56" s="44" t="s">
        <v>228</v>
      </c>
      <c r="G56" s="44" t="s">
        <v>57</v>
      </c>
      <c r="H56" s="46">
        <v>3</v>
      </c>
      <c r="I56" s="46">
        <v>1</v>
      </c>
      <c r="J56" s="46">
        <v>2</v>
      </c>
      <c r="K56" s="46" t="s">
        <v>226</v>
      </c>
      <c r="L56" s="102" t="s">
        <v>226</v>
      </c>
      <c r="M56" s="43">
        <f t="shared" si="7"/>
        <v>49</v>
      </c>
      <c r="N56" s="48"/>
      <c r="O56" s="43">
        <f t="shared" si="8"/>
        <v>0</v>
      </c>
      <c r="P56" s="46" t="str">
        <f>P55</f>
        <v>00000032</v>
      </c>
      <c r="Q56" s="46" t="e">
        <f t="shared" ca="1" si="11"/>
        <v>#NAME?</v>
      </c>
      <c r="R56" s="73" t="str">
        <f>P56</f>
        <v>00000032</v>
      </c>
      <c r="S56" s="52"/>
      <c r="T56" s="52"/>
      <c r="U56" s="52"/>
      <c r="V56" s="52"/>
      <c r="W56" s="52"/>
      <c r="X56" s="52"/>
      <c r="Y56" s="52"/>
      <c r="Z56" s="52"/>
      <c r="AA56" s="52"/>
      <c r="AB56" s="52"/>
      <c r="AC56" s="52"/>
      <c r="AD56" s="52"/>
      <c r="AE56" s="52"/>
      <c r="AF56" s="52"/>
      <c r="AG56" s="52"/>
      <c r="AH56" s="52"/>
      <c r="AI56" s="52"/>
      <c r="AJ56" s="52"/>
      <c r="AK56" s="52"/>
      <c r="AL56" s="52"/>
      <c r="AM56" s="52"/>
      <c r="AN56" s="52"/>
      <c r="AO56" s="52"/>
      <c r="AP56" s="52"/>
      <c r="AQ56" s="52"/>
      <c r="AR56" s="52"/>
      <c r="AS56" s="52"/>
      <c r="AT56" s="52"/>
      <c r="AU56" s="57"/>
      <c r="AV56" s="51"/>
      <c r="AW56" s="51"/>
      <c r="AX56" s="51"/>
      <c r="AY56" s="51"/>
      <c r="AZ56" s="51"/>
      <c r="BA56" s="51"/>
      <c r="BB56" s="51"/>
      <c r="BC56" s="51"/>
      <c r="BD56" s="51"/>
      <c r="BE56" s="51"/>
      <c r="BF56" s="51"/>
      <c r="BG56" s="51"/>
      <c r="BH56" s="51"/>
      <c r="BI56" s="51"/>
      <c r="BJ56" s="51"/>
      <c r="BK56" s="51"/>
      <c r="BL56" s="51"/>
      <c r="BM56" s="51"/>
      <c r="BN56" s="51"/>
      <c r="BO56" s="51"/>
      <c r="BP56" s="51"/>
      <c r="BQ56" s="51"/>
      <c r="BR56" s="51"/>
      <c r="BS56" s="51"/>
      <c r="BT56" s="51"/>
      <c r="BU56" s="51"/>
      <c r="BV56" s="51"/>
      <c r="BW56" s="51"/>
      <c r="BX56" s="51"/>
      <c r="BY56" s="51"/>
      <c r="BZ56" s="51"/>
      <c r="CA56" s="51"/>
      <c r="CB56" s="51"/>
      <c r="CC56" s="51"/>
      <c r="CD56" s="51"/>
    </row>
    <row r="57" spans="1:82">
      <c r="A57" s="43" t="str">
        <f t="shared" si="5"/>
        <v>LDU#</v>
      </c>
      <c r="B57" s="43" t="str">
        <f>"R["&amp;H57&amp;"] &lt;= "&amp;K57</f>
        <v>R[1] &lt;= 106</v>
      </c>
      <c r="C57" s="48" t="s">
        <v>226</v>
      </c>
      <c r="D57" s="43" t="str">
        <f t="shared" si="6"/>
        <v>B LDU R1,R0,106</v>
      </c>
      <c r="E57" s="45"/>
      <c r="F57" s="43" t="s">
        <v>341</v>
      </c>
      <c r="G57" s="43" t="str">
        <f>IF(K57&gt;=0,"LDU","LD")</f>
        <v>LDU</v>
      </c>
      <c r="H57" s="46">
        <v>1</v>
      </c>
      <c r="I57" s="46">
        <v>0</v>
      </c>
      <c r="J57" s="46" t="s">
        <v>226</v>
      </c>
      <c r="K57" s="46">
        <v>106</v>
      </c>
      <c r="L57" s="98" t="str">
        <f>RIGHT(DEC2HEX(K57,10),8)</f>
        <v>0000006A</v>
      </c>
      <c r="M57" s="43">
        <f t="shared" si="7"/>
        <v>50</v>
      </c>
      <c r="N57" s="48"/>
      <c r="O57" s="43">
        <f t="shared" si="8"/>
        <v>0</v>
      </c>
      <c r="P57" s="99" t="str">
        <f>L57</f>
        <v>0000006A</v>
      </c>
      <c r="Q57" s="46" t="e">
        <f t="shared" ca="1" si="11"/>
        <v>#NAME?</v>
      </c>
      <c r="R57" s="46" t="str">
        <f>R56</f>
        <v>00000032</v>
      </c>
      <c r="S57" s="52"/>
      <c r="T57" s="52"/>
      <c r="U57" s="52"/>
      <c r="V57" s="52"/>
      <c r="W57" s="52"/>
      <c r="X57" s="52"/>
      <c r="Y57" s="52"/>
      <c r="Z57" s="52"/>
      <c r="AA57" s="52"/>
      <c r="AB57" s="52"/>
      <c r="AC57" s="52"/>
      <c r="AD57" s="52"/>
      <c r="AE57" s="52"/>
      <c r="AF57" s="52"/>
      <c r="AG57" s="52"/>
      <c r="AH57" s="52"/>
      <c r="AI57" s="52"/>
      <c r="AJ57" s="52"/>
      <c r="AK57" s="52"/>
      <c r="AL57" s="52"/>
      <c r="AM57" s="52"/>
      <c r="AN57" s="52"/>
      <c r="AO57" s="52"/>
      <c r="AP57" s="52"/>
      <c r="AQ57" s="52"/>
      <c r="AR57" s="52"/>
      <c r="AS57" s="52"/>
      <c r="AT57" s="52"/>
      <c r="AU57" s="57"/>
      <c r="AV57" s="51"/>
      <c r="AW57" s="51"/>
      <c r="AX57" s="51"/>
      <c r="AY57" s="51"/>
      <c r="AZ57" s="51"/>
      <c r="BA57" s="51"/>
      <c r="BB57" s="51"/>
      <c r="BC57" s="51"/>
      <c r="BD57" s="51"/>
      <c r="BE57" s="51"/>
      <c r="BF57" s="51"/>
      <c r="BG57" s="51"/>
      <c r="BH57" s="51"/>
      <c r="BI57" s="51"/>
      <c r="BJ57" s="51"/>
      <c r="BK57" s="51"/>
      <c r="BL57" s="51"/>
      <c r="BM57" s="51"/>
      <c r="BN57" s="51"/>
      <c r="BO57" s="51"/>
      <c r="BP57" s="51"/>
      <c r="BQ57" s="51"/>
      <c r="BR57" s="51"/>
      <c r="BS57" s="51"/>
      <c r="BT57" s="51"/>
      <c r="BU57" s="51"/>
      <c r="BV57" s="51"/>
      <c r="BW57" s="51"/>
      <c r="BX57" s="51"/>
      <c r="BY57" s="51"/>
      <c r="BZ57" s="51"/>
      <c r="CA57" s="51"/>
      <c r="CB57" s="51"/>
      <c r="CC57" s="51"/>
      <c r="CD57" s="51"/>
    </row>
    <row r="58" spans="1:82" ht="31.5">
      <c r="A58" s="44" t="str">
        <f t="shared" si="5"/>
        <v>LBI</v>
      </c>
      <c r="B58" s="64" t="e">
        <f ca="1">"EA &lt;= (R["&amp;I58&amp;"] + R["&amp;J58&amp;"])="&amp;HEX2DEC(Q58)+HEX2DEC(P58)&amp;CHAR(10)&amp;"R["&amp;H58&amp;"] &lt;= MEM[EA]"</f>
        <v>#NAME?</v>
      </c>
      <c r="C58" s="48" t="s">
        <v>367</v>
      </c>
      <c r="D58" s="43" t="str">
        <f t="shared" si="6"/>
        <v>A LBI R3,R1,R2</v>
      </c>
      <c r="E58" s="45"/>
      <c r="F58" s="44" t="s">
        <v>228</v>
      </c>
      <c r="G58" s="44" t="s">
        <v>61</v>
      </c>
      <c r="H58" s="46">
        <v>3</v>
      </c>
      <c r="I58" s="46">
        <v>1</v>
      </c>
      <c r="J58" s="46">
        <v>2</v>
      </c>
      <c r="K58" s="46" t="s">
        <v>226</v>
      </c>
      <c r="L58" s="102" t="s">
        <v>226</v>
      </c>
      <c r="M58" s="43">
        <f t="shared" si="7"/>
        <v>51</v>
      </c>
      <c r="N58" s="48"/>
      <c r="O58" s="43">
        <f t="shared" si="8"/>
        <v>0</v>
      </c>
      <c r="P58" s="46" t="str">
        <f>P57</f>
        <v>0000006A</v>
      </c>
      <c r="Q58" s="46" t="e">
        <f t="shared" ca="1" si="11"/>
        <v>#NAME?</v>
      </c>
      <c r="R58" s="73" t="e">
        <f ca="1">P54</f>
        <v>#NAME?</v>
      </c>
      <c r="S58" s="52"/>
      <c r="T58" s="103"/>
      <c r="U58" s="52"/>
      <c r="V58" s="52"/>
      <c r="W58" s="52"/>
      <c r="X58" s="52"/>
      <c r="Y58" s="52"/>
      <c r="Z58" s="52"/>
      <c r="AA58" s="52"/>
      <c r="AB58" s="52"/>
      <c r="AC58" s="52"/>
      <c r="AD58" s="52"/>
      <c r="AE58" s="52"/>
      <c r="AF58" s="52"/>
      <c r="AG58" s="52"/>
      <c r="AH58" s="52"/>
      <c r="AI58" s="52"/>
      <c r="AJ58" s="52"/>
      <c r="AK58" s="52"/>
      <c r="AL58" s="52"/>
      <c r="AM58" s="52"/>
      <c r="AN58" s="52"/>
      <c r="AO58" s="52"/>
      <c r="AP58" s="52"/>
      <c r="AQ58" s="52"/>
      <c r="AR58" s="52"/>
      <c r="AS58" s="52"/>
      <c r="AT58" s="52"/>
      <c r="AU58" s="57"/>
      <c r="AV58" s="51"/>
      <c r="AW58" s="51"/>
      <c r="AX58" s="51"/>
      <c r="AY58" s="51"/>
      <c r="AZ58" s="51"/>
      <c r="BA58" s="51"/>
      <c r="BB58" s="51"/>
      <c r="BC58" s="51"/>
      <c r="BD58" s="51"/>
      <c r="BE58" s="51"/>
      <c r="BF58" s="51"/>
      <c r="BG58" s="51"/>
      <c r="BH58" s="51"/>
      <c r="BI58" s="51"/>
      <c r="BJ58" s="51"/>
      <c r="BK58" s="51"/>
      <c r="BL58" s="51"/>
      <c r="BM58" s="51"/>
      <c r="BN58" s="51"/>
      <c r="BO58" s="51"/>
      <c r="BP58" s="51"/>
      <c r="BQ58" s="51"/>
      <c r="BR58" s="51"/>
      <c r="BS58" s="51"/>
      <c r="BT58" s="51"/>
      <c r="BU58" s="51"/>
      <c r="BV58" s="51"/>
      <c r="BW58" s="51"/>
      <c r="BX58" s="51"/>
      <c r="BY58" s="51"/>
      <c r="BZ58" s="51"/>
      <c r="CA58" s="51"/>
      <c r="CB58" s="51"/>
      <c r="CC58" s="51"/>
      <c r="CD58" s="51"/>
    </row>
    <row r="59" spans="1:82">
      <c r="A59" s="43" t="str">
        <f t="shared" si="5"/>
        <v>LDU#</v>
      </c>
      <c r="B59" s="43" t="str">
        <f>"R["&amp;H59&amp;"] &lt;= "&amp;K59</f>
        <v>R[2] &lt;= 120</v>
      </c>
      <c r="C59" s="48" t="s">
        <v>226</v>
      </c>
      <c r="D59" s="43" t="str">
        <f t="shared" si="6"/>
        <v>B LDU R2,R0,120</v>
      </c>
      <c r="E59" s="45"/>
      <c r="F59" s="43" t="s">
        <v>341</v>
      </c>
      <c r="G59" s="43" t="str">
        <f>IF(K59&gt;=0,"LDU","LD")</f>
        <v>LDU</v>
      </c>
      <c r="H59" s="46">
        <v>2</v>
      </c>
      <c r="I59" s="46">
        <v>0</v>
      </c>
      <c r="J59" s="46" t="s">
        <v>226</v>
      </c>
      <c r="K59" s="46">
        <v>120</v>
      </c>
      <c r="L59" s="98" t="str">
        <f>RIGHT(DEC2HEX(K59,10),8)</f>
        <v>00000078</v>
      </c>
      <c r="M59" s="43">
        <f t="shared" si="7"/>
        <v>52</v>
      </c>
      <c r="N59" s="48"/>
      <c r="O59" s="43">
        <f t="shared" si="8"/>
        <v>0</v>
      </c>
      <c r="P59" s="46" t="str">
        <f>P58</f>
        <v>0000006A</v>
      </c>
      <c r="Q59" s="46" t="str">
        <f>L59</f>
        <v>00000078</v>
      </c>
      <c r="R59" s="46" t="e">
        <f ca="1">R58</f>
        <v>#NAME?</v>
      </c>
      <c r="S59" s="52"/>
      <c r="T59" s="52"/>
      <c r="U59" s="52"/>
      <c r="V59" s="52"/>
      <c r="W59" s="52"/>
      <c r="X59" s="52"/>
      <c r="Y59" s="52"/>
      <c r="Z59" s="52"/>
      <c r="AA59" s="52"/>
      <c r="AB59" s="52"/>
      <c r="AC59" s="52"/>
      <c r="AD59" s="52"/>
      <c r="AE59" s="52"/>
      <c r="AF59" s="52"/>
      <c r="AG59" s="52"/>
      <c r="AH59" s="52"/>
      <c r="AI59" s="52"/>
      <c r="AJ59" s="52"/>
      <c r="AK59" s="52"/>
      <c r="AL59" s="52"/>
      <c r="AM59" s="52"/>
      <c r="AN59" s="52"/>
      <c r="AO59" s="52"/>
      <c r="AP59" s="52"/>
      <c r="AQ59" s="52"/>
      <c r="AR59" s="52"/>
      <c r="AS59" s="52"/>
      <c r="AT59" s="52"/>
      <c r="AU59" s="57"/>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row>
    <row r="60" spans="1:82" ht="31.5">
      <c r="A60" s="44" t="str">
        <f t="shared" si="5"/>
        <v>LDRi</v>
      </c>
      <c r="B60" s="64" t="str">
        <f>"EA &lt;= (R["&amp;J60&amp;"])"&amp;CHAR(10)&amp;"R["&amp;H60&amp;"] &lt;= MEM[EA]"</f>
        <v>EA &lt;= (R[2])
R[1] &lt;= MEM[EA]</v>
      </c>
      <c r="C60" s="48" t="s">
        <v>368</v>
      </c>
      <c r="D60" s="43" t="str">
        <f t="shared" si="6"/>
        <v>A LDRi R1,R1,R2</v>
      </c>
      <c r="E60" s="45"/>
      <c r="F60" s="44" t="s">
        <v>228</v>
      </c>
      <c r="G60" s="44" t="s">
        <v>65</v>
      </c>
      <c r="H60" s="46">
        <v>1</v>
      </c>
      <c r="I60" s="46">
        <v>1</v>
      </c>
      <c r="J60" s="46">
        <v>2</v>
      </c>
      <c r="K60" s="46" t="s">
        <v>226</v>
      </c>
      <c r="L60" s="102" t="s">
        <v>226</v>
      </c>
      <c r="M60" s="43">
        <f t="shared" si="7"/>
        <v>53</v>
      </c>
      <c r="N60" s="48"/>
      <c r="O60" s="43">
        <f t="shared" si="8"/>
        <v>0</v>
      </c>
      <c r="P60" s="73" t="e">
        <f ca="1">R58</f>
        <v>#NAME?</v>
      </c>
      <c r="Q60" s="46" t="str">
        <f>Q59</f>
        <v>00000078</v>
      </c>
      <c r="R60" s="46" t="e">
        <f ca="1">R59</f>
        <v>#NAME?</v>
      </c>
      <c r="S60" s="52"/>
      <c r="T60" s="103"/>
      <c r="U60" s="52"/>
      <c r="V60" s="52"/>
      <c r="W60" s="52"/>
      <c r="X60" s="52"/>
      <c r="Y60" s="52"/>
      <c r="Z60" s="52"/>
      <c r="AA60" s="52"/>
      <c r="AB60" s="52"/>
      <c r="AC60" s="52"/>
      <c r="AD60" s="52"/>
      <c r="AE60" s="52"/>
      <c r="AF60" s="52"/>
      <c r="AG60" s="52"/>
      <c r="AH60" s="52"/>
      <c r="AI60" s="52"/>
      <c r="AJ60" s="52"/>
      <c r="AK60" s="52"/>
      <c r="AL60" s="52"/>
      <c r="AM60" s="52"/>
      <c r="AN60" s="52"/>
      <c r="AO60" s="52"/>
      <c r="AP60" s="52"/>
      <c r="AQ60" s="52"/>
      <c r="AR60" s="52"/>
      <c r="AS60" s="52"/>
      <c r="AT60" s="52"/>
      <c r="AU60" s="57"/>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row>
    <row r="61" spans="1:82">
      <c r="A61" s="43"/>
      <c r="B61" s="64"/>
      <c r="C61" s="48"/>
      <c r="D61" s="43"/>
      <c r="E61" s="45"/>
      <c r="F61" s="43"/>
      <c r="G61" s="43"/>
      <c r="H61" s="46"/>
      <c r="I61" s="46"/>
      <c r="J61" s="46"/>
      <c r="K61" s="46"/>
      <c r="L61" s="102"/>
      <c r="M61" s="43" t="e">
        <f>#REF!+1</f>
        <v>#REF!</v>
      </c>
      <c r="N61" s="48"/>
      <c r="O61" s="43">
        <f t="shared" si="8"/>
        <v>0</v>
      </c>
      <c r="P61" s="46"/>
      <c r="Q61" s="46"/>
      <c r="R61" s="46"/>
      <c r="S61" s="52"/>
      <c r="T61" s="52"/>
      <c r="U61" s="52"/>
      <c r="V61" s="52"/>
      <c r="W61" s="52"/>
      <c r="X61" s="52"/>
      <c r="Y61" s="52"/>
      <c r="Z61" s="52"/>
      <c r="AA61" s="52"/>
      <c r="AB61" s="52"/>
      <c r="AC61" s="52"/>
      <c r="AD61" s="52"/>
      <c r="AE61" s="52"/>
      <c r="AF61" s="52"/>
      <c r="AG61" s="52"/>
      <c r="AH61" s="52"/>
      <c r="AI61" s="52"/>
      <c r="AJ61" s="52"/>
      <c r="AK61" s="52"/>
      <c r="AL61" s="52"/>
      <c r="AM61" s="52"/>
      <c r="AN61" s="52"/>
      <c r="AO61" s="52"/>
      <c r="AP61" s="52"/>
      <c r="AQ61" s="52"/>
      <c r="AR61" s="52"/>
      <c r="AS61" s="52"/>
      <c r="AT61" s="52"/>
      <c r="AU61" s="57"/>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row>
    <row r="62" spans="1:82">
      <c r="A62" s="43"/>
      <c r="B62" s="43"/>
      <c r="C62" s="48"/>
      <c r="D62" s="43"/>
      <c r="E62" s="45"/>
      <c r="F62" s="46"/>
      <c r="G62" s="46"/>
      <c r="H62" s="46"/>
      <c r="I62" s="46"/>
      <c r="J62" s="43"/>
      <c r="K62" s="43"/>
      <c r="L62" s="43"/>
      <c r="M62" s="43" t="e">
        <f>M61+1</f>
        <v>#REF!</v>
      </c>
      <c r="N62" s="48"/>
      <c r="O62" s="43">
        <f t="shared" si="8"/>
        <v>0</v>
      </c>
      <c r="P62" s="43"/>
      <c r="Q62" s="43"/>
      <c r="R62" s="104"/>
      <c r="S62" s="52"/>
      <c r="T62" s="52"/>
      <c r="U62" s="52"/>
      <c r="V62" s="52"/>
      <c r="W62" s="52"/>
      <c r="X62" s="52"/>
      <c r="Y62" s="52"/>
      <c r="Z62" s="52"/>
      <c r="AA62" s="52"/>
      <c r="AB62" s="52"/>
      <c r="AC62" s="52"/>
      <c r="AD62" s="52"/>
      <c r="AE62" s="52"/>
      <c r="AF62" s="52"/>
      <c r="AG62" s="52"/>
      <c r="AH62" s="52"/>
      <c r="AI62" s="52"/>
      <c r="AJ62" s="52"/>
      <c r="AK62" s="52"/>
      <c r="AL62" s="52"/>
      <c r="AM62" s="52"/>
      <c r="AN62" s="52"/>
      <c r="AO62" s="52"/>
      <c r="AP62" s="52"/>
      <c r="AQ62" s="52"/>
      <c r="AR62" s="52"/>
      <c r="AS62" s="52"/>
      <c r="AT62" s="52"/>
      <c r="AU62" s="57"/>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row>
    <row r="63" spans="1:82">
      <c r="A63" s="43" t="str">
        <f>IF(AND(F63="B",IF(OR(G63="LD",G63="LDU",G63="ADD",G63="SUB",G63="AND",G63="OR",G63="XOR"),1,0)),CONCATENATE(G63,"#"),G63)</f>
        <v>LDU#</v>
      </c>
      <c r="B63" s="43" t="str">
        <f>"R["&amp;H63&amp;"] &lt;= "&amp;K63</f>
        <v>R[1] &lt;= 32</v>
      </c>
      <c r="C63" s="48" t="s">
        <v>226</v>
      </c>
      <c r="D63" s="64" t="str">
        <f>IF(F63="A",CONCATENATE(F63," ",G63," R",H63,",R",I63,",R",J63),IF(F63="B",CONCATENATE(F63," ",G63," R",H63,",R",I63,",",K63),CONCATENATE(F63," ",G63," ",K63)))</f>
        <v>B LDU R1,R0,32</v>
      </c>
      <c r="E63" s="58"/>
      <c r="F63" s="64" t="s">
        <v>341</v>
      </c>
      <c r="G63" s="64" t="str">
        <f>IF(K63&gt;=0,"LDU","LD")</f>
        <v>LDU</v>
      </c>
      <c r="H63" s="61">
        <v>1</v>
      </c>
      <c r="I63" s="61">
        <v>0</v>
      </c>
      <c r="J63" s="61" t="s">
        <v>226</v>
      </c>
      <c r="K63" s="61">
        <v>32</v>
      </c>
      <c r="L63" s="105" t="str">
        <f>RIGHT(DEC2HEX(K63,10),8)</f>
        <v>00000020</v>
      </c>
      <c r="M63" s="64" t="e">
        <f>M62+1</f>
        <v>#REF!</v>
      </c>
      <c r="N63" s="101"/>
      <c r="O63" s="43">
        <f t="shared" si="8"/>
        <v>0</v>
      </c>
      <c r="P63" s="61" t="str">
        <f>L63</f>
        <v>00000020</v>
      </c>
      <c r="Q63" s="61" t="str">
        <f>L63</f>
        <v>00000020</v>
      </c>
      <c r="R63" s="61">
        <f>R62</f>
        <v>0</v>
      </c>
      <c r="S63" s="52"/>
      <c r="T63" s="52"/>
      <c r="U63" s="52"/>
      <c r="V63" s="52"/>
      <c r="W63" s="52"/>
      <c r="X63" s="52"/>
      <c r="Y63" s="52"/>
      <c r="Z63" s="52"/>
      <c r="AA63" s="52"/>
      <c r="AB63" s="52"/>
      <c r="AC63" s="52"/>
      <c r="AD63" s="52"/>
      <c r="AE63" s="52"/>
      <c r="AF63" s="52"/>
      <c r="AG63" s="52"/>
      <c r="AH63" s="52"/>
      <c r="AI63" s="52"/>
      <c r="AJ63" s="52"/>
      <c r="AK63" s="52"/>
      <c r="AL63" s="52"/>
      <c r="AM63" s="52"/>
      <c r="AN63" s="52"/>
      <c r="AO63" s="52"/>
      <c r="AP63" s="52"/>
      <c r="AQ63" s="52"/>
      <c r="AR63" s="52"/>
      <c r="AS63" s="52"/>
      <c r="AT63" s="52"/>
      <c r="AU63" s="57"/>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row>
    <row r="64" spans="1:82" ht="31.5">
      <c r="A64" s="60" t="str">
        <f>IF(AND(F64="B",IF(OR(G64="LD",G64="LDU",G64="ADD",G64="SUB",G64="AND",G64="OR",G64="XOR"),1,0)),CONCATENATE(G64,"#"),G64)</f>
        <v>JMP</v>
      </c>
      <c r="B64" s="64" t="str">
        <f>"PC &lt;= R["&amp;I64&amp;"] "</f>
        <v xml:space="preserve">PC &lt;= R[1] </v>
      </c>
      <c r="C64" s="101" t="s">
        <v>369</v>
      </c>
      <c r="D64" s="37" t="str">
        <f>IF(F64="A",CONCATENATE(F64," ",G64," R",H64,",R",I64,",R",J64),IF(F64="B",CONCATENATE(F64," ",G64," R",H64,",R",I64,",",K64),CONCATENATE(F64," ",G64," ",K64)))</f>
        <v>A JMP R1,R1,R0</v>
      </c>
      <c r="E64" s="77"/>
      <c r="F64" s="35" t="s">
        <v>228</v>
      </c>
      <c r="G64" s="35" t="s">
        <v>86</v>
      </c>
      <c r="H64" s="38">
        <v>1</v>
      </c>
      <c r="I64" s="38">
        <v>1</v>
      </c>
      <c r="J64" s="38">
        <v>0</v>
      </c>
      <c r="K64" s="87" t="s">
        <v>226</v>
      </c>
      <c r="L64" s="106" t="s">
        <v>226</v>
      </c>
      <c r="M64" s="107">
        <f>HEX2DEC(P63)</f>
        <v>32</v>
      </c>
      <c r="N64" s="40"/>
      <c r="O64" s="43">
        <f t="shared" si="8"/>
        <v>0</v>
      </c>
      <c r="P64" s="38" t="str">
        <f>P63</f>
        <v>00000020</v>
      </c>
      <c r="Q64" s="38" t="str">
        <f>Q63</f>
        <v>00000020</v>
      </c>
      <c r="R64" s="38">
        <f>R63</f>
        <v>0</v>
      </c>
      <c r="S64" s="52"/>
      <c r="T64" s="52"/>
      <c r="U64" s="52"/>
      <c r="V64" s="52"/>
      <c r="W64" s="52"/>
      <c r="X64" s="52"/>
      <c r="Y64" s="52"/>
      <c r="Z64" s="52"/>
      <c r="AA64" s="52"/>
      <c r="AB64" s="52"/>
      <c r="AC64" s="52"/>
      <c r="AD64" s="52"/>
      <c r="AE64" s="52"/>
      <c r="AF64" s="52"/>
      <c r="AG64" s="52"/>
      <c r="AH64" s="52"/>
      <c r="AI64" s="52"/>
      <c r="AJ64" s="52"/>
      <c r="AK64" s="52"/>
      <c r="AL64" s="52"/>
      <c r="AM64" s="52"/>
      <c r="AN64" s="52"/>
      <c r="AO64" s="52"/>
      <c r="AP64" s="52"/>
      <c r="AQ64" s="52"/>
      <c r="AR64" s="52"/>
      <c r="AS64" s="52"/>
      <c r="AT64" s="52"/>
      <c r="AU64" s="57"/>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row>
    <row r="65" spans="1:82">
      <c r="A65" s="43"/>
      <c r="B65" s="43"/>
      <c r="C65" s="48"/>
      <c r="D65" s="43"/>
      <c r="E65" s="45"/>
      <c r="F65" s="46"/>
      <c r="G65" s="46"/>
      <c r="H65" s="46"/>
      <c r="I65" s="46"/>
      <c r="J65" s="43"/>
      <c r="K65" s="43"/>
      <c r="L65" s="43"/>
      <c r="M65" s="43">
        <f>M64+1</f>
        <v>33</v>
      </c>
      <c r="N65" s="48"/>
      <c r="O65" s="43">
        <f t="shared" si="8"/>
        <v>0</v>
      </c>
      <c r="P65" s="43"/>
      <c r="Q65" s="43"/>
      <c r="R65" s="104"/>
      <c r="S65" s="52"/>
      <c r="T65" s="52"/>
      <c r="U65" s="52"/>
      <c r="V65" s="52"/>
      <c r="W65" s="52"/>
      <c r="X65" s="52"/>
      <c r="Y65" s="52"/>
      <c r="Z65" s="52"/>
      <c r="AA65" s="52"/>
      <c r="AB65" s="52"/>
      <c r="AC65" s="52"/>
      <c r="AD65" s="52"/>
      <c r="AE65" s="52"/>
      <c r="AF65" s="52"/>
      <c r="AG65" s="52"/>
      <c r="AH65" s="52"/>
      <c r="AI65" s="52"/>
      <c r="AJ65" s="52"/>
      <c r="AK65" s="52"/>
      <c r="AL65" s="52"/>
      <c r="AM65" s="52"/>
      <c r="AN65" s="52"/>
      <c r="AO65" s="52"/>
      <c r="AP65" s="52"/>
      <c r="AQ65" s="52"/>
      <c r="AR65" s="52"/>
      <c r="AS65" s="52"/>
      <c r="AT65" s="52"/>
      <c r="AU65" s="57"/>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row>
    <row r="66" spans="1:82">
      <c r="A66" s="43"/>
      <c r="B66" s="43"/>
      <c r="C66" s="48"/>
      <c r="D66" s="37"/>
      <c r="E66" s="77"/>
      <c r="F66" s="37"/>
      <c r="G66" s="37"/>
      <c r="H66" s="38"/>
      <c r="I66" s="38"/>
      <c r="J66" s="38"/>
      <c r="K66" s="38"/>
      <c r="L66" s="106"/>
      <c r="M66" s="37">
        <f>M65+1</f>
        <v>34</v>
      </c>
      <c r="N66" s="40"/>
      <c r="O66" s="43">
        <f t="shared" si="8"/>
        <v>0</v>
      </c>
      <c r="P66" s="38"/>
      <c r="Q66" s="38"/>
      <c r="R66" s="38"/>
      <c r="S66" s="52"/>
      <c r="T66" s="52"/>
      <c r="U66" s="52"/>
      <c r="V66" s="52"/>
      <c r="W66" s="52"/>
      <c r="X66" s="52"/>
      <c r="Y66" s="52"/>
      <c r="Z66" s="52"/>
      <c r="AA66" s="52"/>
      <c r="AB66" s="52"/>
      <c r="AC66" s="52"/>
      <c r="AD66" s="52"/>
      <c r="AE66" s="52"/>
      <c r="AF66" s="52"/>
      <c r="AG66" s="52"/>
      <c r="AH66" s="52"/>
      <c r="AI66" s="52"/>
      <c r="AJ66" s="52"/>
      <c r="AK66" s="52"/>
      <c r="AL66" s="52"/>
      <c r="AM66" s="52"/>
      <c r="AN66" s="52"/>
      <c r="AO66" s="52"/>
      <c r="AP66" s="52"/>
      <c r="AQ66" s="52"/>
      <c r="AR66" s="52"/>
      <c r="AS66" s="52"/>
      <c r="AT66" s="52"/>
      <c r="AU66" s="57"/>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row>
    <row r="67" spans="1:82" ht="62.25" customHeight="1">
      <c r="A67" s="60" t="str">
        <f>IF(AND(F67="B",IF(OR(G67="LD",G67="LDU",G67="ADD",G67="SUB",G67="AND",G67="OR",G67="XOR"),1,0)),CONCATENATE(G67,"#"),G67)</f>
        <v>JSR</v>
      </c>
      <c r="B67" s="64" t="str">
        <f>"R["&amp;H67&amp;"] &lt;= [PC] //R[30]=LINK"&amp;CHAR(10)&amp;"PC &lt;= R["&amp;I67&amp;"]"</f>
        <v>R[30] &lt;= [PC] //R[30]=LINK
PC &lt;= R[1]</v>
      </c>
      <c r="C67" s="101" t="s">
        <v>370</v>
      </c>
      <c r="D67" s="43" t="str">
        <f>IF(F67="A",CONCATENATE(F67," ",G67," R",H67,",R",I67,",R",J67),IF(F67="B",CONCATENATE(F67," ",G67," R",H67,",R",I67,",",K67),CONCATENATE(F67," ",G67," ",K67)))</f>
        <v>A JSR R30,R1,R0</v>
      </c>
      <c r="E67" s="45"/>
      <c r="F67" s="44" t="s">
        <v>228</v>
      </c>
      <c r="G67" s="44" t="s">
        <v>91</v>
      </c>
      <c r="H67" s="46">
        <v>30</v>
      </c>
      <c r="I67" s="46">
        <v>1</v>
      </c>
      <c r="J67" s="46">
        <v>0</v>
      </c>
      <c r="K67" s="47" t="s">
        <v>226</v>
      </c>
      <c r="L67" s="102" t="s">
        <v>226</v>
      </c>
      <c r="M67" s="73" t="str">
        <f>"R["&amp;I67&amp;"]"</f>
        <v>R[1]</v>
      </c>
      <c r="N67" s="48"/>
      <c r="O67" s="43">
        <f t="shared" si="8"/>
        <v>0</v>
      </c>
      <c r="P67" s="46">
        <f t="shared" ref="P67:R68" si="12">P66</f>
        <v>0</v>
      </c>
      <c r="Q67" s="46">
        <f t="shared" si="12"/>
        <v>0</v>
      </c>
      <c r="R67" s="46">
        <f t="shared" si="12"/>
        <v>0</v>
      </c>
      <c r="S67" s="52"/>
      <c r="T67" s="52"/>
      <c r="U67" s="52"/>
      <c r="V67" s="52"/>
      <c r="W67" s="52"/>
      <c r="X67" s="52"/>
      <c r="Y67" s="52"/>
      <c r="Z67" s="52"/>
      <c r="AA67" s="52"/>
      <c r="AB67" s="52"/>
      <c r="AC67" s="52"/>
      <c r="AD67" s="52"/>
      <c r="AE67" s="52"/>
      <c r="AF67" s="52"/>
      <c r="AG67" s="52"/>
      <c r="AH67" s="52"/>
      <c r="AI67" s="52"/>
      <c r="AJ67" s="52"/>
      <c r="AK67" s="52"/>
      <c r="AL67" s="52"/>
      <c r="AM67" s="52"/>
      <c r="AN67" s="52"/>
      <c r="AO67" s="52"/>
      <c r="AP67" s="52"/>
      <c r="AQ67" s="52"/>
      <c r="AR67" s="52"/>
      <c r="AS67" s="52"/>
      <c r="AT67" s="52"/>
      <c r="AU67" s="57"/>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row>
    <row r="68" spans="1:82" ht="31.5">
      <c r="A68" s="60" t="str">
        <f>IF(AND(F68="B",IF(OR(G68="LD",G68="LDU",G68="ADD",G68="SUB",G68="AND",G68="OR",G68="XOR"),1,0)),CONCATENATE(G68,"#"),G68)</f>
        <v>RTS</v>
      </c>
      <c r="B68" s="64" t="str">
        <f>"PC &lt;= R["&amp;I68&amp;"]  //R[30]=LINK"</f>
        <v>PC &lt;= R[30]  //R[30]=LINK</v>
      </c>
      <c r="C68" s="101" t="s">
        <v>371</v>
      </c>
      <c r="D68" s="108" t="str">
        <f>IF(F68="A",CONCATENATE(F68," ",G68," R",H68,",R",I68,",R",J68),IF(F68="B",CONCATENATE(F68," ",G68," R",H68,",R",I68,",",K68),CONCATENATE(F68," ",G68," ",K68)))</f>
        <v>A RTS R1,R30,R0</v>
      </c>
      <c r="E68" s="109"/>
      <c r="F68" s="110" t="s">
        <v>228</v>
      </c>
      <c r="G68" s="110" t="s">
        <v>96</v>
      </c>
      <c r="H68" s="111">
        <v>1</v>
      </c>
      <c r="I68" s="111">
        <v>30</v>
      </c>
      <c r="J68" s="111">
        <v>0</v>
      </c>
      <c r="K68" s="112" t="s">
        <v>226</v>
      </c>
      <c r="L68" s="113" t="s">
        <v>226</v>
      </c>
      <c r="M68" s="114" t="str">
        <f>"R["&amp;I68&amp;"]"</f>
        <v>R[30]</v>
      </c>
      <c r="N68" s="115"/>
      <c r="O68" s="43">
        <f t="shared" si="8"/>
        <v>0</v>
      </c>
      <c r="P68" s="111">
        <f t="shared" si="12"/>
        <v>0</v>
      </c>
      <c r="Q68" s="111">
        <f t="shared" si="12"/>
        <v>0</v>
      </c>
      <c r="R68" s="111">
        <f t="shared" si="12"/>
        <v>0</v>
      </c>
      <c r="S68" s="52"/>
      <c r="T68" s="52"/>
      <c r="U68" s="52"/>
      <c r="V68" s="52"/>
      <c r="W68" s="52"/>
      <c r="X68" s="52"/>
      <c r="Y68" s="52"/>
      <c r="Z68" s="52"/>
      <c r="AA68" s="52"/>
      <c r="AB68" s="52"/>
      <c r="AC68" s="52"/>
      <c r="AD68" s="52"/>
      <c r="AE68" s="52"/>
      <c r="AF68" s="52"/>
      <c r="AG68" s="52"/>
      <c r="AH68" s="52"/>
      <c r="AI68" s="52"/>
      <c r="AJ68" s="52"/>
      <c r="AK68" s="52"/>
      <c r="AL68" s="52"/>
      <c r="AM68" s="52"/>
      <c r="AN68" s="52"/>
      <c r="AO68" s="52"/>
      <c r="AP68" s="52"/>
      <c r="AQ68" s="52"/>
      <c r="AR68" s="52"/>
      <c r="AS68" s="52"/>
      <c r="AT68" s="52"/>
      <c r="AU68" s="57"/>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row>
    <row r="69" spans="1:82">
      <c r="A69" s="43"/>
      <c r="B69" s="43"/>
      <c r="C69" s="48"/>
      <c r="D69" s="43"/>
      <c r="E69" s="45"/>
      <c r="F69" s="46"/>
      <c r="G69" s="46"/>
      <c r="H69" s="46"/>
      <c r="I69" s="46"/>
      <c r="J69" s="43"/>
      <c r="K69" s="43"/>
      <c r="L69" s="43"/>
      <c r="M69" s="43" t="e">
        <f>M68+1</f>
        <v>#VALUE!</v>
      </c>
      <c r="N69" s="48"/>
      <c r="O69" s="43">
        <f t="shared" si="8"/>
        <v>0</v>
      </c>
      <c r="P69" s="43"/>
      <c r="Q69" s="43"/>
      <c r="R69" s="104"/>
      <c r="S69" s="52"/>
      <c r="T69" s="52"/>
      <c r="U69" s="52"/>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c r="AU69" s="57"/>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row>
    <row r="70" spans="1:82">
      <c r="A70" s="43"/>
      <c r="B70" s="43"/>
      <c r="C70" s="48"/>
      <c r="D70" s="43"/>
      <c r="E70" s="45"/>
      <c r="F70" s="46"/>
      <c r="G70" s="46"/>
      <c r="H70" s="46"/>
      <c r="I70" s="46"/>
      <c r="J70" s="43"/>
      <c r="K70" s="43"/>
      <c r="L70" s="43"/>
      <c r="M70" s="43">
        <v>0</v>
      </c>
      <c r="N70" s="48"/>
      <c r="O70" s="43">
        <f t="shared" si="8"/>
        <v>0</v>
      </c>
      <c r="P70" s="43"/>
      <c r="Q70" s="43"/>
      <c r="R70" s="104"/>
      <c r="S70" s="52"/>
      <c r="T70" s="52"/>
      <c r="U70" s="52"/>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c r="AU70" s="57"/>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row>
    <row r="71" spans="1:82" ht="31.5">
      <c r="A71" s="60" t="str">
        <f>IF(AND(F71="B",IF(OR(G71="LD",G71="LDU",G71="ADD",G71="SUB",G71="AND",G71="OR",G71="XOR"),1,0)),CONCATENATE(G71,"#"),G71)</f>
        <v>BEQ</v>
      </c>
      <c r="B71" s="64" t="str">
        <f>"if (R["&amp;H71&amp;"]=R["&amp;I71&amp;"])"&amp;CHAR(10)&amp;"PC&lt;= PC+"&amp;K71</f>
        <v>if (R[1]=R[2])
PC&lt;= PC+117</v>
      </c>
      <c r="C71" s="101" t="s">
        <v>372</v>
      </c>
      <c r="D71" s="64" t="str">
        <f>IF(F71="A",CONCATENATE(F71," ",G71," R",H71,",R",I71,",R",J71),IF(F71="B",CONCATENATE(F71," ",G71," R",H71,",R",I71,",",K71),CONCATENATE(F71," ",G71," ",K71)))</f>
        <v>B BEQ R1,R2,117</v>
      </c>
      <c r="E71" s="58"/>
      <c r="F71" s="59" t="s">
        <v>341</v>
      </c>
      <c r="G71" s="60" t="s">
        <v>122</v>
      </c>
      <c r="H71" s="61">
        <v>1</v>
      </c>
      <c r="I71" s="61">
        <v>2</v>
      </c>
      <c r="J71" s="61" t="s">
        <v>226</v>
      </c>
      <c r="K71" s="62">
        <v>117</v>
      </c>
      <c r="L71" s="116" t="str">
        <f>RIGHT(DEC2HEX(K71,10),8)</f>
        <v>00000075</v>
      </c>
      <c r="M71" s="107">
        <f>M70+K71</f>
        <v>117</v>
      </c>
      <c r="N71" s="101"/>
      <c r="O71" s="43">
        <f t="shared" si="8"/>
        <v>0</v>
      </c>
      <c r="P71" s="61">
        <f>R69</f>
        <v>0</v>
      </c>
      <c r="Q71" s="61">
        <f t="shared" ref="Q71:R73" si="13">Q70</f>
        <v>0</v>
      </c>
      <c r="R71" s="61">
        <f t="shared" si="13"/>
        <v>0</v>
      </c>
      <c r="S71" s="52"/>
      <c r="T71" s="52"/>
      <c r="U71" s="52"/>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c r="AU71" s="57"/>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row>
    <row r="72" spans="1:82" ht="31.5">
      <c r="A72" s="60" t="str">
        <f>IF(AND(F72="B",IF(OR(G72="LD",G72="LDU",G72="ADD",G72="SUB",G72="AND",G72="OR",G72="XOR"),1,0)),CONCATENATE(G72,"#"),G72)</f>
        <v>BNE</v>
      </c>
      <c r="B72" s="64" t="str">
        <f>"if (NOT(R["&amp;H72&amp;"]=R["&amp;I72&amp;"]))"&amp;CHAR(10)&amp;"PC&lt;=PC+ "&amp;K72</f>
        <v>if (NOT(R[1]=R[2]))
PC&lt;=PC+ 118</v>
      </c>
      <c r="C72" s="101" t="s">
        <v>373</v>
      </c>
      <c r="D72" s="43" t="str">
        <f>IF(F72="A",CONCATENATE(F72," ",G72," R",H72,",R",I72,",R",J72),IF(F72="B",CONCATENATE(F72," ",G72," R",H72,",R",I72,",",K72),CONCATENATE(F72," ",G72," ",K72)))</f>
        <v>B BNE R1,R2,118</v>
      </c>
      <c r="E72" s="45"/>
      <c r="F72" s="55" t="s">
        <v>341</v>
      </c>
      <c r="G72" s="44" t="s">
        <v>127</v>
      </c>
      <c r="H72" s="46">
        <v>1</v>
      </c>
      <c r="I72" s="46">
        <v>2</v>
      </c>
      <c r="J72" s="46" t="s">
        <v>226</v>
      </c>
      <c r="K72" s="47">
        <v>118</v>
      </c>
      <c r="L72" s="97" t="str">
        <f>RIGHT(DEC2HEX(K72,10),8)</f>
        <v>00000076</v>
      </c>
      <c r="M72" s="107">
        <f>M71+K72</f>
        <v>235</v>
      </c>
      <c r="N72" s="48"/>
      <c r="O72" s="43">
        <f t="shared" ref="O72:O80" si="14">O71</f>
        <v>0</v>
      </c>
      <c r="P72" s="46">
        <f>R70</f>
        <v>0</v>
      </c>
      <c r="Q72" s="46">
        <f t="shared" si="13"/>
        <v>0</v>
      </c>
      <c r="R72" s="46">
        <f t="shared" si="13"/>
        <v>0</v>
      </c>
      <c r="S72" s="52"/>
      <c r="T72" s="52"/>
      <c r="U72" s="52"/>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c r="AU72" s="57"/>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row>
    <row r="73" spans="1:82" ht="31.5">
      <c r="A73" s="60" t="str">
        <f>IF(AND(F73="B",IF(OR(G73="LD",G73="LDU",G73="ADD",G73="SUB",G73="AND",G73="OR",G73="XOR"),1,0)),CONCATENATE(G73,"#"),G73)</f>
        <v>BLT</v>
      </c>
      <c r="B73" s="64" t="str">
        <f>"if (R["&amp;H73&amp;"]&lt;R["&amp;I73&amp;"])"&amp;CHAR(10)&amp;"PC&lt;=PC+ "&amp;K73</f>
        <v>if (R[1]&lt;R[2])
PC&lt;=PC+ 119</v>
      </c>
      <c r="C73" s="101" t="s">
        <v>374</v>
      </c>
      <c r="D73" s="37" t="str">
        <f>IF(F73="A",CONCATENATE(F73," ",G73," R",H73,",R",I73,",R",J73),IF(F73="B",CONCATENATE(F73," ",G73," R",H73,",R",I73,",",K73),CONCATENATE(F73," ",G73," ",K73)))</f>
        <v>B BLT R1,R2,119</v>
      </c>
      <c r="E73" s="77"/>
      <c r="F73" s="83" t="s">
        <v>341</v>
      </c>
      <c r="G73" s="35" t="s">
        <v>131</v>
      </c>
      <c r="H73" s="38">
        <v>1</v>
      </c>
      <c r="I73" s="38">
        <v>2</v>
      </c>
      <c r="J73" s="38" t="s">
        <v>226</v>
      </c>
      <c r="K73" s="87">
        <v>119</v>
      </c>
      <c r="L73" s="88" t="str">
        <f>RIGHT(DEC2HEX(K73,10),8)</f>
        <v>00000077</v>
      </c>
      <c r="M73" s="107">
        <f>M72+K73</f>
        <v>354</v>
      </c>
      <c r="N73" s="40"/>
      <c r="O73" s="43">
        <f t="shared" si="14"/>
        <v>0</v>
      </c>
      <c r="P73" s="38">
        <f>R71</f>
        <v>0</v>
      </c>
      <c r="Q73" s="38">
        <f t="shared" si="13"/>
        <v>0</v>
      </c>
      <c r="R73" s="38">
        <f t="shared" si="13"/>
        <v>0</v>
      </c>
      <c r="S73" s="52"/>
      <c r="T73" s="52"/>
      <c r="U73" s="52"/>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c r="AU73" s="57"/>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row>
    <row r="74" spans="1:82">
      <c r="A74" s="43"/>
      <c r="B74" s="43"/>
      <c r="C74" s="48"/>
      <c r="D74" s="43"/>
      <c r="E74" s="45"/>
      <c r="F74" s="46"/>
      <c r="G74" s="46"/>
      <c r="H74" s="46"/>
      <c r="I74" s="46"/>
      <c r="J74" s="43"/>
      <c r="K74" s="43"/>
      <c r="L74" s="43"/>
      <c r="M74" s="43">
        <f>M73+1</f>
        <v>355</v>
      </c>
      <c r="N74" s="48"/>
      <c r="O74" s="43">
        <f t="shared" si="14"/>
        <v>0</v>
      </c>
      <c r="P74" s="43"/>
      <c r="Q74" s="43"/>
      <c r="R74" s="104"/>
      <c r="S74" s="52"/>
      <c r="T74" s="52"/>
      <c r="U74" s="52"/>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c r="AU74" s="57"/>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row>
    <row r="75" spans="1:82">
      <c r="A75" s="43"/>
      <c r="B75" s="43"/>
      <c r="C75" s="48"/>
      <c r="D75" s="43"/>
      <c r="E75" s="45"/>
      <c r="F75" s="46"/>
      <c r="G75" s="46"/>
      <c r="H75" s="46"/>
      <c r="I75" s="46"/>
      <c r="J75" s="43"/>
      <c r="K75" s="43"/>
      <c r="L75" s="43"/>
      <c r="M75" s="43">
        <f>M74+1</f>
        <v>356</v>
      </c>
      <c r="N75" s="48"/>
      <c r="O75" s="43">
        <f t="shared" si="14"/>
        <v>0</v>
      </c>
      <c r="P75" s="43"/>
      <c r="Q75" s="43"/>
      <c r="R75" s="104"/>
      <c r="S75" s="52"/>
      <c r="T75" s="52"/>
      <c r="U75" s="52"/>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c r="AU75" s="57"/>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row>
    <row r="76" spans="1:82">
      <c r="A76" s="43"/>
      <c r="B76" s="43"/>
      <c r="C76" s="48"/>
      <c r="D76" s="43"/>
      <c r="E76" s="45"/>
      <c r="F76" s="46"/>
      <c r="G76" s="46"/>
      <c r="H76" s="46"/>
      <c r="I76" s="46"/>
      <c r="J76" s="43"/>
      <c r="K76" s="43"/>
      <c r="L76" s="43"/>
      <c r="M76" s="43">
        <v>0</v>
      </c>
      <c r="N76" s="48"/>
      <c r="O76" s="43">
        <f t="shared" si="14"/>
        <v>0</v>
      </c>
      <c r="P76" s="43"/>
      <c r="Q76" s="43"/>
      <c r="R76" s="104"/>
      <c r="S76" s="52"/>
      <c r="T76" s="52"/>
      <c r="U76" s="52"/>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c r="AU76" s="57"/>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row>
    <row r="77" spans="1:82" ht="31.5">
      <c r="A77" s="60" t="str">
        <f>IF(AND(F77="B",IF(OR(G77="LD",G77="LDU",G77="ADD",G77="SUB",G77="AND",G77="OR",G77="XOR"),1,0)),CONCATENATE(G77,"#"),G77)</f>
        <v>BRA</v>
      </c>
      <c r="B77" s="64" t="str">
        <f>"PC&lt;= PC+"&amp;K77</f>
        <v>PC&lt;= PC+110</v>
      </c>
      <c r="C77" s="101" t="s">
        <v>372</v>
      </c>
      <c r="D77" s="43" t="str">
        <f>IF(F77="A",CONCATENATE(F77," ",G77," R",H77,",R",I77,",R",J77),IF(F77="B",CONCATENATE(F77," ",G77," R",H77,",R",I77,",",K77),CONCATENATE(F77," ",G77," ",K77)))</f>
        <v>C BRA 110</v>
      </c>
      <c r="E77" s="45"/>
      <c r="F77" s="117" t="s">
        <v>375</v>
      </c>
      <c r="G77" s="44" t="s">
        <v>159</v>
      </c>
      <c r="H77" s="46" t="s">
        <v>226</v>
      </c>
      <c r="I77" s="46" t="s">
        <v>226</v>
      </c>
      <c r="J77" s="46" t="s">
        <v>226</v>
      </c>
      <c r="K77" s="47">
        <v>110</v>
      </c>
      <c r="L77" s="97" t="str">
        <f>RIGHT(DEC2HEX(K77,10),8)</f>
        <v>0000006E</v>
      </c>
      <c r="M77" s="107">
        <f>M76+K77</f>
        <v>110</v>
      </c>
      <c r="N77" s="48"/>
      <c r="O77" s="43">
        <f t="shared" si="14"/>
        <v>0</v>
      </c>
      <c r="P77" s="46">
        <f>R75</f>
        <v>0</v>
      </c>
      <c r="Q77" s="46">
        <f>Q76</f>
        <v>0</v>
      </c>
      <c r="R77" s="46">
        <f>R76</f>
        <v>0</v>
      </c>
      <c r="S77" s="52"/>
      <c r="T77" s="52"/>
      <c r="U77" s="52"/>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c r="AU77" s="57"/>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row>
    <row r="78" spans="1:82" ht="31.5">
      <c r="A78" s="60" t="str">
        <f>IF(AND(F78="B",IF(OR(G78="LD",G78="LDU",G78="ADD",G78="SUB",G78="AND",G78="OR",G78="XOR"),1,0)),CONCATENATE(G78,"#"),G78)</f>
        <v>BSR</v>
      </c>
      <c r="B78" s="64" t="str">
        <f>"PC&lt;= PC+"&amp;K78&amp;CHAR(10)&amp;"R["&amp;H67&amp;"] &lt;= [PC] //R[30]=LINK"</f>
        <v>PC&lt;= PC+111
R[30] &lt;= [PC] //R[30]=LINK</v>
      </c>
      <c r="C78" s="101" t="s">
        <v>372</v>
      </c>
      <c r="D78" s="43" t="str">
        <f>IF(F78="A",CONCATENATE(F78," ",G78," R",H78,",R",I78,",R",J78),IF(F78="B",CONCATENATE(F78," ",G78," R",H78,",R",I78,",",K78),CONCATENATE(F78," ",G78," ",K78)))</f>
        <v>C BSR 111</v>
      </c>
      <c r="E78" s="45"/>
      <c r="F78" s="117" t="s">
        <v>375</v>
      </c>
      <c r="G78" s="44" t="s">
        <v>164</v>
      </c>
      <c r="H78" s="46" t="s">
        <v>226</v>
      </c>
      <c r="I78" s="46" t="s">
        <v>226</v>
      </c>
      <c r="J78" s="46" t="s">
        <v>226</v>
      </c>
      <c r="K78" s="47">
        <v>111</v>
      </c>
      <c r="L78" s="97" t="str">
        <f>RIGHT(DEC2HEX(K78,10),8)</f>
        <v>0000006F</v>
      </c>
      <c r="M78" s="107">
        <f>M77+K78</f>
        <v>221</v>
      </c>
      <c r="N78" s="48"/>
      <c r="O78" s="43">
        <f t="shared" si="14"/>
        <v>0</v>
      </c>
      <c r="P78" s="46">
        <f>R76</f>
        <v>0</v>
      </c>
      <c r="Q78" s="46">
        <f>Q77</f>
        <v>0</v>
      </c>
      <c r="R78" s="46">
        <f>R77</f>
        <v>0</v>
      </c>
      <c r="S78" s="52"/>
      <c r="T78" s="52"/>
      <c r="U78" s="52"/>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c r="AU78" s="57"/>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row>
    <row r="79" spans="1:82">
      <c r="A79" s="43"/>
      <c r="B79" s="43"/>
      <c r="C79" s="43"/>
      <c r="D79" s="43"/>
      <c r="E79" s="45"/>
      <c r="F79" s="46"/>
      <c r="G79" s="46"/>
      <c r="H79" s="46"/>
      <c r="I79" s="46"/>
      <c r="J79" s="43"/>
      <c r="K79" s="43"/>
      <c r="L79" s="48"/>
      <c r="M79" s="43">
        <f>M78+1</f>
        <v>222</v>
      </c>
      <c r="N79" s="69"/>
      <c r="O79" s="43">
        <f t="shared" si="14"/>
        <v>0</v>
      </c>
      <c r="P79" s="42"/>
      <c r="Q79" s="43"/>
      <c r="R79" s="104"/>
      <c r="S79" s="52"/>
      <c r="T79" s="52"/>
      <c r="U79" s="52"/>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c r="AU79" s="57"/>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row>
    <row r="80" spans="1:82">
      <c r="A80" s="43"/>
      <c r="B80" s="43"/>
      <c r="C80" s="43"/>
      <c r="D80" s="43"/>
      <c r="E80" s="45"/>
      <c r="F80" s="46"/>
      <c r="G80" s="46"/>
      <c r="H80" s="46"/>
      <c r="I80" s="46"/>
      <c r="J80" s="43"/>
      <c r="K80" s="43"/>
      <c r="L80" s="48"/>
      <c r="M80" s="43">
        <f>M79+1</f>
        <v>223</v>
      </c>
      <c r="N80" s="69"/>
      <c r="O80" s="43">
        <f t="shared" si="14"/>
        <v>0</v>
      </c>
      <c r="P80" s="42"/>
      <c r="Q80" s="43"/>
      <c r="R80" s="104"/>
      <c r="S80" s="65"/>
      <c r="T80" s="65"/>
      <c r="U80" s="65"/>
      <c r="V80" s="65"/>
      <c r="W80" s="65"/>
      <c r="X80" s="65"/>
      <c r="Y80" s="65"/>
      <c r="Z80" s="65"/>
      <c r="AA80" s="65"/>
      <c r="AB80" s="65"/>
      <c r="AC80" s="65"/>
      <c r="AD80" s="65"/>
      <c r="AE80" s="65"/>
      <c r="AF80" s="65"/>
      <c r="AG80" s="65"/>
      <c r="AH80" s="65"/>
      <c r="AI80" s="65"/>
      <c r="AJ80" s="65"/>
      <c r="AK80" s="65"/>
      <c r="AL80" s="65"/>
      <c r="AM80" s="65"/>
      <c r="AN80" s="65"/>
      <c r="AO80" s="65"/>
      <c r="AP80" s="65"/>
      <c r="AQ80" s="65"/>
      <c r="AR80" s="65"/>
      <c r="AS80" s="65"/>
      <c r="AT80" s="65"/>
      <c r="AU80" s="8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90"/>
  <sheetViews>
    <sheetView topLeftCell="A11" zoomScale="55" zoomScaleNormal="55" workbookViewId="0">
      <selection activeCell="A45" sqref="A45"/>
    </sheetView>
  </sheetViews>
  <sheetFormatPr defaultRowHeight="15.75"/>
  <cols>
    <col min="1" max="1" width="20.375" style="118"/>
    <col min="2" max="2" width="25.875" style="118"/>
    <col min="3" max="3" width="40.25" style="118"/>
    <col min="4" max="4" width="23.75" style="118"/>
    <col min="5" max="5" width="49.125" style="118"/>
    <col min="6" max="6" width="10" style="118"/>
    <col min="7" max="7" width="14.5" style="118"/>
    <col min="8" max="8" width="10.625" style="118"/>
    <col min="9" max="9" width="15.875" style="118"/>
    <col min="10" max="10" width="9.75" style="118"/>
    <col min="11" max="11" width="59.125" style="118"/>
    <col min="12" max="12" width="27.625" style="118"/>
    <col min="13" max="13" width="14.125" style="118"/>
    <col min="14" max="14" width="9.625" style="118"/>
    <col min="15" max="15" width="14.125" style="118"/>
    <col min="16" max="16" width="11.375" style="118"/>
    <col min="17" max="17" width="14.5" style="118"/>
    <col min="18" max="18" width="10" style="118"/>
    <col min="19" max="19" width="14.5" style="118"/>
    <col min="20" max="20" width="10.625" style="118"/>
    <col min="21" max="21" width="13.125" style="118"/>
    <col min="22" max="22" width="3.25" style="118"/>
    <col min="23" max="23" width="5.75" style="118"/>
    <col min="24" max="24" width="9.125" style="118"/>
    <col min="25" max="25" width="13" style="118"/>
    <col min="26" max="26" width="3.25" style="118"/>
    <col min="27" max="27" width="5.75" style="118"/>
    <col min="28" max="28" width="10.625" style="118"/>
    <col min="29" max="29" width="14.625" style="118"/>
    <col min="30" max="30" width="10" style="118"/>
    <col min="31" max="31" width="14.625" style="118"/>
    <col min="32" max="32" width="25.5" style="118"/>
    <col min="33" max="34" width="14.625" style="118"/>
    <col min="35" max="35" width="14" style="118"/>
    <col min="36" max="36" width="9.625" style="118"/>
    <col min="37" max="37" width="14" style="118"/>
    <col min="38" max="38" width="9.625" style="118"/>
    <col min="39" max="39" width="14" style="118"/>
    <col min="40" max="40" width="9" style="118"/>
    <col min="41" max="41" width="10.625" style="118"/>
    <col min="42" max="42" width="17.375" style="118"/>
    <col min="43" max="43" width="49" style="118"/>
    <col min="44" max="1025" width="9" style="118"/>
  </cols>
  <sheetData>
    <row r="1" spans="1:36" s="120" customFormat="1">
      <c r="A1" s="119" t="s">
        <v>376</v>
      </c>
      <c r="H1" s="118"/>
      <c r="I1" s="118"/>
      <c r="J1" s="118"/>
      <c r="K1" s="118"/>
      <c r="S1" s="118"/>
    </row>
    <row r="2" spans="1:36" s="122" customFormat="1" ht="18.75">
      <c r="A2" s="121"/>
      <c r="B2" s="14" t="s">
        <v>377</v>
      </c>
      <c r="C2" s="14"/>
      <c r="D2" s="13" t="s">
        <v>378</v>
      </c>
      <c r="E2" s="13"/>
      <c r="F2" s="13"/>
      <c r="G2" s="13"/>
      <c r="H2" s="12" t="s">
        <v>379</v>
      </c>
      <c r="I2" s="12"/>
      <c r="J2" s="12"/>
      <c r="K2" s="12"/>
      <c r="L2" s="13" t="s">
        <v>380</v>
      </c>
      <c r="M2" s="13"/>
      <c r="N2" s="13"/>
      <c r="O2" s="13"/>
      <c r="P2" s="12" t="s">
        <v>381</v>
      </c>
      <c r="Q2" s="12"/>
      <c r="R2" s="12"/>
      <c r="S2" s="12"/>
      <c r="T2" s="13" t="s">
        <v>382</v>
      </c>
      <c r="U2" s="13"/>
      <c r="V2" s="13"/>
      <c r="W2" s="13"/>
      <c r="X2" s="12" t="s">
        <v>383</v>
      </c>
      <c r="Y2" s="12"/>
      <c r="Z2" s="12"/>
      <c r="AA2" s="12"/>
      <c r="AB2" s="13" t="s">
        <v>384</v>
      </c>
      <c r="AC2" s="13"/>
      <c r="AD2" s="13"/>
      <c r="AE2" s="13"/>
      <c r="AF2" s="121"/>
      <c r="AG2" s="12" t="s">
        <v>385</v>
      </c>
      <c r="AH2" s="12"/>
      <c r="AI2" s="12"/>
      <c r="AJ2" s="12"/>
    </row>
    <row r="3" spans="1:36" s="126" customFormat="1">
      <c r="A3" s="123"/>
      <c r="B3" s="124" t="s">
        <v>386</v>
      </c>
      <c r="C3" s="124" t="s">
        <v>234</v>
      </c>
      <c r="D3" s="125" t="s">
        <v>387</v>
      </c>
      <c r="E3" s="125" t="s">
        <v>388</v>
      </c>
      <c r="F3" s="125" t="s">
        <v>191</v>
      </c>
      <c r="G3" s="125" t="s">
        <v>389</v>
      </c>
      <c r="H3" s="124" t="s">
        <v>387</v>
      </c>
      <c r="I3" s="124" t="s">
        <v>388</v>
      </c>
      <c r="J3" s="124" t="s">
        <v>191</v>
      </c>
      <c r="K3" s="124" t="s">
        <v>389</v>
      </c>
      <c r="L3" s="125" t="s">
        <v>387</v>
      </c>
      <c r="M3" s="125" t="s">
        <v>388</v>
      </c>
      <c r="N3" s="125" t="s">
        <v>191</v>
      </c>
      <c r="O3" s="125" t="s">
        <v>389</v>
      </c>
      <c r="P3" s="124" t="s">
        <v>387</v>
      </c>
      <c r="Q3" s="124" t="s">
        <v>388</v>
      </c>
      <c r="R3" s="124" t="s">
        <v>191</v>
      </c>
      <c r="S3" s="124" t="s">
        <v>389</v>
      </c>
      <c r="T3" s="125" t="s">
        <v>387</v>
      </c>
      <c r="U3" s="125" t="s">
        <v>388</v>
      </c>
      <c r="V3" s="125" t="s">
        <v>191</v>
      </c>
      <c r="W3" s="125" t="s">
        <v>389</v>
      </c>
      <c r="X3" s="124" t="s">
        <v>387</v>
      </c>
      <c r="Y3" s="124" t="s">
        <v>388</v>
      </c>
      <c r="Z3" s="124" t="s">
        <v>191</v>
      </c>
      <c r="AA3" s="124" t="s">
        <v>389</v>
      </c>
      <c r="AB3" s="125" t="s">
        <v>387</v>
      </c>
      <c r="AC3" s="125" t="s">
        <v>388</v>
      </c>
      <c r="AD3" s="125" t="s">
        <v>191</v>
      </c>
      <c r="AE3" s="125" t="s">
        <v>389</v>
      </c>
      <c r="AF3" s="123"/>
      <c r="AG3" s="123" t="s">
        <v>390</v>
      </c>
      <c r="AH3" s="123" t="s">
        <v>388</v>
      </c>
      <c r="AI3" s="123" t="s">
        <v>191</v>
      </c>
      <c r="AJ3" s="123" t="s">
        <v>389</v>
      </c>
    </row>
    <row r="4" spans="1:36">
      <c r="A4" s="127" t="s">
        <v>391</v>
      </c>
      <c r="B4" s="127" t="s">
        <v>392</v>
      </c>
      <c r="C4" s="128" t="s">
        <v>393</v>
      </c>
      <c r="D4" s="129"/>
      <c r="E4" s="129"/>
      <c r="F4" s="129"/>
      <c r="G4" s="129"/>
      <c r="H4" s="130" t="s">
        <v>394</v>
      </c>
      <c r="I4" s="130" t="s">
        <v>393</v>
      </c>
      <c r="J4" s="130">
        <v>1</v>
      </c>
      <c r="K4" s="130">
        <v>2</v>
      </c>
      <c r="L4" s="131" t="s">
        <v>395</v>
      </c>
      <c r="M4" s="131" t="s">
        <v>10</v>
      </c>
      <c r="N4" s="131">
        <v>1</v>
      </c>
      <c r="O4" s="131">
        <v>2</v>
      </c>
      <c r="P4" s="130" t="s">
        <v>396</v>
      </c>
      <c r="Q4" s="130" t="s">
        <v>226</v>
      </c>
      <c r="R4" s="130" t="s">
        <v>10</v>
      </c>
      <c r="S4" s="130" t="s">
        <v>16</v>
      </c>
      <c r="T4" s="129" t="s">
        <v>396</v>
      </c>
      <c r="U4" s="129" t="s">
        <v>226</v>
      </c>
      <c r="V4" s="129" t="s">
        <v>10</v>
      </c>
      <c r="W4" s="129" t="s">
        <v>16</v>
      </c>
      <c r="X4" s="130" t="s">
        <v>395</v>
      </c>
      <c r="Y4" s="130" t="s">
        <v>10</v>
      </c>
      <c r="Z4" s="130" t="s">
        <v>10</v>
      </c>
      <c r="AA4" s="130" t="s">
        <v>19</v>
      </c>
      <c r="AB4" s="131" t="s">
        <v>395</v>
      </c>
      <c r="AC4" s="131" t="s">
        <v>10</v>
      </c>
      <c r="AD4" s="131" t="s">
        <v>10</v>
      </c>
      <c r="AE4" s="131" t="s">
        <v>22</v>
      </c>
      <c r="AF4" s="132"/>
      <c r="AG4" s="130"/>
      <c r="AH4" s="130"/>
      <c r="AI4" s="130" t="s">
        <v>10</v>
      </c>
      <c r="AJ4" s="130" t="s">
        <v>13</v>
      </c>
    </row>
    <row r="5" spans="1:36">
      <c r="A5" s="127" t="s">
        <v>397</v>
      </c>
      <c r="B5" s="127" t="s">
        <v>398</v>
      </c>
      <c r="C5" s="128" t="s">
        <v>399</v>
      </c>
      <c r="D5" s="129"/>
      <c r="E5" s="129"/>
      <c r="F5" s="129"/>
      <c r="G5" s="129"/>
      <c r="H5" s="130" t="s">
        <v>400</v>
      </c>
      <c r="I5" s="130" t="s">
        <v>399</v>
      </c>
      <c r="J5" s="130">
        <v>2</v>
      </c>
      <c r="K5" s="130">
        <v>2</v>
      </c>
      <c r="L5" s="131" t="s">
        <v>401</v>
      </c>
      <c r="M5" s="131" t="s">
        <v>19</v>
      </c>
      <c r="N5" s="131">
        <v>2</v>
      </c>
      <c r="O5" s="131">
        <v>2</v>
      </c>
      <c r="P5" s="130" t="s">
        <v>395</v>
      </c>
      <c r="Q5" s="130" t="s">
        <v>10</v>
      </c>
      <c r="R5" s="130" t="s">
        <v>13</v>
      </c>
      <c r="S5" s="130" t="s">
        <v>16</v>
      </c>
      <c r="T5" s="129" t="s">
        <v>396</v>
      </c>
      <c r="U5" s="129" t="s">
        <v>226</v>
      </c>
      <c r="V5" s="129" t="s">
        <v>13</v>
      </c>
      <c r="W5" s="129" t="s">
        <v>16</v>
      </c>
      <c r="X5" s="130" t="s">
        <v>402</v>
      </c>
      <c r="Y5" s="130" t="s">
        <v>22</v>
      </c>
      <c r="Z5" s="130" t="s">
        <v>13</v>
      </c>
      <c r="AA5" s="130" t="s">
        <v>19</v>
      </c>
      <c r="AB5" s="131" t="s">
        <v>402</v>
      </c>
      <c r="AC5" s="131" t="s">
        <v>22</v>
      </c>
      <c r="AD5" s="131" t="s">
        <v>13</v>
      </c>
      <c r="AE5" s="131" t="s">
        <v>22</v>
      </c>
      <c r="AF5" s="132"/>
      <c r="AG5" s="130"/>
      <c r="AH5" s="130"/>
      <c r="AI5" s="130" t="s">
        <v>10</v>
      </c>
      <c r="AJ5" s="130" t="s">
        <v>16</v>
      </c>
    </row>
    <row r="6" spans="1:36">
      <c r="A6" s="127" t="s">
        <v>403</v>
      </c>
      <c r="B6" s="127" t="s">
        <v>404</v>
      </c>
      <c r="C6" s="128" t="s">
        <v>405</v>
      </c>
      <c r="D6" s="129"/>
      <c r="E6" s="129"/>
      <c r="F6" s="129"/>
      <c r="G6" s="129"/>
      <c r="H6" s="130" t="s">
        <v>406</v>
      </c>
      <c r="I6" s="130" t="s">
        <v>405</v>
      </c>
      <c r="J6" s="130">
        <v>3</v>
      </c>
      <c r="K6" s="130">
        <v>2</v>
      </c>
      <c r="L6" s="131" t="s">
        <v>407</v>
      </c>
      <c r="M6" s="131" t="s">
        <v>408</v>
      </c>
      <c r="N6" s="131">
        <v>3</v>
      </c>
      <c r="O6" s="131">
        <v>2</v>
      </c>
      <c r="P6" s="130" t="s">
        <v>396</v>
      </c>
      <c r="Q6" s="130" t="s">
        <v>226</v>
      </c>
      <c r="R6" s="130" t="s">
        <v>16</v>
      </c>
      <c r="S6" s="130" t="s">
        <v>16</v>
      </c>
      <c r="T6" s="129" t="s">
        <v>395</v>
      </c>
      <c r="U6" s="129" t="s">
        <v>226</v>
      </c>
      <c r="V6" s="129" t="s">
        <v>16</v>
      </c>
      <c r="W6" s="129" t="s">
        <v>16</v>
      </c>
      <c r="X6" s="130" t="s">
        <v>407</v>
      </c>
      <c r="Y6" s="130" t="s">
        <v>408</v>
      </c>
      <c r="Z6" s="130" t="s">
        <v>16</v>
      </c>
      <c r="AA6" s="130" t="s">
        <v>19</v>
      </c>
      <c r="AB6" s="131" t="s">
        <v>407</v>
      </c>
      <c r="AC6" s="131" t="s">
        <v>408</v>
      </c>
      <c r="AD6" s="131" t="s">
        <v>16</v>
      </c>
      <c r="AE6" s="131" t="s">
        <v>22</v>
      </c>
      <c r="AF6" s="132"/>
      <c r="AG6" s="130"/>
      <c r="AH6" s="130"/>
      <c r="AI6" s="130">
        <v>2</v>
      </c>
      <c r="AJ6" s="130">
        <v>3</v>
      </c>
    </row>
    <row r="7" spans="1:36">
      <c r="A7" s="127" t="s">
        <v>409</v>
      </c>
      <c r="B7" s="127" t="s">
        <v>410</v>
      </c>
      <c r="C7" s="128" t="s">
        <v>411</v>
      </c>
      <c r="D7" s="129"/>
      <c r="E7" s="129"/>
      <c r="F7" s="129"/>
      <c r="G7" s="129"/>
      <c r="H7" s="130" t="s">
        <v>412</v>
      </c>
      <c r="I7" s="130" t="s">
        <v>411</v>
      </c>
      <c r="J7" s="130">
        <v>4</v>
      </c>
      <c r="K7" s="130">
        <v>2</v>
      </c>
      <c r="L7" s="131" t="s">
        <v>407</v>
      </c>
      <c r="M7" s="131" t="s">
        <v>408</v>
      </c>
      <c r="N7" s="131">
        <v>4</v>
      </c>
      <c r="O7" s="131">
        <v>2</v>
      </c>
      <c r="P7" s="130" t="s">
        <v>407</v>
      </c>
      <c r="Q7" s="130" t="s">
        <v>408</v>
      </c>
      <c r="R7" s="130" t="s">
        <v>19</v>
      </c>
      <c r="S7" s="130">
        <v>3</v>
      </c>
      <c r="T7" s="129" t="s">
        <v>396</v>
      </c>
      <c r="U7" s="129" t="s">
        <v>226</v>
      </c>
      <c r="V7" s="129" t="s">
        <v>19</v>
      </c>
      <c r="W7" s="129" t="s">
        <v>16</v>
      </c>
      <c r="X7" s="130" t="s">
        <v>396</v>
      </c>
      <c r="Y7" s="130" t="s">
        <v>70</v>
      </c>
      <c r="Z7" s="130" t="s">
        <v>19</v>
      </c>
      <c r="AA7" s="130" t="s">
        <v>19</v>
      </c>
      <c r="AB7" s="131" t="s">
        <v>396</v>
      </c>
      <c r="AC7" s="131" t="s">
        <v>70</v>
      </c>
      <c r="AD7" s="131" t="s">
        <v>19</v>
      </c>
      <c r="AE7" s="131" t="s">
        <v>22</v>
      </c>
      <c r="AF7" s="132"/>
      <c r="AG7" s="130"/>
      <c r="AH7" s="130"/>
      <c r="AI7" s="130" t="s">
        <v>16</v>
      </c>
      <c r="AJ7" s="130" t="s">
        <v>16</v>
      </c>
    </row>
    <row r="8" spans="1:36">
      <c r="A8" s="127" t="s">
        <v>413</v>
      </c>
      <c r="B8" s="127" t="s">
        <v>414</v>
      </c>
      <c r="C8" s="128" t="s">
        <v>415</v>
      </c>
      <c r="D8" s="129"/>
      <c r="E8" s="129"/>
      <c r="F8" s="129"/>
      <c r="G8" s="129"/>
      <c r="H8" s="130" t="s">
        <v>416</v>
      </c>
      <c r="I8" s="130" t="s">
        <v>415</v>
      </c>
      <c r="J8" s="130">
        <v>5</v>
      </c>
      <c r="K8" s="130">
        <v>2</v>
      </c>
      <c r="L8" s="131" t="s">
        <v>417</v>
      </c>
      <c r="M8" s="131" t="s">
        <v>64</v>
      </c>
      <c r="N8" s="131">
        <v>5</v>
      </c>
      <c r="O8" s="131">
        <v>2</v>
      </c>
      <c r="P8" s="130" t="s">
        <v>396</v>
      </c>
      <c r="Q8" s="130" t="s">
        <v>226</v>
      </c>
      <c r="R8" s="130" t="s">
        <v>22</v>
      </c>
      <c r="S8" s="130">
        <v>3</v>
      </c>
      <c r="T8" s="129" t="s">
        <v>407</v>
      </c>
      <c r="U8" s="129" t="s">
        <v>226</v>
      </c>
      <c r="V8" s="129" t="s">
        <v>22</v>
      </c>
      <c r="W8" s="129" t="s">
        <v>16</v>
      </c>
      <c r="X8" s="130" t="s">
        <v>417</v>
      </c>
      <c r="Y8" s="130" t="s">
        <v>64</v>
      </c>
      <c r="Z8" s="130" t="s">
        <v>22</v>
      </c>
      <c r="AA8" s="130" t="s">
        <v>19</v>
      </c>
      <c r="AB8" s="131" t="s">
        <v>417</v>
      </c>
      <c r="AC8" s="131" t="s">
        <v>64</v>
      </c>
      <c r="AD8" s="131" t="s">
        <v>22</v>
      </c>
      <c r="AE8" s="131" t="s">
        <v>22</v>
      </c>
      <c r="AF8" s="132"/>
      <c r="AG8" s="130"/>
      <c r="AH8" s="130"/>
      <c r="AI8" s="130" t="s">
        <v>19</v>
      </c>
      <c r="AJ8" s="130" t="s">
        <v>16</v>
      </c>
    </row>
    <row r="9" spans="1:36">
      <c r="A9" s="127" t="s">
        <v>418</v>
      </c>
      <c r="B9" s="127" t="s">
        <v>419</v>
      </c>
      <c r="C9" s="128" t="s">
        <v>420</v>
      </c>
      <c r="D9" s="129"/>
      <c r="E9" s="129"/>
      <c r="F9" s="129"/>
      <c r="G9" s="129"/>
      <c r="H9" s="130" t="s">
        <v>421</v>
      </c>
      <c r="I9" s="130" t="s">
        <v>420</v>
      </c>
      <c r="J9" s="130">
        <v>6</v>
      </c>
      <c r="K9" s="130">
        <v>2</v>
      </c>
      <c r="L9" s="131" t="s">
        <v>422</v>
      </c>
      <c r="M9" s="131" t="s">
        <v>151</v>
      </c>
      <c r="N9" s="131">
        <v>6</v>
      </c>
      <c r="O9" s="131">
        <v>2</v>
      </c>
      <c r="P9" s="130" t="s">
        <v>417</v>
      </c>
      <c r="Q9" s="130" t="s">
        <v>64</v>
      </c>
      <c r="R9" s="130" t="s">
        <v>25</v>
      </c>
      <c r="S9" s="130">
        <v>3</v>
      </c>
      <c r="T9" s="129" t="s">
        <v>396</v>
      </c>
      <c r="U9" s="129" t="s">
        <v>226</v>
      </c>
      <c r="V9" s="129" t="s">
        <v>25</v>
      </c>
      <c r="W9" s="129" t="s">
        <v>16</v>
      </c>
      <c r="X9" s="130" t="s">
        <v>423</v>
      </c>
      <c r="Y9" s="130" t="s">
        <v>423</v>
      </c>
      <c r="Z9" s="130" t="s">
        <v>25</v>
      </c>
      <c r="AA9" s="130" t="s">
        <v>19</v>
      </c>
      <c r="AB9" s="131" t="s">
        <v>423</v>
      </c>
      <c r="AC9" s="131" t="s">
        <v>424</v>
      </c>
      <c r="AD9" s="131" t="s">
        <v>25</v>
      </c>
      <c r="AE9" s="131" t="s">
        <v>22</v>
      </c>
      <c r="AF9" s="132" t="s">
        <v>425</v>
      </c>
      <c r="AG9" s="130"/>
      <c r="AH9" s="130"/>
      <c r="AI9" s="130" t="s">
        <v>19</v>
      </c>
      <c r="AJ9" s="130" t="s">
        <v>19</v>
      </c>
    </row>
    <row r="10" spans="1:36">
      <c r="A10" s="127" t="s">
        <v>426</v>
      </c>
      <c r="B10" s="127" t="s">
        <v>427</v>
      </c>
      <c r="C10" s="128" t="s">
        <v>428</v>
      </c>
      <c r="D10" s="129"/>
      <c r="E10" s="129"/>
      <c r="F10" s="129"/>
      <c r="G10" s="129"/>
      <c r="H10" s="130" t="s">
        <v>429</v>
      </c>
      <c r="I10" s="130" t="s">
        <v>428</v>
      </c>
      <c r="J10" s="130">
        <v>7</v>
      </c>
      <c r="K10" s="130">
        <v>2</v>
      </c>
      <c r="L10" s="131" t="s">
        <v>430</v>
      </c>
      <c r="M10" s="131" t="s">
        <v>37</v>
      </c>
      <c r="N10" s="131">
        <v>7</v>
      </c>
      <c r="O10" s="131">
        <v>2</v>
      </c>
      <c r="P10" s="130" t="s">
        <v>396</v>
      </c>
      <c r="Q10" s="130" t="s">
        <v>226</v>
      </c>
      <c r="R10" s="130" t="s">
        <v>28</v>
      </c>
      <c r="S10" s="130">
        <v>3</v>
      </c>
      <c r="T10" s="129" t="s">
        <v>417</v>
      </c>
      <c r="U10" s="129" t="s">
        <v>226</v>
      </c>
      <c r="V10" s="129" t="s">
        <v>28</v>
      </c>
      <c r="W10" s="129" t="s">
        <v>16</v>
      </c>
      <c r="X10" s="130" t="s">
        <v>430</v>
      </c>
      <c r="Y10" s="130" t="s">
        <v>37</v>
      </c>
      <c r="Z10" s="130" t="s">
        <v>28</v>
      </c>
      <c r="AA10" s="130" t="s">
        <v>19</v>
      </c>
      <c r="AB10" s="131" t="s">
        <v>430</v>
      </c>
      <c r="AC10" s="131" t="s">
        <v>37</v>
      </c>
      <c r="AD10" s="131" t="s">
        <v>28</v>
      </c>
      <c r="AE10" s="131" t="s">
        <v>22</v>
      </c>
      <c r="AF10" s="132"/>
      <c r="AG10" s="130"/>
      <c r="AH10" s="130"/>
      <c r="AI10" s="130" t="s">
        <v>22</v>
      </c>
      <c r="AJ10" s="130" t="s">
        <v>16</v>
      </c>
    </row>
    <row r="11" spans="1:36">
      <c r="A11" s="127" t="s">
        <v>431</v>
      </c>
      <c r="B11" s="127" t="s">
        <v>432</v>
      </c>
      <c r="C11" s="128" t="s">
        <v>433</v>
      </c>
      <c r="D11" s="129"/>
      <c r="E11" s="129"/>
      <c r="F11" s="129"/>
      <c r="G11" s="129"/>
      <c r="H11" s="130" t="s">
        <v>434</v>
      </c>
      <c r="I11" s="130" t="s">
        <v>433</v>
      </c>
      <c r="J11" s="130">
        <v>8</v>
      </c>
      <c r="K11" s="130">
        <v>2</v>
      </c>
      <c r="L11" s="131" t="s">
        <v>435</v>
      </c>
      <c r="M11" s="131" t="s">
        <v>16</v>
      </c>
      <c r="N11" s="131">
        <v>8</v>
      </c>
      <c r="O11" s="131">
        <v>2</v>
      </c>
      <c r="P11" s="130" t="s">
        <v>430</v>
      </c>
      <c r="Q11" s="130" t="s">
        <v>37</v>
      </c>
      <c r="R11" s="130" t="s">
        <v>33</v>
      </c>
      <c r="S11" s="130">
        <v>3</v>
      </c>
      <c r="T11" s="129" t="s">
        <v>396</v>
      </c>
      <c r="U11" s="129" t="s">
        <v>226</v>
      </c>
      <c r="V11" s="129" t="s">
        <v>33</v>
      </c>
      <c r="W11" s="129" t="s">
        <v>16</v>
      </c>
      <c r="X11" s="130" t="s">
        <v>341</v>
      </c>
      <c r="Y11" s="130" t="s">
        <v>341</v>
      </c>
      <c r="Z11" s="130" t="s">
        <v>33</v>
      </c>
      <c r="AA11" s="130" t="s">
        <v>19</v>
      </c>
      <c r="AB11" s="131" t="s">
        <v>341</v>
      </c>
      <c r="AC11" s="131" t="s">
        <v>73</v>
      </c>
      <c r="AD11" s="131" t="s">
        <v>33</v>
      </c>
      <c r="AE11" s="131" t="s">
        <v>22</v>
      </c>
      <c r="AF11" s="132" t="s">
        <v>436</v>
      </c>
      <c r="AG11" s="130"/>
      <c r="AH11" s="130"/>
      <c r="AI11" s="130" t="s">
        <v>25</v>
      </c>
      <c r="AJ11" s="130" t="s">
        <v>16</v>
      </c>
    </row>
    <row r="12" spans="1:36">
      <c r="A12" s="127" t="s">
        <v>437</v>
      </c>
      <c r="B12" s="127" t="s">
        <v>438</v>
      </c>
      <c r="C12" s="128" t="s">
        <v>439</v>
      </c>
      <c r="D12" s="129"/>
      <c r="E12" s="129"/>
      <c r="F12" s="129"/>
      <c r="G12" s="129"/>
      <c r="H12" s="130" t="s">
        <v>440</v>
      </c>
      <c r="I12" s="130" t="s">
        <v>439</v>
      </c>
      <c r="J12" s="130">
        <v>9</v>
      </c>
      <c r="K12" s="130">
        <v>2</v>
      </c>
      <c r="L12" s="131" t="s">
        <v>441</v>
      </c>
      <c r="M12" s="131" t="s">
        <v>13</v>
      </c>
      <c r="N12" s="131">
        <v>9</v>
      </c>
      <c r="O12" s="131">
        <v>2</v>
      </c>
      <c r="P12" s="130" t="s">
        <v>396</v>
      </c>
      <c r="Q12" s="130" t="s">
        <v>226</v>
      </c>
      <c r="R12" s="130" t="s">
        <v>37</v>
      </c>
      <c r="S12" s="130">
        <v>3</v>
      </c>
      <c r="T12" s="129" t="s">
        <v>430</v>
      </c>
      <c r="U12" s="129" t="s">
        <v>226</v>
      </c>
      <c r="V12" s="129" t="s">
        <v>37</v>
      </c>
      <c r="W12" s="129" t="s">
        <v>16</v>
      </c>
      <c r="X12" s="130" t="s">
        <v>441</v>
      </c>
      <c r="Y12" s="130" t="s">
        <v>13</v>
      </c>
      <c r="Z12" s="130" t="s">
        <v>37</v>
      </c>
      <c r="AA12" s="130" t="s">
        <v>19</v>
      </c>
      <c r="AB12" s="131" t="s">
        <v>441</v>
      </c>
      <c r="AC12" s="131" t="s">
        <v>13</v>
      </c>
      <c r="AD12" s="131" t="s">
        <v>37</v>
      </c>
      <c r="AE12" s="131" t="s">
        <v>22</v>
      </c>
      <c r="AF12" s="132"/>
      <c r="AG12" s="130"/>
      <c r="AH12" s="130"/>
      <c r="AI12" s="130" t="s">
        <v>28</v>
      </c>
      <c r="AJ12" s="130" t="s">
        <v>16</v>
      </c>
    </row>
    <row r="13" spans="1:36">
      <c r="A13" s="133" t="s">
        <v>442</v>
      </c>
      <c r="B13" s="127" t="s">
        <v>443</v>
      </c>
      <c r="C13" s="128" t="s">
        <v>444</v>
      </c>
      <c r="D13" s="129"/>
      <c r="E13" s="129"/>
      <c r="F13" s="129"/>
      <c r="G13" s="129"/>
      <c r="H13" s="130" t="s">
        <v>445</v>
      </c>
      <c r="I13" s="130" t="s">
        <v>444</v>
      </c>
      <c r="J13" s="130" t="s">
        <v>228</v>
      </c>
      <c r="K13" s="130">
        <v>2</v>
      </c>
      <c r="L13" s="131" t="s">
        <v>446</v>
      </c>
      <c r="M13" s="131" t="s">
        <v>51</v>
      </c>
      <c r="N13" s="131" t="s">
        <v>228</v>
      </c>
      <c r="O13" s="131">
        <v>2</v>
      </c>
      <c r="P13" s="130" t="s">
        <v>441</v>
      </c>
      <c r="Q13" s="130" t="s">
        <v>13</v>
      </c>
      <c r="R13" s="130" t="s">
        <v>228</v>
      </c>
      <c r="S13" s="130">
        <v>3</v>
      </c>
      <c r="T13" s="129" t="s">
        <v>396</v>
      </c>
      <c r="U13" s="129" t="s">
        <v>226</v>
      </c>
      <c r="V13" s="129" t="s">
        <v>228</v>
      </c>
      <c r="W13" s="129" t="s">
        <v>16</v>
      </c>
      <c r="X13" s="130" t="s">
        <v>447</v>
      </c>
      <c r="Y13" s="130" t="s">
        <v>448</v>
      </c>
      <c r="Z13" s="130" t="s">
        <v>228</v>
      </c>
      <c r="AA13" s="130" t="s">
        <v>19</v>
      </c>
      <c r="AB13" s="131" t="s">
        <v>447</v>
      </c>
      <c r="AC13" s="131" t="s">
        <v>448</v>
      </c>
      <c r="AD13" s="131" t="s">
        <v>228</v>
      </c>
      <c r="AE13" s="131" t="s">
        <v>22</v>
      </c>
      <c r="AF13" s="132"/>
      <c r="AG13" s="130"/>
      <c r="AH13" s="130"/>
      <c r="AI13" s="130" t="s">
        <v>33</v>
      </c>
      <c r="AJ13" s="130" t="s">
        <v>16</v>
      </c>
    </row>
    <row r="14" spans="1:36">
      <c r="A14" s="132"/>
      <c r="B14" s="132"/>
      <c r="C14" s="132"/>
      <c r="D14" s="132"/>
      <c r="E14" s="132"/>
      <c r="F14" s="132"/>
      <c r="G14" s="132"/>
      <c r="H14" s="132"/>
      <c r="I14" s="132"/>
      <c r="J14" s="132"/>
      <c r="K14" s="132"/>
      <c r="L14" s="132"/>
      <c r="M14" s="132"/>
      <c r="N14" s="132"/>
      <c r="O14" s="132"/>
      <c r="P14" s="132"/>
      <c r="Q14" s="132"/>
      <c r="R14" s="132"/>
      <c r="S14" s="132"/>
      <c r="T14" s="132" t="s">
        <v>396</v>
      </c>
      <c r="U14" s="132"/>
      <c r="V14" s="132" t="s">
        <v>341</v>
      </c>
      <c r="W14" s="132" t="s">
        <v>16</v>
      </c>
      <c r="X14" s="132"/>
      <c r="Y14" s="132"/>
      <c r="Z14" s="132"/>
      <c r="AA14" s="132"/>
      <c r="AB14" s="132"/>
      <c r="AC14" s="132"/>
      <c r="AD14" s="132"/>
      <c r="AE14" s="132"/>
      <c r="AF14" s="132"/>
      <c r="AG14" s="130"/>
      <c r="AH14" s="130"/>
      <c r="AI14" s="130" t="s">
        <v>37</v>
      </c>
      <c r="AJ14" s="130" t="s">
        <v>16</v>
      </c>
    </row>
    <row r="15" spans="1:36">
      <c r="AG15" s="130"/>
      <c r="AH15" s="130"/>
      <c r="AI15" s="130" t="s">
        <v>228</v>
      </c>
      <c r="AJ15" s="130" t="s">
        <v>16</v>
      </c>
    </row>
    <row r="16" spans="1:36" ht="18.75">
      <c r="B16" s="14" t="s">
        <v>377</v>
      </c>
      <c r="C16" s="14"/>
      <c r="D16" s="13" t="s">
        <v>378</v>
      </c>
      <c r="E16" s="13"/>
      <c r="F16" s="13"/>
      <c r="G16" s="13"/>
    </row>
    <row r="17" spans="2:7">
      <c r="B17" s="124" t="s">
        <v>386</v>
      </c>
      <c r="C17" s="124" t="s">
        <v>234</v>
      </c>
      <c r="D17" s="125" t="s">
        <v>387</v>
      </c>
      <c r="E17" s="125" t="s">
        <v>388</v>
      </c>
      <c r="F17" s="125" t="s">
        <v>191</v>
      </c>
      <c r="G17" s="125" t="s">
        <v>389</v>
      </c>
    </row>
    <row r="18" spans="2:7">
      <c r="B18" s="127" t="s">
        <v>392</v>
      </c>
      <c r="C18" s="128" t="s">
        <v>393</v>
      </c>
      <c r="D18" s="129" t="s">
        <v>394</v>
      </c>
      <c r="E18" s="129"/>
      <c r="F18" s="129">
        <v>0</v>
      </c>
      <c r="G18" s="129">
        <v>1</v>
      </c>
    </row>
    <row r="19" spans="2:7">
      <c r="B19" s="127"/>
      <c r="C19" s="128"/>
      <c r="D19" s="129"/>
      <c r="E19" s="129"/>
      <c r="F19" s="129"/>
      <c r="G19" s="129"/>
    </row>
    <row r="20" spans="2:7">
      <c r="B20" s="127" t="s">
        <v>398</v>
      </c>
      <c r="C20" s="128" t="s">
        <v>399</v>
      </c>
      <c r="D20" s="129" t="s">
        <v>449</v>
      </c>
      <c r="E20" s="129"/>
      <c r="F20" s="129">
        <v>1</v>
      </c>
      <c r="G20" s="129">
        <v>2</v>
      </c>
    </row>
    <row r="21" spans="2:7">
      <c r="B21" s="127"/>
      <c r="C21" s="128"/>
      <c r="D21" s="129" t="s">
        <v>400</v>
      </c>
      <c r="E21" s="129"/>
      <c r="F21" s="129">
        <v>1</v>
      </c>
      <c r="G21" s="129">
        <v>4</v>
      </c>
    </row>
    <row r="22" spans="2:7">
      <c r="B22" s="127" t="s">
        <v>404</v>
      </c>
      <c r="C22" s="128" t="s">
        <v>405</v>
      </c>
      <c r="D22" s="129" t="s">
        <v>450</v>
      </c>
      <c r="E22" s="129"/>
      <c r="F22" s="129">
        <v>2</v>
      </c>
      <c r="G22" s="129">
        <v>2</v>
      </c>
    </row>
    <row r="23" spans="2:7">
      <c r="B23" s="127"/>
      <c r="C23" s="128"/>
      <c r="D23" s="129" t="s">
        <v>406</v>
      </c>
      <c r="E23" s="129"/>
      <c r="F23" s="129">
        <v>2</v>
      </c>
      <c r="G23" s="129">
        <v>1</v>
      </c>
    </row>
    <row r="24" spans="2:7">
      <c r="B24" s="127" t="s">
        <v>451</v>
      </c>
      <c r="C24" s="128" t="s">
        <v>411</v>
      </c>
      <c r="D24" s="129" t="s">
        <v>450</v>
      </c>
      <c r="E24" s="129"/>
      <c r="F24" s="129">
        <v>3</v>
      </c>
      <c r="G24" s="129">
        <v>2</v>
      </c>
    </row>
    <row r="25" spans="2:7">
      <c r="B25" s="127"/>
      <c r="C25" s="128"/>
      <c r="D25" s="129" t="s">
        <v>412</v>
      </c>
      <c r="E25" s="129"/>
      <c r="F25" s="129">
        <v>3</v>
      </c>
      <c r="G25" s="129">
        <v>4</v>
      </c>
    </row>
    <row r="26" spans="2:7">
      <c r="B26" s="127" t="s">
        <v>414</v>
      </c>
      <c r="C26" s="128">
        <v>4003000</v>
      </c>
      <c r="D26" s="129" t="s">
        <v>452</v>
      </c>
      <c r="E26" s="129"/>
      <c r="F26" s="129">
        <v>4</v>
      </c>
      <c r="G26" s="129">
        <v>2</v>
      </c>
    </row>
    <row r="27" spans="2:7">
      <c r="B27" s="127"/>
      <c r="C27" s="128"/>
      <c r="D27" s="129" t="s">
        <v>416</v>
      </c>
      <c r="E27" s="129"/>
      <c r="F27" s="129">
        <v>4</v>
      </c>
      <c r="G27" s="129">
        <v>1</v>
      </c>
    </row>
    <row r="28" spans="2:7">
      <c r="B28" s="127" t="s">
        <v>419</v>
      </c>
      <c r="C28" s="128" t="s">
        <v>420</v>
      </c>
      <c r="D28" s="129" t="s">
        <v>453</v>
      </c>
      <c r="E28" s="129"/>
      <c r="F28" s="129">
        <v>5</v>
      </c>
      <c r="G28" s="129">
        <v>2</v>
      </c>
    </row>
    <row r="29" spans="2:7">
      <c r="B29" s="127"/>
      <c r="C29" s="128"/>
      <c r="D29" s="129" t="s">
        <v>421</v>
      </c>
      <c r="E29" s="129"/>
      <c r="F29" s="129">
        <v>5</v>
      </c>
      <c r="G29" s="129">
        <v>4</v>
      </c>
    </row>
    <row r="30" spans="2:7">
      <c r="B30" s="127" t="s">
        <v>427</v>
      </c>
      <c r="C30" s="128" t="s">
        <v>428</v>
      </c>
      <c r="D30" s="129" t="s">
        <v>454</v>
      </c>
      <c r="E30" s="129"/>
      <c r="F30" s="129">
        <v>6</v>
      </c>
      <c r="G30" s="129">
        <v>2</v>
      </c>
    </row>
    <row r="31" spans="2:7">
      <c r="B31" s="127"/>
      <c r="C31" s="128"/>
      <c r="D31" s="129" t="s">
        <v>429</v>
      </c>
      <c r="E31" s="129"/>
      <c r="F31" s="129">
        <v>6</v>
      </c>
      <c r="G31" s="129">
        <v>1</v>
      </c>
    </row>
    <row r="32" spans="2:7">
      <c r="B32" s="127" t="s">
        <v>432</v>
      </c>
      <c r="C32" s="128" t="s">
        <v>433</v>
      </c>
      <c r="D32" s="129" t="s">
        <v>455</v>
      </c>
      <c r="E32" s="129"/>
      <c r="F32" s="129">
        <v>7</v>
      </c>
      <c r="G32" s="129">
        <v>2</v>
      </c>
    </row>
    <row r="33" spans="1:36">
      <c r="B33" s="127"/>
      <c r="C33" s="128"/>
      <c r="D33" s="129" t="s">
        <v>434</v>
      </c>
      <c r="E33" s="129"/>
      <c r="F33" s="129">
        <v>7</v>
      </c>
      <c r="G33" s="129">
        <v>4</v>
      </c>
    </row>
    <row r="34" spans="1:36">
      <c r="B34" s="127" t="s">
        <v>438</v>
      </c>
      <c r="C34" s="128" t="s">
        <v>439</v>
      </c>
      <c r="D34" s="129" t="s">
        <v>449</v>
      </c>
      <c r="E34" s="129"/>
      <c r="F34" s="129">
        <v>8</v>
      </c>
      <c r="G34" s="129">
        <v>2</v>
      </c>
    </row>
    <row r="35" spans="1:36">
      <c r="B35" s="127"/>
      <c r="C35" s="128"/>
      <c r="D35" s="129" t="s">
        <v>440</v>
      </c>
      <c r="E35" s="129"/>
      <c r="F35" s="129">
        <v>8</v>
      </c>
      <c r="G35" s="129">
        <v>1</v>
      </c>
    </row>
    <row r="36" spans="1:36">
      <c r="B36" s="127" t="s">
        <v>443</v>
      </c>
      <c r="C36" s="128" t="s">
        <v>444</v>
      </c>
      <c r="D36" s="129" t="s">
        <v>456</v>
      </c>
      <c r="E36" s="129"/>
      <c r="F36" s="129">
        <v>9</v>
      </c>
      <c r="G36" s="129">
        <v>2</v>
      </c>
    </row>
    <row r="37" spans="1:36">
      <c r="B37" s="127"/>
      <c r="C37" s="128"/>
      <c r="D37" s="129" t="s">
        <v>445</v>
      </c>
      <c r="E37" s="129"/>
      <c r="F37" s="129">
        <v>9</v>
      </c>
      <c r="G37" s="129">
        <v>4</v>
      </c>
    </row>
    <row r="39" spans="1:36">
      <c r="A39" s="132"/>
      <c r="B39" s="11" t="s">
        <v>457</v>
      </c>
      <c r="C39" s="11"/>
      <c r="D39" s="11"/>
      <c r="E39" s="11"/>
      <c r="F39" s="11"/>
      <c r="G39" s="11"/>
    </row>
    <row r="40" spans="1:36">
      <c r="A40" s="132"/>
      <c r="B40" s="132"/>
      <c r="C40" s="132"/>
      <c r="D40" s="132" t="s">
        <v>458</v>
      </c>
      <c r="E40" s="132" t="s">
        <v>459</v>
      </c>
      <c r="F40" s="132" t="s">
        <v>460</v>
      </c>
      <c r="G40" s="132" t="s">
        <v>3</v>
      </c>
    </row>
    <row r="41" spans="1:36">
      <c r="A41" s="132"/>
      <c r="B41" s="132" t="s">
        <v>428</v>
      </c>
      <c r="C41" s="128" t="s">
        <v>461</v>
      </c>
      <c r="D41" s="128">
        <v>0</v>
      </c>
      <c r="E41" s="128">
        <v>1</v>
      </c>
      <c r="F41" s="128">
        <v>9</v>
      </c>
      <c r="G41" s="128">
        <v>33</v>
      </c>
    </row>
    <row r="42" spans="1:36">
      <c r="A42" s="132"/>
      <c r="B42" s="132" t="s">
        <v>420</v>
      </c>
      <c r="C42" s="132" t="s">
        <v>462</v>
      </c>
      <c r="D42" s="132" t="s">
        <v>10</v>
      </c>
      <c r="E42" s="132" t="s">
        <v>16</v>
      </c>
      <c r="F42" s="132" t="s">
        <v>151</v>
      </c>
      <c r="G42" s="132" t="s">
        <v>110</v>
      </c>
    </row>
    <row r="44" spans="1:36">
      <c r="B44" s="120"/>
      <c r="C44" s="120"/>
      <c r="D44" s="120"/>
      <c r="E44" s="120"/>
      <c r="F44" s="120"/>
      <c r="G44" s="120"/>
      <c r="L44" s="120"/>
      <c r="M44" s="120"/>
      <c r="N44" s="120"/>
      <c r="O44" s="120"/>
      <c r="P44" s="120"/>
      <c r="Q44" s="120"/>
      <c r="R44" s="120"/>
      <c r="T44" s="120"/>
      <c r="U44" s="120"/>
      <c r="V44" s="120"/>
      <c r="W44" s="120"/>
      <c r="X44" s="120"/>
      <c r="Y44" s="120"/>
      <c r="Z44" s="120"/>
      <c r="AA44" s="120"/>
      <c r="AB44" s="120"/>
      <c r="AC44" s="120"/>
      <c r="AD44" s="120"/>
      <c r="AE44" s="120"/>
      <c r="AF44" s="120"/>
      <c r="AG44" s="120"/>
      <c r="AH44" s="120"/>
      <c r="AI44" s="120"/>
      <c r="AJ44" s="120"/>
    </row>
    <row r="45" spans="1:36">
      <c r="A45" s="134" t="s">
        <v>463</v>
      </c>
      <c r="B45" s="128"/>
      <c r="C45" s="128"/>
      <c r="D45" s="128"/>
      <c r="E45" s="128"/>
      <c r="F45" s="128"/>
      <c r="G45" s="128"/>
      <c r="L45" s="120"/>
      <c r="M45" s="120"/>
      <c r="N45" s="120"/>
      <c r="O45" s="120"/>
      <c r="P45" s="120"/>
      <c r="Q45" s="120"/>
      <c r="R45" s="120"/>
      <c r="T45" s="120"/>
      <c r="U45" s="120"/>
      <c r="V45" s="120"/>
      <c r="W45" s="120"/>
      <c r="X45" s="120"/>
      <c r="Y45" s="120"/>
      <c r="Z45" s="120"/>
      <c r="AA45" s="120"/>
      <c r="AB45" s="120"/>
      <c r="AC45" s="120"/>
      <c r="AD45" s="120"/>
      <c r="AE45" s="120"/>
      <c r="AF45" s="120"/>
      <c r="AG45" s="120"/>
      <c r="AH45" s="120"/>
      <c r="AI45" s="120"/>
      <c r="AJ45" s="120"/>
    </row>
    <row r="46" spans="1:36" ht="18.75">
      <c r="A46" s="11" t="s">
        <v>377</v>
      </c>
      <c r="B46" s="11"/>
      <c r="C46" s="11"/>
      <c r="D46" s="13" t="s">
        <v>378</v>
      </c>
      <c r="E46" s="13"/>
      <c r="F46" s="13"/>
      <c r="G46" s="13"/>
      <c r="H46" s="12" t="s">
        <v>379</v>
      </c>
      <c r="I46" s="12"/>
      <c r="J46" s="12"/>
      <c r="K46" s="12"/>
      <c r="L46" s="13" t="s">
        <v>380</v>
      </c>
      <c r="M46" s="13"/>
      <c r="N46" s="13"/>
      <c r="O46" s="13"/>
      <c r="P46" s="12" t="s">
        <v>381</v>
      </c>
      <c r="Q46" s="12"/>
      <c r="R46" s="12"/>
      <c r="S46" s="12"/>
      <c r="T46" s="13" t="s">
        <v>382</v>
      </c>
      <c r="U46" s="13"/>
      <c r="V46" s="13"/>
      <c r="W46" s="13"/>
      <c r="X46" s="12" t="s">
        <v>383</v>
      </c>
      <c r="Y46" s="12"/>
      <c r="Z46" s="12"/>
      <c r="AA46" s="12"/>
      <c r="AB46" s="13" t="s">
        <v>384</v>
      </c>
      <c r="AC46" s="13"/>
      <c r="AD46" s="13"/>
      <c r="AE46" s="13"/>
      <c r="AF46" s="122"/>
      <c r="AG46" s="135"/>
      <c r="AH46" s="135"/>
      <c r="AI46" s="135"/>
      <c r="AJ46" s="135"/>
    </row>
    <row r="47" spans="1:36">
      <c r="A47" s="128" t="s">
        <v>464</v>
      </c>
      <c r="B47" s="124" t="s">
        <v>386</v>
      </c>
      <c r="C47" s="124" t="s">
        <v>234</v>
      </c>
      <c r="D47" s="125" t="s">
        <v>387</v>
      </c>
      <c r="E47" s="125" t="s">
        <v>388</v>
      </c>
      <c r="F47" s="125" t="s">
        <v>191</v>
      </c>
      <c r="G47" s="125" t="s">
        <v>389</v>
      </c>
      <c r="H47" s="124" t="s">
        <v>387</v>
      </c>
      <c r="I47" s="124" t="s">
        <v>388</v>
      </c>
      <c r="J47" s="124" t="s">
        <v>191</v>
      </c>
      <c r="K47" s="124" t="s">
        <v>389</v>
      </c>
      <c r="L47" s="125" t="s">
        <v>387</v>
      </c>
      <c r="M47" s="125" t="s">
        <v>388</v>
      </c>
      <c r="N47" s="125" t="s">
        <v>191</v>
      </c>
      <c r="O47" s="125" t="s">
        <v>389</v>
      </c>
      <c r="P47" s="124" t="s">
        <v>387</v>
      </c>
      <c r="Q47" s="124" t="s">
        <v>388</v>
      </c>
      <c r="R47" s="124" t="s">
        <v>191</v>
      </c>
      <c r="S47" s="124" t="s">
        <v>389</v>
      </c>
      <c r="T47" s="125" t="s">
        <v>387</v>
      </c>
      <c r="U47" s="125" t="s">
        <v>388</v>
      </c>
      <c r="V47" s="125" t="s">
        <v>191</v>
      </c>
      <c r="W47" s="125" t="s">
        <v>389</v>
      </c>
      <c r="X47" s="124" t="s">
        <v>387</v>
      </c>
      <c r="Y47" s="124" t="s">
        <v>388</v>
      </c>
      <c r="Z47" s="124" t="s">
        <v>191</v>
      </c>
      <c r="AA47" s="124" t="s">
        <v>389</v>
      </c>
      <c r="AB47" s="125" t="s">
        <v>387</v>
      </c>
      <c r="AC47" s="125" t="s">
        <v>388</v>
      </c>
      <c r="AD47" s="125" t="s">
        <v>191</v>
      </c>
      <c r="AE47" s="125" t="s">
        <v>389</v>
      </c>
      <c r="AF47" s="126"/>
      <c r="AG47" s="135"/>
      <c r="AH47" s="135"/>
      <c r="AI47" s="135"/>
      <c r="AJ47" s="135"/>
    </row>
    <row r="48" spans="1:36">
      <c r="A48" s="128" t="s">
        <v>391</v>
      </c>
      <c r="B48" s="127" t="s">
        <v>392</v>
      </c>
      <c r="C48" s="128" t="s">
        <v>393</v>
      </c>
      <c r="D48" s="128"/>
      <c r="E48" s="128"/>
      <c r="F48" s="128"/>
      <c r="G48" s="128"/>
      <c r="H48" s="130"/>
      <c r="I48" s="130"/>
      <c r="J48" s="130" t="s">
        <v>10</v>
      </c>
      <c r="K48" s="130" t="s">
        <v>13</v>
      </c>
      <c r="L48" s="131"/>
      <c r="M48" s="131" t="s">
        <v>74</v>
      </c>
      <c r="N48" s="131" t="s">
        <v>10</v>
      </c>
      <c r="O48" s="131" t="s">
        <v>13</v>
      </c>
      <c r="P48" s="130"/>
      <c r="Q48" s="130"/>
      <c r="R48" s="130"/>
      <c r="S48" s="130"/>
      <c r="T48" s="131"/>
      <c r="U48" s="131"/>
      <c r="V48" s="131"/>
      <c r="W48" s="131"/>
      <c r="X48" s="130"/>
      <c r="Y48" s="130"/>
      <c r="Z48" s="130"/>
      <c r="AA48" s="130"/>
      <c r="AB48" s="131"/>
      <c r="AC48" s="131"/>
      <c r="AD48" s="131"/>
      <c r="AE48" s="131"/>
    </row>
    <row r="49" spans="1:31">
      <c r="A49" s="128" t="s">
        <v>465</v>
      </c>
      <c r="B49" s="128" t="s">
        <v>466</v>
      </c>
      <c r="C49" s="128" t="s">
        <v>467</v>
      </c>
      <c r="D49" s="128"/>
      <c r="E49" s="128"/>
      <c r="F49" s="128"/>
      <c r="G49" s="128"/>
      <c r="H49" s="130"/>
      <c r="I49" s="130"/>
      <c r="J49" s="130" t="s">
        <v>13</v>
      </c>
      <c r="K49" s="130" t="s">
        <v>13</v>
      </c>
      <c r="L49" s="131"/>
      <c r="M49" s="131"/>
      <c r="N49" s="131" t="s">
        <v>13</v>
      </c>
      <c r="O49" s="131" t="s">
        <v>13</v>
      </c>
      <c r="P49" s="130"/>
      <c r="Q49" s="130"/>
      <c r="R49" s="130"/>
      <c r="S49" s="130"/>
      <c r="T49" s="131"/>
      <c r="U49" s="131"/>
      <c r="V49" s="131"/>
      <c r="W49" s="131"/>
      <c r="X49" s="130"/>
      <c r="Y49" s="130"/>
      <c r="Z49" s="130"/>
      <c r="AA49" s="130"/>
      <c r="AB49" s="131"/>
      <c r="AC49" s="131"/>
      <c r="AD49" s="131"/>
      <c r="AE49" s="131"/>
    </row>
    <row r="50" spans="1:31">
      <c r="A50" s="128" t="s">
        <v>468</v>
      </c>
      <c r="B50" s="128" t="s">
        <v>469</v>
      </c>
      <c r="C50" s="128" t="s">
        <v>470</v>
      </c>
      <c r="D50" s="128"/>
      <c r="E50" s="128"/>
      <c r="F50" s="128"/>
      <c r="G50" s="128"/>
      <c r="H50" s="130"/>
      <c r="I50" s="130"/>
      <c r="J50" s="130"/>
      <c r="K50" s="130"/>
      <c r="L50" s="131"/>
      <c r="M50" s="131"/>
      <c r="N50" s="131"/>
      <c r="O50" s="131"/>
      <c r="P50" s="130"/>
      <c r="Q50" s="130"/>
      <c r="R50" s="130"/>
      <c r="S50" s="130"/>
      <c r="T50" s="131"/>
      <c r="U50" s="131"/>
      <c r="V50" s="131"/>
      <c r="W50" s="131"/>
      <c r="X50" s="130"/>
      <c r="Y50" s="130"/>
      <c r="Z50" s="130"/>
      <c r="AA50" s="130"/>
      <c r="AB50" s="131"/>
      <c r="AC50" s="131"/>
      <c r="AD50" s="131"/>
      <c r="AE50" s="131"/>
    </row>
    <row r="51" spans="1:31">
      <c r="A51" s="128"/>
      <c r="B51" s="128"/>
      <c r="C51" s="128"/>
      <c r="D51" s="128"/>
      <c r="E51" s="128"/>
      <c r="F51" s="128"/>
      <c r="G51" s="128"/>
      <c r="H51" s="128"/>
      <c r="I51" s="128"/>
      <c r="J51" s="128"/>
      <c r="K51" s="128"/>
      <c r="L51" s="136"/>
      <c r="M51" s="136"/>
      <c r="N51" s="136"/>
      <c r="O51" s="136"/>
      <c r="P51" s="128"/>
      <c r="Q51" s="128"/>
      <c r="R51" s="128"/>
      <c r="S51" s="132"/>
      <c r="T51" s="136"/>
      <c r="U51" s="136"/>
      <c r="V51" s="136"/>
      <c r="W51" s="136"/>
      <c r="X51" s="128"/>
      <c r="Y51" s="128"/>
      <c r="Z51" s="128"/>
      <c r="AA51" s="128"/>
      <c r="AB51" s="136"/>
      <c r="AC51" s="136"/>
      <c r="AD51" s="136"/>
      <c r="AE51" s="136"/>
    </row>
    <row r="52" spans="1:31">
      <c r="A52" s="128"/>
      <c r="B52" s="128"/>
      <c r="C52" s="128"/>
      <c r="D52" s="128"/>
      <c r="E52" s="128"/>
      <c r="F52" s="128"/>
      <c r="G52" s="128"/>
      <c r="H52" s="128"/>
      <c r="I52" s="128"/>
      <c r="J52" s="128"/>
      <c r="K52" s="128"/>
      <c r="L52" s="136"/>
      <c r="M52" s="136"/>
      <c r="N52" s="136"/>
      <c r="O52" s="136"/>
      <c r="P52" s="128"/>
      <c r="Q52" s="128"/>
      <c r="R52" s="128"/>
      <c r="S52" s="132"/>
      <c r="T52" s="136"/>
      <c r="U52" s="136"/>
      <c r="V52" s="136"/>
      <c r="W52" s="136"/>
      <c r="X52" s="128"/>
      <c r="Y52" s="128"/>
      <c r="Z52" s="128"/>
      <c r="AA52" s="128"/>
      <c r="AB52" s="136"/>
      <c r="AC52" s="136"/>
      <c r="AD52" s="136"/>
      <c r="AE52" s="136"/>
    </row>
    <row r="53" spans="1:31">
      <c r="A53" s="128"/>
      <c r="B53" s="137"/>
      <c r="C53" s="128"/>
      <c r="D53" s="128"/>
      <c r="E53" s="128"/>
      <c r="F53" s="128"/>
      <c r="G53" s="128"/>
      <c r="H53" s="128"/>
      <c r="I53" s="128"/>
      <c r="J53" s="128"/>
      <c r="K53" s="128"/>
      <c r="L53" s="136"/>
      <c r="M53" s="136"/>
      <c r="N53" s="136"/>
      <c r="O53" s="136"/>
      <c r="P53" s="128"/>
      <c r="Q53" s="128"/>
      <c r="R53" s="128"/>
      <c r="S53" s="132"/>
      <c r="T53" s="136"/>
      <c r="U53" s="136"/>
      <c r="V53" s="136"/>
      <c r="W53" s="136"/>
      <c r="X53" s="128"/>
      <c r="Y53" s="128"/>
      <c r="Z53" s="128"/>
      <c r="AA53" s="128"/>
      <c r="AB53" s="136"/>
      <c r="AC53" s="136"/>
      <c r="AD53" s="136"/>
      <c r="AE53" s="136"/>
    </row>
    <row r="54" spans="1:31">
      <c r="B54" s="118" t="s">
        <v>471</v>
      </c>
      <c r="D54" s="128"/>
      <c r="E54" s="128"/>
      <c r="F54" s="128"/>
      <c r="G54" s="128"/>
      <c r="H54" s="128"/>
      <c r="I54" s="128"/>
      <c r="J54" s="128"/>
      <c r="K54" s="128"/>
      <c r="L54" s="136"/>
      <c r="M54" s="136"/>
      <c r="N54" s="136"/>
      <c r="O54" s="136"/>
      <c r="P54" s="128"/>
      <c r="Q54" s="128"/>
      <c r="R54" s="128"/>
      <c r="S54" s="132"/>
      <c r="T54" s="136"/>
      <c r="U54" s="136"/>
      <c r="V54" s="136"/>
      <c r="W54" s="136"/>
      <c r="X54" s="128"/>
      <c r="Y54" s="128"/>
      <c r="Z54" s="128"/>
      <c r="AA54" s="128"/>
      <c r="AB54" s="136"/>
      <c r="AC54" s="136"/>
      <c r="AD54" s="136"/>
      <c r="AE54" s="136"/>
    </row>
    <row r="55" spans="1:31">
      <c r="H55" s="128"/>
      <c r="I55" s="128"/>
      <c r="J55" s="128"/>
      <c r="K55" s="128"/>
      <c r="L55" s="136"/>
      <c r="M55" s="136"/>
      <c r="N55" s="136"/>
      <c r="O55" s="136"/>
      <c r="P55" s="132"/>
      <c r="Q55" s="132"/>
      <c r="R55" s="132"/>
      <c r="S55" s="132"/>
      <c r="T55" s="129"/>
      <c r="U55" s="129"/>
      <c r="V55" s="129"/>
      <c r="W55" s="129"/>
      <c r="X55" s="128"/>
      <c r="Y55" s="128"/>
      <c r="Z55" s="128"/>
      <c r="AA55" s="128"/>
      <c r="AB55" s="129"/>
      <c r="AC55" s="129"/>
      <c r="AD55" s="129"/>
      <c r="AE55" s="129"/>
    </row>
    <row r="56" spans="1:31">
      <c r="H56" s="128"/>
      <c r="I56" s="128"/>
      <c r="J56" s="128"/>
      <c r="K56" s="128"/>
      <c r="L56" s="136"/>
      <c r="M56" s="136"/>
      <c r="N56" s="136"/>
      <c r="O56" s="136"/>
      <c r="P56" s="132"/>
      <c r="Q56" s="132"/>
      <c r="R56" s="132"/>
      <c r="S56" s="132"/>
      <c r="T56" s="129"/>
      <c r="U56" s="129"/>
      <c r="V56" s="129"/>
      <c r="W56" s="129"/>
      <c r="X56" s="128"/>
      <c r="Y56" s="128"/>
      <c r="Z56" s="128"/>
      <c r="AA56" s="128"/>
      <c r="AB56" s="129"/>
      <c r="AC56" s="129"/>
      <c r="AD56" s="129"/>
      <c r="AE56" s="129"/>
    </row>
    <row r="57" spans="1:31">
      <c r="H57" s="128"/>
      <c r="I57" s="128"/>
      <c r="J57" s="128"/>
      <c r="K57" s="128"/>
      <c r="L57" s="136"/>
      <c r="M57" s="136"/>
      <c r="N57" s="136"/>
      <c r="O57" s="136"/>
      <c r="P57" s="132"/>
      <c r="Q57" s="132"/>
      <c r="R57" s="132"/>
      <c r="S57" s="132"/>
      <c r="T57" s="129"/>
      <c r="U57" s="129"/>
      <c r="V57" s="129"/>
      <c r="W57" s="129"/>
      <c r="X57" s="128"/>
      <c r="Y57" s="128"/>
      <c r="Z57" s="128"/>
      <c r="AA57" s="128"/>
      <c r="AB57" s="129"/>
      <c r="AC57" s="129"/>
      <c r="AD57" s="129"/>
      <c r="AE57" s="129"/>
    </row>
    <row r="58" spans="1:31">
      <c r="H58" s="128"/>
      <c r="I58" s="128"/>
      <c r="J58" s="128"/>
      <c r="K58" s="128"/>
      <c r="L58" s="136"/>
      <c r="M58" s="136"/>
      <c r="N58" s="136"/>
      <c r="O58" s="136"/>
      <c r="P58" s="132"/>
      <c r="Q58" s="132"/>
      <c r="R58" s="132"/>
      <c r="S58" s="132"/>
      <c r="T58" s="129"/>
      <c r="U58" s="129"/>
      <c r="V58" s="129"/>
      <c r="W58" s="129"/>
      <c r="X58" s="128"/>
      <c r="Y58" s="128"/>
      <c r="Z58" s="128"/>
      <c r="AA58" s="128"/>
      <c r="AB58" s="129"/>
      <c r="AC58" s="129"/>
      <c r="AD58" s="129"/>
      <c r="AE58" s="129"/>
    </row>
    <row r="64" spans="1:31">
      <c r="A64" s="134" t="s">
        <v>472</v>
      </c>
      <c r="B64" s="128"/>
      <c r="C64" s="128"/>
      <c r="D64" s="128"/>
      <c r="E64" s="128"/>
      <c r="F64" s="128"/>
      <c r="G64" s="128"/>
    </row>
    <row r="65" spans="1:43" ht="18.75">
      <c r="A65" s="11" t="s">
        <v>377</v>
      </c>
      <c r="B65" s="11"/>
      <c r="C65" s="11"/>
      <c r="D65" s="13" t="s">
        <v>378</v>
      </c>
      <c r="E65" s="13"/>
      <c r="F65" s="13"/>
      <c r="G65" s="13"/>
      <c r="H65" s="12" t="s">
        <v>379</v>
      </c>
      <c r="I65" s="12"/>
      <c r="J65" s="12"/>
      <c r="K65" s="12"/>
      <c r="L65" s="13" t="s">
        <v>380</v>
      </c>
      <c r="M65" s="13"/>
      <c r="N65" s="13"/>
      <c r="O65" s="13"/>
      <c r="P65" s="12" t="s">
        <v>381</v>
      </c>
      <c r="Q65" s="12"/>
      <c r="R65" s="12"/>
      <c r="S65" s="12"/>
      <c r="T65" s="13" t="s">
        <v>382</v>
      </c>
      <c r="U65" s="13"/>
      <c r="V65" s="13"/>
      <c r="W65" s="13"/>
      <c r="X65" s="12" t="s">
        <v>383</v>
      </c>
      <c r="Y65" s="12"/>
      <c r="Z65" s="12"/>
      <c r="AA65" s="12"/>
      <c r="AB65" s="13" t="s">
        <v>384</v>
      </c>
      <c r="AC65" s="13"/>
      <c r="AD65" s="13"/>
      <c r="AE65" s="13"/>
      <c r="AF65" s="122"/>
      <c r="AG65" s="10" t="s">
        <v>194</v>
      </c>
      <c r="AH65" s="10"/>
      <c r="AI65" s="10"/>
      <c r="AK65" s="10" t="s">
        <v>196</v>
      </c>
      <c r="AL65" s="10"/>
      <c r="AM65" s="10"/>
      <c r="AO65" s="10" t="s">
        <v>223</v>
      </c>
      <c r="AP65" s="10"/>
      <c r="AQ65" s="10"/>
    </row>
    <row r="66" spans="1:43">
      <c r="A66" s="128" t="s">
        <v>464</v>
      </c>
      <c r="B66" s="124" t="s">
        <v>386</v>
      </c>
      <c r="C66" s="124" t="s">
        <v>234</v>
      </c>
      <c r="D66" s="125" t="s">
        <v>387</v>
      </c>
      <c r="E66" s="125" t="s">
        <v>388</v>
      </c>
      <c r="F66" s="125" t="s">
        <v>191</v>
      </c>
      <c r="G66" s="125" t="s">
        <v>389</v>
      </c>
      <c r="H66" s="124" t="s">
        <v>387</v>
      </c>
      <c r="I66" s="124" t="s">
        <v>388</v>
      </c>
      <c r="J66" s="124" t="s">
        <v>191</v>
      </c>
      <c r="K66" s="124" t="s">
        <v>389</v>
      </c>
      <c r="L66" s="125" t="s">
        <v>387</v>
      </c>
      <c r="M66" s="125" t="s">
        <v>388</v>
      </c>
      <c r="N66" s="125" t="s">
        <v>191</v>
      </c>
      <c r="O66" s="125" t="s">
        <v>389</v>
      </c>
      <c r="P66" s="124" t="s">
        <v>387</v>
      </c>
      <c r="Q66" s="124" t="s">
        <v>388</v>
      </c>
      <c r="R66" s="124" t="s">
        <v>191</v>
      </c>
      <c r="S66" s="124" t="s">
        <v>389</v>
      </c>
      <c r="T66" s="125" t="s">
        <v>387</v>
      </c>
      <c r="U66" s="125" t="s">
        <v>388</v>
      </c>
      <c r="V66" s="125" t="s">
        <v>191</v>
      </c>
      <c r="W66" s="125" t="s">
        <v>389</v>
      </c>
      <c r="X66" s="124" t="s">
        <v>387</v>
      </c>
      <c r="Y66" s="124" t="s">
        <v>388</v>
      </c>
      <c r="Z66" s="124" t="s">
        <v>191</v>
      </c>
      <c r="AA66" s="124" t="s">
        <v>389</v>
      </c>
      <c r="AB66" s="125" t="s">
        <v>387</v>
      </c>
      <c r="AC66" s="125" t="s">
        <v>388</v>
      </c>
      <c r="AD66" s="125" t="s">
        <v>191</v>
      </c>
      <c r="AE66" s="125" t="s">
        <v>389</v>
      </c>
      <c r="AF66" s="126"/>
      <c r="AG66" s="118" t="s">
        <v>390</v>
      </c>
      <c r="AH66" s="118" t="s">
        <v>191</v>
      </c>
      <c r="AI66" s="118" t="s">
        <v>389</v>
      </c>
      <c r="AK66" s="118" t="s">
        <v>390</v>
      </c>
      <c r="AL66" s="118" t="s">
        <v>191</v>
      </c>
      <c r="AM66" s="118" t="s">
        <v>389</v>
      </c>
      <c r="AO66" s="118" t="s">
        <v>390</v>
      </c>
      <c r="AP66" s="118" t="s">
        <v>191</v>
      </c>
      <c r="AQ66" s="118" t="s">
        <v>389</v>
      </c>
    </row>
    <row r="67" spans="1:43">
      <c r="A67" s="128" t="s">
        <v>473</v>
      </c>
      <c r="B67" s="127" t="s">
        <v>474</v>
      </c>
      <c r="C67" s="128" t="s">
        <v>475</v>
      </c>
      <c r="D67" s="128"/>
      <c r="E67" s="128"/>
      <c r="F67" s="128"/>
      <c r="G67" s="128"/>
      <c r="H67" s="128" t="s">
        <v>476</v>
      </c>
      <c r="I67" s="128" t="s">
        <v>475</v>
      </c>
      <c r="J67" s="128" t="s">
        <v>10</v>
      </c>
      <c r="K67" s="128" t="s">
        <v>13</v>
      </c>
      <c r="L67" s="136"/>
      <c r="M67" s="136"/>
      <c r="N67" s="136"/>
      <c r="O67" s="136"/>
      <c r="P67" s="128"/>
      <c r="Q67" s="128"/>
      <c r="R67" s="128"/>
      <c r="S67" s="132"/>
      <c r="T67" s="136"/>
      <c r="U67" s="136"/>
      <c r="V67" s="136"/>
      <c r="W67" s="136"/>
      <c r="X67" s="128"/>
      <c r="Y67" s="128"/>
      <c r="Z67" s="128"/>
      <c r="AA67" s="128"/>
      <c r="AB67" s="136"/>
      <c r="AC67" s="136"/>
      <c r="AD67" s="136"/>
      <c r="AE67" s="136"/>
      <c r="AG67" s="118" t="s">
        <v>477</v>
      </c>
      <c r="AH67" s="118" t="s">
        <v>10</v>
      </c>
      <c r="AI67" s="118" t="s">
        <v>10</v>
      </c>
      <c r="AK67" s="118" t="s">
        <v>478</v>
      </c>
      <c r="AL67" s="118" t="s">
        <v>13</v>
      </c>
      <c r="AM67" s="118" t="s">
        <v>10</v>
      </c>
      <c r="AO67" s="118" t="s">
        <v>435</v>
      </c>
      <c r="AP67" s="118" t="s">
        <v>479</v>
      </c>
      <c r="AQ67" s="118" t="s">
        <v>10</v>
      </c>
    </row>
    <row r="68" spans="1:43">
      <c r="A68" s="128" t="s">
        <v>480</v>
      </c>
      <c r="B68" s="128" t="s">
        <v>398</v>
      </c>
      <c r="C68" s="128" t="s">
        <v>399</v>
      </c>
      <c r="D68" s="128"/>
      <c r="E68" s="128"/>
      <c r="F68" s="128"/>
      <c r="G68" s="128"/>
      <c r="H68" s="128" t="s">
        <v>400</v>
      </c>
      <c r="I68" s="128" t="s">
        <v>399</v>
      </c>
      <c r="J68" s="128" t="s">
        <v>13</v>
      </c>
      <c r="K68" s="128" t="s">
        <v>13</v>
      </c>
      <c r="L68" s="136"/>
      <c r="M68" s="136"/>
      <c r="N68" s="136"/>
      <c r="O68" s="136"/>
      <c r="P68" s="128"/>
      <c r="Q68" s="128"/>
      <c r="R68" s="128"/>
      <c r="S68" s="132"/>
      <c r="T68" s="136"/>
      <c r="U68" s="136"/>
      <c r="V68" s="136"/>
      <c r="W68" s="136"/>
      <c r="X68" s="128"/>
      <c r="Y68" s="128"/>
      <c r="Z68" s="128"/>
      <c r="AA68" s="128"/>
      <c r="AB68" s="136"/>
      <c r="AC68" s="136"/>
      <c r="AD68" s="136"/>
      <c r="AE68" s="136"/>
      <c r="AK68" s="118" t="s">
        <v>481</v>
      </c>
      <c r="AL68" s="118" t="s">
        <v>479</v>
      </c>
      <c r="AM68" s="118" t="s">
        <v>10</v>
      </c>
    </row>
    <row r="69" spans="1:43" ht="31.5">
      <c r="A69" s="128" t="s">
        <v>482</v>
      </c>
      <c r="B69" s="139" t="str">
        <f>"R["&amp;"30"&amp;"] &lt;= [PC] //R[30]=LINK"&amp;CHAR(10)&amp;"PC &lt;= R["&amp;"1"&amp;"]"</f>
        <v>R[30] &lt;= [PC] //R[30]=LINK
PC &lt;= R[1]</v>
      </c>
      <c r="C69" s="128" t="s">
        <v>483</v>
      </c>
      <c r="D69" s="128"/>
      <c r="E69" s="128"/>
      <c r="F69" s="128"/>
      <c r="G69" s="128"/>
      <c r="H69" s="128" t="s">
        <v>484</v>
      </c>
      <c r="I69" s="128" t="s">
        <v>483</v>
      </c>
      <c r="J69" s="128" t="s">
        <v>16</v>
      </c>
      <c r="K69" s="128" t="s">
        <v>13</v>
      </c>
      <c r="L69" s="136"/>
      <c r="M69" s="136"/>
      <c r="N69" s="136"/>
      <c r="O69" s="136"/>
      <c r="P69" s="128"/>
      <c r="Q69" s="128"/>
      <c r="R69" s="128"/>
      <c r="S69" s="132"/>
      <c r="T69" s="136"/>
      <c r="U69" s="136"/>
      <c r="V69" s="136"/>
      <c r="W69" s="136"/>
      <c r="X69" s="128"/>
      <c r="Y69" s="128"/>
      <c r="Z69" s="128"/>
      <c r="AA69" s="128"/>
      <c r="AB69" s="136"/>
      <c r="AC69" s="136"/>
      <c r="AD69" s="136"/>
      <c r="AE69" s="136"/>
      <c r="AK69" s="118" t="s">
        <v>485</v>
      </c>
      <c r="AL69" s="118" t="s">
        <v>486</v>
      </c>
      <c r="AM69" s="118" t="s">
        <v>10</v>
      </c>
    </row>
    <row r="70" spans="1:43">
      <c r="A70" s="128" t="s">
        <v>487</v>
      </c>
      <c r="B70" s="128" t="s">
        <v>488</v>
      </c>
      <c r="C70" s="128" t="s">
        <v>489</v>
      </c>
      <c r="D70" s="128"/>
      <c r="E70" s="128"/>
      <c r="F70" s="128"/>
      <c r="G70" s="128"/>
      <c r="H70" s="128" t="s">
        <v>490</v>
      </c>
      <c r="I70" s="128" t="s">
        <v>489</v>
      </c>
      <c r="J70" s="128" t="s">
        <v>479</v>
      </c>
      <c r="K70" s="128" t="s">
        <v>13</v>
      </c>
      <c r="L70" s="136"/>
      <c r="M70" s="136"/>
      <c r="N70" s="136"/>
      <c r="O70" s="136"/>
      <c r="P70" s="128"/>
      <c r="Q70" s="128"/>
      <c r="R70" s="128"/>
      <c r="S70" s="132"/>
      <c r="T70" s="136"/>
      <c r="U70" s="136"/>
      <c r="V70" s="136"/>
      <c r="W70" s="136"/>
      <c r="X70" s="128"/>
      <c r="Y70" s="128"/>
      <c r="Z70" s="128"/>
      <c r="AA70" s="128"/>
      <c r="AB70" s="136"/>
      <c r="AC70" s="136"/>
      <c r="AD70" s="136"/>
      <c r="AE70" s="136"/>
      <c r="AK70" s="118" t="s">
        <v>491</v>
      </c>
      <c r="AL70" s="118" t="s">
        <v>486</v>
      </c>
      <c r="AM70" s="118" t="s">
        <v>10</v>
      </c>
    </row>
    <row r="71" spans="1:43">
      <c r="A71" s="128" t="s">
        <v>492</v>
      </c>
      <c r="B71" s="137" t="str">
        <f>"PC &lt;= R["&amp;"30"&amp;"]  //R[30]=LINK"</f>
        <v>PC &lt;= R[30]  //R[30]=LINK</v>
      </c>
      <c r="C71" s="128" t="s">
        <v>493</v>
      </c>
      <c r="D71" s="128"/>
      <c r="E71" s="128"/>
      <c r="F71" s="128"/>
      <c r="G71" s="128"/>
      <c r="H71" s="128" t="s">
        <v>490</v>
      </c>
      <c r="I71" s="128" t="s">
        <v>493</v>
      </c>
      <c r="J71" s="128" t="s">
        <v>486</v>
      </c>
      <c r="K71" s="128" t="s">
        <v>13</v>
      </c>
      <c r="L71" s="136"/>
      <c r="M71" s="136"/>
      <c r="N71" s="136"/>
      <c r="O71" s="136"/>
      <c r="P71" s="128"/>
      <c r="Q71" s="128"/>
      <c r="R71" s="128"/>
      <c r="S71" s="132"/>
      <c r="T71" s="136"/>
      <c r="U71" s="136"/>
      <c r="V71" s="136"/>
      <c r="W71" s="136"/>
      <c r="X71" s="128"/>
      <c r="Y71" s="128"/>
      <c r="Z71" s="128"/>
      <c r="AA71" s="128"/>
      <c r="AB71" s="136"/>
      <c r="AC71" s="136"/>
      <c r="AD71" s="136"/>
      <c r="AE71" s="136"/>
      <c r="AK71" s="118" t="s">
        <v>494</v>
      </c>
      <c r="AL71" s="118" t="s">
        <v>486</v>
      </c>
      <c r="AM71" s="118" t="s">
        <v>10</v>
      </c>
    </row>
    <row r="72" spans="1:43">
      <c r="D72" s="128"/>
      <c r="E72" s="128"/>
      <c r="F72" s="128"/>
      <c r="G72" s="128"/>
      <c r="H72" s="128" t="s">
        <v>495</v>
      </c>
      <c r="I72" s="128"/>
      <c r="J72" s="128" t="s">
        <v>496</v>
      </c>
      <c r="K72" s="128" t="s">
        <v>13</v>
      </c>
      <c r="L72" s="136"/>
      <c r="M72" s="136"/>
      <c r="N72" s="136"/>
      <c r="O72" s="136"/>
      <c r="P72" s="128"/>
      <c r="Q72" s="128"/>
      <c r="R72" s="128"/>
      <c r="S72" s="132"/>
      <c r="T72" s="136"/>
      <c r="U72" s="136"/>
      <c r="V72" s="136"/>
      <c r="W72" s="136"/>
      <c r="X72" s="128"/>
      <c r="Y72" s="128"/>
      <c r="Z72" s="128"/>
      <c r="AA72" s="128"/>
      <c r="AB72" s="136"/>
      <c r="AC72" s="136"/>
      <c r="AD72" s="136"/>
      <c r="AE72" s="136"/>
    </row>
    <row r="73" spans="1:43">
      <c r="D73" s="128"/>
      <c r="E73" s="128"/>
      <c r="F73" s="128"/>
      <c r="G73" s="128"/>
      <c r="H73" s="128" t="s">
        <v>396</v>
      </c>
      <c r="I73" s="128"/>
      <c r="J73" s="128" t="s">
        <v>497</v>
      </c>
      <c r="K73" s="128" t="s">
        <v>13</v>
      </c>
      <c r="L73" s="136"/>
      <c r="M73" s="136"/>
      <c r="N73" s="136"/>
      <c r="O73" s="136"/>
      <c r="P73" s="128"/>
      <c r="Q73" s="128"/>
      <c r="R73" s="128"/>
      <c r="S73" s="132"/>
      <c r="T73" s="136"/>
      <c r="U73" s="136"/>
      <c r="V73" s="136"/>
      <c r="W73" s="136"/>
      <c r="X73" s="128"/>
      <c r="Y73" s="128"/>
      <c r="Z73" s="128"/>
      <c r="AA73" s="128"/>
      <c r="AB73" s="136"/>
      <c r="AC73" s="136"/>
      <c r="AD73" s="136"/>
      <c r="AE73" s="136"/>
    </row>
    <row r="74" spans="1:43">
      <c r="H74" s="128" t="s">
        <v>490</v>
      </c>
      <c r="I74" s="128"/>
      <c r="J74" s="128" t="s">
        <v>486</v>
      </c>
      <c r="K74" s="128" t="s">
        <v>13</v>
      </c>
      <c r="L74" s="136"/>
      <c r="M74" s="136"/>
      <c r="N74" s="136"/>
      <c r="O74" s="136"/>
      <c r="P74" s="132"/>
      <c r="Q74" s="132"/>
      <c r="R74" s="132"/>
      <c r="S74" s="132"/>
      <c r="T74" s="129"/>
      <c r="U74" s="129"/>
      <c r="V74" s="129"/>
      <c r="W74" s="129"/>
      <c r="X74" s="128"/>
      <c r="Y74" s="128"/>
      <c r="Z74" s="128"/>
      <c r="AA74" s="128"/>
      <c r="AB74" s="129"/>
      <c r="AC74" s="129"/>
      <c r="AD74" s="129"/>
      <c r="AE74" s="129"/>
    </row>
    <row r="75" spans="1:43">
      <c r="H75" s="128" t="s">
        <v>495</v>
      </c>
      <c r="I75" s="128"/>
      <c r="J75" s="128" t="s">
        <v>496</v>
      </c>
      <c r="K75" s="128" t="s">
        <v>13</v>
      </c>
      <c r="L75" s="136"/>
      <c r="M75" s="136"/>
      <c r="N75" s="136"/>
      <c r="O75" s="136"/>
      <c r="P75" s="132"/>
      <c r="Q75" s="132"/>
      <c r="R75" s="132"/>
      <c r="S75" s="132"/>
      <c r="T75" s="129"/>
      <c r="U75" s="129"/>
      <c r="V75" s="129"/>
      <c r="W75" s="129"/>
      <c r="X75" s="128"/>
      <c r="Y75" s="128"/>
      <c r="Z75" s="128"/>
      <c r="AA75" s="128"/>
      <c r="AB75" s="129"/>
      <c r="AC75" s="129"/>
      <c r="AD75" s="129"/>
      <c r="AE75" s="129"/>
    </row>
    <row r="76" spans="1:43">
      <c r="H76" s="128" t="s">
        <v>396</v>
      </c>
      <c r="I76" s="128"/>
      <c r="J76" s="128" t="s">
        <v>497</v>
      </c>
      <c r="K76" s="128" t="s">
        <v>13</v>
      </c>
      <c r="L76" s="136"/>
      <c r="M76" s="136"/>
      <c r="N76" s="136"/>
      <c r="O76" s="136"/>
      <c r="P76" s="132"/>
      <c r="Q76" s="132"/>
      <c r="R76" s="132"/>
      <c r="S76" s="132"/>
      <c r="T76" s="129"/>
      <c r="U76" s="129"/>
      <c r="V76" s="129"/>
      <c r="W76" s="129"/>
      <c r="X76" s="128"/>
      <c r="Y76" s="128"/>
      <c r="Z76" s="128"/>
      <c r="AA76" s="128"/>
      <c r="AB76" s="129"/>
      <c r="AC76" s="129"/>
      <c r="AD76" s="129"/>
      <c r="AE76" s="129"/>
    </row>
    <row r="81" spans="1:31">
      <c r="A81" s="134" t="s">
        <v>498</v>
      </c>
      <c r="B81" s="128"/>
      <c r="C81" s="128"/>
      <c r="D81" s="128"/>
      <c r="E81" s="128"/>
      <c r="F81" s="128"/>
      <c r="G81" s="128"/>
    </row>
    <row r="82" spans="1:31" ht="18.75">
      <c r="A82" s="11" t="s">
        <v>377</v>
      </c>
      <c r="B82" s="11"/>
      <c r="C82" s="11"/>
      <c r="D82" s="13" t="s">
        <v>378</v>
      </c>
      <c r="E82" s="13"/>
      <c r="F82" s="13"/>
      <c r="G82" s="13"/>
      <c r="H82" s="12" t="s">
        <v>379</v>
      </c>
      <c r="I82" s="12"/>
      <c r="J82" s="12"/>
      <c r="K82" s="12"/>
      <c r="L82" s="13" t="s">
        <v>380</v>
      </c>
      <c r="M82" s="13"/>
      <c r="N82" s="13"/>
      <c r="O82" s="13"/>
      <c r="P82" s="12" t="s">
        <v>381</v>
      </c>
      <c r="Q82" s="12"/>
      <c r="R82" s="12"/>
      <c r="S82" s="12"/>
      <c r="T82" s="13" t="s">
        <v>382</v>
      </c>
      <c r="U82" s="13"/>
      <c r="V82" s="13"/>
      <c r="W82" s="13"/>
      <c r="X82" s="12" t="s">
        <v>383</v>
      </c>
      <c r="Y82" s="12"/>
      <c r="Z82" s="12"/>
      <c r="AA82" s="12"/>
      <c r="AB82" s="13" t="s">
        <v>384</v>
      </c>
      <c r="AC82" s="13"/>
      <c r="AD82" s="13"/>
      <c r="AE82" s="13"/>
    </row>
    <row r="83" spans="1:31">
      <c r="A83" s="128" t="s">
        <v>464</v>
      </c>
      <c r="B83" s="124" t="s">
        <v>386</v>
      </c>
      <c r="C83" s="124" t="s">
        <v>234</v>
      </c>
      <c r="D83" s="125" t="s">
        <v>387</v>
      </c>
      <c r="E83" s="125" t="s">
        <v>388</v>
      </c>
      <c r="F83" s="125" t="s">
        <v>191</v>
      </c>
      <c r="G83" s="125" t="s">
        <v>389</v>
      </c>
      <c r="H83" s="124" t="s">
        <v>387</v>
      </c>
      <c r="I83" s="124" t="s">
        <v>388</v>
      </c>
      <c r="J83" s="124" t="s">
        <v>191</v>
      </c>
      <c r="K83" s="124" t="s">
        <v>389</v>
      </c>
      <c r="L83" s="125" t="s">
        <v>387</v>
      </c>
      <c r="M83" s="125" t="s">
        <v>388</v>
      </c>
      <c r="N83" s="125" t="s">
        <v>191</v>
      </c>
      <c r="O83" s="125" t="s">
        <v>389</v>
      </c>
      <c r="P83" s="124" t="s">
        <v>387</v>
      </c>
      <c r="Q83" s="124" t="s">
        <v>388</v>
      </c>
      <c r="R83" s="124" t="s">
        <v>191</v>
      </c>
      <c r="S83" s="124" t="s">
        <v>389</v>
      </c>
      <c r="T83" s="125" t="s">
        <v>387</v>
      </c>
      <c r="U83" s="125" t="s">
        <v>388</v>
      </c>
      <c r="V83" s="125" t="s">
        <v>191</v>
      </c>
      <c r="W83" s="125" t="s">
        <v>389</v>
      </c>
      <c r="X83" s="124" t="s">
        <v>387</v>
      </c>
      <c r="Y83" s="124" t="s">
        <v>388</v>
      </c>
      <c r="Z83" s="124" t="s">
        <v>191</v>
      </c>
      <c r="AA83" s="124" t="s">
        <v>389</v>
      </c>
      <c r="AB83" s="125" t="s">
        <v>387</v>
      </c>
      <c r="AC83" s="125" t="s">
        <v>388</v>
      </c>
      <c r="AD83" s="125" t="s">
        <v>191</v>
      </c>
      <c r="AE83" s="125" t="s">
        <v>389</v>
      </c>
    </row>
    <row r="84" spans="1:31">
      <c r="A84" s="128" t="s">
        <v>499</v>
      </c>
      <c r="B84" s="127" t="s">
        <v>500</v>
      </c>
      <c r="C84" s="128" t="s">
        <v>501</v>
      </c>
      <c r="D84" s="128"/>
      <c r="E84" s="128"/>
      <c r="F84" s="128"/>
      <c r="G84" s="128"/>
      <c r="H84" s="128" t="s">
        <v>502</v>
      </c>
      <c r="I84" s="128" t="s">
        <v>501</v>
      </c>
      <c r="J84" s="128" t="s">
        <v>10</v>
      </c>
      <c r="K84" s="128" t="s">
        <v>13</v>
      </c>
      <c r="L84" s="136" t="s">
        <v>503</v>
      </c>
      <c r="M84" s="136" t="s">
        <v>74</v>
      </c>
      <c r="N84" s="136" t="s">
        <v>10</v>
      </c>
      <c r="O84" s="136" t="s">
        <v>13</v>
      </c>
      <c r="P84" s="128"/>
      <c r="Q84" s="128"/>
      <c r="R84" s="128"/>
      <c r="S84" s="132"/>
      <c r="T84" s="136"/>
      <c r="U84" s="136"/>
      <c r="V84" s="136"/>
      <c r="W84" s="136"/>
      <c r="X84" s="128" t="s">
        <v>491</v>
      </c>
      <c r="Y84" s="128" t="s">
        <v>74</v>
      </c>
      <c r="Z84" s="128" t="s">
        <v>10</v>
      </c>
      <c r="AA84" s="128" t="s">
        <v>19</v>
      </c>
      <c r="AB84" s="136"/>
      <c r="AC84" s="136"/>
      <c r="AD84" s="136"/>
      <c r="AE84" s="136"/>
    </row>
    <row r="85" spans="1:31" ht="17.25" customHeight="1">
      <c r="A85" s="128" t="s">
        <v>499</v>
      </c>
      <c r="B85" s="128" t="s">
        <v>500</v>
      </c>
      <c r="C85" s="128" t="s">
        <v>493</v>
      </c>
      <c r="D85" s="128"/>
      <c r="E85" s="128"/>
      <c r="F85" s="128"/>
      <c r="G85" s="128"/>
      <c r="H85" s="128" t="s">
        <v>502</v>
      </c>
      <c r="I85" s="128" t="s">
        <v>501</v>
      </c>
      <c r="J85" s="128" t="s">
        <v>13</v>
      </c>
      <c r="K85" s="128" t="s">
        <v>13</v>
      </c>
      <c r="L85" s="136" t="s">
        <v>503</v>
      </c>
      <c r="M85" s="136" t="s">
        <v>74</v>
      </c>
      <c r="N85" s="136" t="s">
        <v>13</v>
      </c>
      <c r="O85" s="136" t="s">
        <v>13</v>
      </c>
      <c r="P85" s="128"/>
      <c r="Q85" s="128"/>
      <c r="R85" s="128"/>
      <c r="S85" s="132"/>
      <c r="T85" s="136"/>
      <c r="U85" s="136"/>
      <c r="V85" s="136"/>
      <c r="W85" s="136"/>
      <c r="X85" s="128" t="s">
        <v>491</v>
      </c>
      <c r="Y85" s="128" t="s">
        <v>74</v>
      </c>
      <c r="Z85" s="128" t="s">
        <v>13</v>
      </c>
      <c r="AA85" s="128" t="s">
        <v>19</v>
      </c>
      <c r="AB85" s="136"/>
      <c r="AC85" s="136"/>
      <c r="AD85" s="136"/>
      <c r="AE85" s="136"/>
    </row>
    <row r="86" spans="1:31" ht="17.25" customHeight="1">
      <c r="A86" s="128" t="s">
        <v>468</v>
      </c>
      <c r="B86" s="128" t="s">
        <v>469</v>
      </c>
      <c r="C86" s="128" t="s">
        <v>470</v>
      </c>
      <c r="D86" s="128"/>
      <c r="E86" s="128"/>
      <c r="F86" s="128"/>
      <c r="G86" s="128"/>
      <c r="H86" s="128" t="s">
        <v>504</v>
      </c>
      <c r="I86" s="128" t="s">
        <v>470</v>
      </c>
      <c r="J86" s="128" t="s">
        <v>16</v>
      </c>
      <c r="K86" s="128" t="s">
        <v>13</v>
      </c>
      <c r="L86" s="136" t="s">
        <v>505</v>
      </c>
      <c r="M86" s="136"/>
      <c r="N86" s="136" t="s">
        <v>16</v>
      </c>
      <c r="O86" s="136" t="s">
        <v>13</v>
      </c>
      <c r="P86" s="128"/>
      <c r="Q86" s="128"/>
      <c r="R86" s="128"/>
      <c r="S86" s="132"/>
      <c r="T86" s="136"/>
      <c r="U86" s="136"/>
      <c r="V86" s="136"/>
      <c r="W86" s="136"/>
      <c r="X86" s="128" t="s">
        <v>396</v>
      </c>
      <c r="Y86" s="128"/>
      <c r="Z86" s="128" t="s">
        <v>16</v>
      </c>
      <c r="AA86" s="128" t="s">
        <v>19</v>
      </c>
      <c r="AB86" s="136"/>
      <c r="AC86" s="136"/>
      <c r="AD86" s="136"/>
      <c r="AE86" s="136"/>
    </row>
    <row r="87" spans="1:31" ht="17.25" customHeight="1">
      <c r="A87" s="128" t="s">
        <v>397</v>
      </c>
      <c r="B87" s="128" t="s">
        <v>398</v>
      </c>
      <c r="C87" s="128" t="s">
        <v>399</v>
      </c>
      <c r="D87" s="128"/>
      <c r="E87" s="128"/>
      <c r="F87" s="128"/>
      <c r="G87" s="128"/>
      <c r="H87" s="128" t="s">
        <v>396</v>
      </c>
      <c r="I87" s="128"/>
      <c r="J87" s="128" t="s">
        <v>74</v>
      </c>
      <c r="K87" s="128" t="s">
        <v>13</v>
      </c>
      <c r="L87" s="136" t="s">
        <v>396</v>
      </c>
      <c r="M87" s="136"/>
      <c r="N87" s="136" t="s">
        <v>74</v>
      </c>
      <c r="O87" s="136" t="s">
        <v>13</v>
      </c>
      <c r="P87" s="128"/>
      <c r="Q87" s="128"/>
      <c r="R87" s="128"/>
      <c r="S87" s="132"/>
      <c r="T87" s="136"/>
      <c r="U87" s="136"/>
      <c r="V87" s="136"/>
      <c r="W87" s="136"/>
      <c r="X87" s="128" t="s">
        <v>396</v>
      </c>
      <c r="Y87" s="128"/>
      <c r="Z87" s="128" t="s">
        <v>74</v>
      </c>
      <c r="AA87" s="128" t="s">
        <v>19</v>
      </c>
      <c r="AB87" s="136"/>
      <c r="AC87" s="136"/>
      <c r="AD87" s="136"/>
      <c r="AE87" s="136"/>
    </row>
    <row r="88" spans="1:31" ht="31.5">
      <c r="A88" s="128" t="s">
        <v>482</v>
      </c>
      <c r="B88" s="139" t="str">
        <f>"R["&amp;"30"&amp;"] &lt;= [PC] //R[30]=LINK"&amp;CHAR(10)&amp;"PC &lt;= R["&amp;"1"&amp;"]"</f>
        <v>R[30] &lt;= [PC] //R[30]=LINK
PC &lt;= R[1]</v>
      </c>
      <c r="C88" s="128" t="s">
        <v>483</v>
      </c>
      <c r="D88" s="128"/>
      <c r="E88" s="128"/>
      <c r="F88" s="128"/>
      <c r="G88" s="128"/>
      <c r="H88" s="128" t="s">
        <v>400</v>
      </c>
      <c r="I88" s="128"/>
      <c r="J88" s="128" t="s">
        <v>78</v>
      </c>
      <c r="K88" s="128" t="s">
        <v>13</v>
      </c>
      <c r="L88" s="136" t="s">
        <v>401</v>
      </c>
      <c r="M88" s="136"/>
      <c r="N88" s="136" t="s">
        <v>78</v>
      </c>
      <c r="O88" s="136" t="s">
        <v>13</v>
      </c>
      <c r="P88" s="128"/>
      <c r="Q88" s="128"/>
      <c r="R88" s="128"/>
      <c r="S88" s="132"/>
      <c r="T88" s="136"/>
      <c r="U88" s="136"/>
      <c r="V88" s="136"/>
      <c r="W88" s="136"/>
      <c r="X88" s="128" t="s">
        <v>491</v>
      </c>
      <c r="Y88" s="128"/>
      <c r="Z88" s="128" t="s">
        <v>78</v>
      </c>
      <c r="AA88" s="128" t="s">
        <v>19</v>
      </c>
      <c r="AB88" s="136"/>
      <c r="AC88" s="136"/>
      <c r="AD88" s="136"/>
      <c r="AE88" s="136"/>
    </row>
    <row r="89" spans="1:31" ht="17.25" customHeight="1">
      <c r="A89" s="128" t="s">
        <v>506</v>
      </c>
      <c r="B89" s="128" t="s">
        <v>507</v>
      </c>
      <c r="C89" s="128" t="s">
        <v>508</v>
      </c>
      <c r="D89" s="128"/>
      <c r="E89" s="128"/>
      <c r="F89" s="128"/>
      <c r="G89" s="128"/>
      <c r="H89" s="128" t="s">
        <v>484</v>
      </c>
      <c r="I89" s="128"/>
      <c r="J89" s="128" t="s">
        <v>100</v>
      </c>
      <c r="K89" s="128" t="s">
        <v>13</v>
      </c>
      <c r="L89" s="136" t="s">
        <v>509</v>
      </c>
      <c r="M89" s="136"/>
      <c r="N89" s="136" t="s">
        <v>100</v>
      </c>
      <c r="O89" s="136" t="s">
        <v>13</v>
      </c>
      <c r="P89" s="128"/>
      <c r="Q89" s="128"/>
      <c r="R89" s="128"/>
      <c r="S89" s="132"/>
      <c r="T89" s="136"/>
      <c r="U89" s="136"/>
      <c r="V89" s="136"/>
      <c r="W89" s="136"/>
      <c r="X89" s="128" t="s">
        <v>396</v>
      </c>
      <c r="Y89" s="128"/>
      <c r="Z89" s="128" t="s">
        <v>100</v>
      </c>
      <c r="AA89" s="128" t="s">
        <v>19</v>
      </c>
      <c r="AB89" s="136"/>
      <c r="AC89" s="136"/>
      <c r="AD89" s="136"/>
      <c r="AE89" s="136"/>
    </row>
    <row r="90" spans="1:31">
      <c r="A90" s="128" t="s">
        <v>492</v>
      </c>
      <c r="B90" s="137" t="str">
        <f>"PC &lt;= R["&amp;"30"&amp;"]  //R[30]=LINK"</f>
        <v>PC &lt;= R[30]  //R[30]=LINK</v>
      </c>
      <c r="C90" s="128" t="s">
        <v>493</v>
      </c>
      <c r="D90" s="128"/>
      <c r="E90" s="128"/>
      <c r="F90" s="128"/>
      <c r="G90" s="128"/>
      <c r="H90" s="128" t="s">
        <v>510</v>
      </c>
      <c r="I90" s="128"/>
      <c r="J90" s="128" t="s">
        <v>74</v>
      </c>
      <c r="K90" s="128" t="s">
        <v>13</v>
      </c>
      <c r="L90" s="136" t="s">
        <v>395</v>
      </c>
      <c r="M90" s="136"/>
      <c r="N90" s="136" t="s">
        <v>74</v>
      </c>
      <c r="O90" s="136" t="s">
        <v>13</v>
      </c>
      <c r="P90" s="128"/>
      <c r="Q90" s="128"/>
      <c r="R90" s="128"/>
      <c r="S90" s="132"/>
      <c r="T90" s="136"/>
      <c r="U90" s="136"/>
      <c r="V90" s="136"/>
      <c r="W90" s="136"/>
      <c r="X90" s="128" t="s">
        <v>396</v>
      </c>
      <c r="Y90" s="128"/>
      <c r="Z90" s="128" t="s">
        <v>74</v>
      </c>
      <c r="AA90" s="128" t="s">
        <v>19</v>
      </c>
      <c r="AB90" s="136"/>
      <c r="AC90" s="136"/>
      <c r="AD90" s="136"/>
      <c r="AE90" s="136"/>
    </row>
    <row r="91" spans="1:31" ht="17.25" customHeight="1">
      <c r="A91" s="128"/>
      <c r="B91" s="128"/>
      <c r="C91" s="128"/>
      <c r="D91" s="128"/>
      <c r="E91" s="128"/>
      <c r="F91" s="128"/>
      <c r="G91" s="128"/>
      <c r="H91" s="128" t="s">
        <v>400</v>
      </c>
      <c r="I91" s="128"/>
      <c r="J91" s="128" t="s">
        <v>78</v>
      </c>
      <c r="K91" s="128" t="s">
        <v>13</v>
      </c>
      <c r="L91" s="136" t="s">
        <v>401</v>
      </c>
      <c r="M91" s="136"/>
      <c r="N91" s="136" t="s">
        <v>78</v>
      </c>
      <c r="O91" s="136" t="s">
        <v>13</v>
      </c>
      <c r="P91" s="132"/>
      <c r="Q91" s="132"/>
      <c r="R91" s="132"/>
      <c r="S91" s="132"/>
      <c r="T91" s="129"/>
      <c r="U91" s="129"/>
      <c r="V91" s="129"/>
      <c r="W91" s="129"/>
      <c r="X91" s="128" t="s">
        <v>396</v>
      </c>
      <c r="Y91" s="128"/>
      <c r="Z91" s="128" t="s">
        <v>78</v>
      </c>
      <c r="AA91" s="128" t="s">
        <v>19</v>
      </c>
      <c r="AB91" s="129"/>
      <c r="AC91" s="129"/>
      <c r="AD91" s="129"/>
      <c r="AE91" s="129"/>
    </row>
    <row r="92" spans="1:31" ht="17.25" customHeight="1">
      <c r="A92" s="128"/>
      <c r="B92" s="128"/>
      <c r="C92" s="128"/>
      <c r="D92" s="128"/>
      <c r="E92" s="128"/>
      <c r="F92" s="128"/>
      <c r="G92" s="128"/>
      <c r="H92" s="128" t="s">
        <v>484</v>
      </c>
      <c r="I92" s="128"/>
      <c r="J92" s="128" t="s">
        <v>100</v>
      </c>
      <c r="K92" s="128" t="s">
        <v>13</v>
      </c>
      <c r="L92" s="136" t="s">
        <v>509</v>
      </c>
      <c r="M92" s="136"/>
      <c r="N92" s="136" t="s">
        <v>100</v>
      </c>
      <c r="O92" s="136" t="s">
        <v>13</v>
      </c>
      <c r="P92" s="132"/>
      <c r="Q92" s="132"/>
      <c r="R92" s="132"/>
      <c r="S92" s="132"/>
      <c r="T92" s="129"/>
      <c r="U92" s="129"/>
      <c r="V92" s="129"/>
      <c r="W92" s="129"/>
      <c r="X92" s="128" t="s">
        <v>396</v>
      </c>
      <c r="Y92" s="128"/>
      <c r="Z92" s="128" t="s">
        <v>100</v>
      </c>
      <c r="AA92" s="128" t="s">
        <v>19</v>
      </c>
      <c r="AB92" s="129"/>
      <c r="AC92" s="129"/>
      <c r="AD92" s="129"/>
      <c r="AE92" s="129"/>
    </row>
    <row r="93" spans="1:31" ht="17.25" customHeight="1">
      <c r="A93" s="128"/>
      <c r="B93" s="128"/>
      <c r="C93" s="128"/>
      <c r="D93" s="128"/>
      <c r="E93" s="128"/>
      <c r="F93" s="128"/>
      <c r="G93" s="128"/>
      <c r="H93" s="128" t="s">
        <v>510</v>
      </c>
      <c r="I93" s="128"/>
      <c r="J93" s="128" t="s">
        <v>74</v>
      </c>
      <c r="K93" s="128" t="s">
        <v>13</v>
      </c>
      <c r="L93" s="136" t="s">
        <v>395</v>
      </c>
      <c r="M93" s="136"/>
      <c r="N93" s="136" t="s">
        <v>74</v>
      </c>
      <c r="O93" s="136" t="s">
        <v>13</v>
      </c>
      <c r="P93" s="132"/>
      <c r="Q93" s="132"/>
      <c r="R93" s="132"/>
      <c r="S93" s="132"/>
      <c r="T93" s="129"/>
      <c r="U93" s="129"/>
      <c r="V93" s="129"/>
      <c r="W93" s="129"/>
      <c r="X93" s="128" t="s">
        <v>396</v>
      </c>
      <c r="Y93" s="128"/>
      <c r="Z93" s="128" t="s">
        <v>74</v>
      </c>
      <c r="AA93" s="128" t="s">
        <v>19</v>
      </c>
      <c r="AB93" s="129"/>
      <c r="AC93" s="129"/>
      <c r="AD93" s="129"/>
      <c r="AE93" s="129"/>
    </row>
    <row r="94" spans="1:31" ht="17.25" customHeight="1">
      <c r="A94" s="128"/>
      <c r="B94" s="128"/>
      <c r="C94" s="128"/>
      <c r="D94" s="128"/>
      <c r="E94" s="128"/>
      <c r="F94" s="128"/>
      <c r="G94" s="128"/>
      <c r="H94" s="128" t="s">
        <v>400</v>
      </c>
      <c r="I94" s="128"/>
      <c r="J94" s="128" t="s">
        <v>78</v>
      </c>
      <c r="K94" s="128" t="s">
        <v>13</v>
      </c>
      <c r="L94" s="136" t="s">
        <v>401</v>
      </c>
      <c r="M94" s="136"/>
      <c r="N94" s="136" t="s">
        <v>78</v>
      </c>
      <c r="O94" s="136" t="s">
        <v>13</v>
      </c>
      <c r="P94" s="132"/>
      <c r="Q94" s="132"/>
      <c r="R94" s="132"/>
      <c r="S94" s="132"/>
      <c r="T94" s="129"/>
      <c r="U94" s="129"/>
      <c r="V94" s="129"/>
      <c r="W94" s="129"/>
      <c r="X94" s="128" t="s">
        <v>396</v>
      </c>
      <c r="Y94" s="128"/>
      <c r="Z94" s="128" t="s">
        <v>78</v>
      </c>
      <c r="AA94" s="128" t="s">
        <v>19</v>
      </c>
      <c r="AB94" s="129"/>
      <c r="AC94" s="129"/>
      <c r="AD94" s="129"/>
      <c r="AE94" s="129"/>
    </row>
    <row r="100" spans="1:31">
      <c r="B100" s="135"/>
      <c r="C100" s="135"/>
      <c r="D100" s="135"/>
      <c r="E100" s="135"/>
      <c r="F100" s="135"/>
      <c r="G100" s="135"/>
    </row>
    <row r="101" spans="1:31">
      <c r="A101" s="134" t="s">
        <v>511</v>
      </c>
      <c r="B101" s="135"/>
      <c r="C101" s="135"/>
      <c r="D101" s="135"/>
      <c r="E101" s="135"/>
      <c r="F101" s="135"/>
      <c r="G101" s="135"/>
    </row>
    <row r="102" spans="1:31" ht="18.75">
      <c r="A102" s="11" t="s">
        <v>377</v>
      </c>
      <c r="B102" s="11"/>
      <c r="C102" s="11"/>
      <c r="D102" s="13" t="s">
        <v>378</v>
      </c>
      <c r="E102" s="13"/>
      <c r="F102" s="13"/>
      <c r="G102" s="13"/>
      <c r="H102" s="12" t="s">
        <v>379</v>
      </c>
      <c r="I102" s="12"/>
      <c r="J102" s="12"/>
      <c r="K102" s="12"/>
      <c r="L102" s="13" t="s">
        <v>380</v>
      </c>
      <c r="M102" s="13"/>
      <c r="N102" s="13"/>
      <c r="O102" s="13"/>
      <c r="P102" s="12" t="s">
        <v>381</v>
      </c>
      <c r="Q102" s="12"/>
      <c r="R102" s="12"/>
      <c r="S102" s="12"/>
      <c r="T102" s="13" t="s">
        <v>382</v>
      </c>
      <c r="U102" s="13"/>
      <c r="V102" s="13"/>
      <c r="W102" s="13"/>
      <c r="X102" s="12" t="s">
        <v>383</v>
      </c>
      <c r="Y102" s="12"/>
      <c r="Z102" s="12"/>
      <c r="AA102" s="12"/>
      <c r="AB102" s="13" t="s">
        <v>384</v>
      </c>
      <c r="AC102" s="13"/>
      <c r="AD102" s="13"/>
      <c r="AE102" s="13"/>
    </row>
    <row r="103" spans="1:31">
      <c r="A103" s="128" t="s">
        <v>464</v>
      </c>
      <c r="B103" s="124" t="s">
        <v>386</v>
      </c>
      <c r="C103" s="124" t="s">
        <v>234</v>
      </c>
      <c r="D103" s="125" t="s">
        <v>387</v>
      </c>
      <c r="E103" s="125" t="s">
        <v>388</v>
      </c>
      <c r="F103" s="125" t="s">
        <v>191</v>
      </c>
      <c r="G103" s="125" t="s">
        <v>389</v>
      </c>
      <c r="H103" s="124" t="s">
        <v>387</v>
      </c>
      <c r="I103" s="124" t="s">
        <v>388</v>
      </c>
      <c r="J103" s="124" t="s">
        <v>191</v>
      </c>
      <c r="K103" s="124" t="s">
        <v>389</v>
      </c>
      <c r="L103" s="125" t="s">
        <v>387</v>
      </c>
      <c r="M103" s="125" t="s">
        <v>388</v>
      </c>
      <c r="N103" s="125" t="s">
        <v>191</v>
      </c>
      <c r="O103" s="125" t="s">
        <v>389</v>
      </c>
      <c r="P103" s="124" t="s">
        <v>387</v>
      </c>
      <c r="Q103" s="124" t="s">
        <v>388</v>
      </c>
      <c r="R103" s="124" t="s">
        <v>191</v>
      </c>
      <c r="S103" s="124" t="s">
        <v>389</v>
      </c>
      <c r="T103" s="125" t="s">
        <v>387</v>
      </c>
      <c r="U103" s="125" t="s">
        <v>388</v>
      </c>
      <c r="V103" s="125" t="s">
        <v>191</v>
      </c>
      <c r="W103" s="125" t="s">
        <v>389</v>
      </c>
      <c r="X103" s="124" t="s">
        <v>387</v>
      </c>
      <c r="Y103" s="124" t="s">
        <v>388</v>
      </c>
      <c r="Z103" s="124" t="s">
        <v>191</v>
      </c>
      <c r="AA103" s="124" t="s">
        <v>389</v>
      </c>
      <c r="AB103" s="125" t="s">
        <v>387</v>
      </c>
      <c r="AC103" s="125" t="s">
        <v>388</v>
      </c>
      <c r="AD103" s="125" t="s">
        <v>191</v>
      </c>
      <c r="AE103" s="125" t="s">
        <v>389</v>
      </c>
    </row>
    <row r="104" spans="1:31">
      <c r="A104" s="128"/>
      <c r="B104" s="127"/>
      <c r="C104" s="128"/>
      <c r="D104" s="128"/>
      <c r="E104" s="128"/>
      <c r="F104" s="128"/>
      <c r="G104" s="128"/>
      <c r="H104" s="128"/>
      <c r="I104" s="128"/>
      <c r="J104" s="128"/>
      <c r="K104" s="128"/>
      <c r="L104" s="136"/>
      <c r="M104" s="136"/>
      <c r="N104" s="136"/>
      <c r="O104" s="136"/>
      <c r="P104" s="128"/>
      <c r="Q104" s="128"/>
      <c r="R104" s="128"/>
      <c r="S104" s="132"/>
      <c r="T104" s="136"/>
      <c r="U104" s="136"/>
      <c r="V104" s="136"/>
      <c r="W104" s="136"/>
      <c r="X104" s="128"/>
      <c r="Y104" s="128"/>
      <c r="Z104" s="128"/>
      <c r="AA104" s="128"/>
      <c r="AB104" s="136"/>
      <c r="AC104" s="136"/>
      <c r="AD104" s="136"/>
      <c r="AE104" s="136"/>
    </row>
    <row r="105" spans="1:31" ht="17.25" customHeight="1">
      <c r="A105" s="128"/>
      <c r="B105" s="128"/>
      <c r="C105" s="128"/>
      <c r="D105" s="128"/>
      <c r="E105" s="128"/>
      <c r="F105" s="128"/>
      <c r="G105" s="128"/>
      <c r="H105" s="128"/>
      <c r="I105" s="128"/>
      <c r="J105" s="128"/>
      <c r="K105" s="128"/>
      <c r="L105" s="136"/>
      <c r="M105" s="136"/>
      <c r="N105" s="136"/>
      <c r="O105" s="136"/>
      <c r="P105" s="128"/>
      <c r="Q105" s="128"/>
      <c r="R105" s="128"/>
      <c r="S105" s="132"/>
      <c r="T105" s="136"/>
      <c r="U105" s="136"/>
      <c r="V105" s="136"/>
      <c r="W105" s="136"/>
      <c r="X105" s="128"/>
      <c r="Y105" s="128"/>
      <c r="Z105" s="128"/>
      <c r="AA105" s="128"/>
      <c r="AB105" s="136"/>
      <c r="AC105" s="136"/>
      <c r="AD105" s="136"/>
      <c r="AE105" s="136"/>
    </row>
    <row r="106" spans="1:31" ht="17.25" customHeight="1">
      <c r="A106" s="128"/>
      <c r="B106" s="128"/>
      <c r="C106" s="128"/>
      <c r="D106" s="128"/>
      <c r="E106" s="128"/>
      <c r="F106" s="128"/>
      <c r="G106" s="128"/>
      <c r="H106" s="128"/>
      <c r="I106" s="128"/>
      <c r="J106" s="128"/>
      <c r="K106" s="128"/>
      <c r="L106" s="136"/>
      <c r="M106" s="136"/>
      <c r="N106" s="136"/>
      <c r="O106" s="136"/>
      <c r="P106" s="128"/>
      <c r="Q106" s="128"/>
      <c r="R106" s="128"/>
      <c r="S106" s="132"/>
      <c r="T106" s="136"/>
      <c r="U106" s="136"/>
      <c r="V106" s="136"/>
      <c r="W106" s="136"/>
      <c r="X106" s="128"/>
      <c r="Y106" s="128"/>
      <c r="Z106" s="128"/>
      <c r="AA106" s="128"/>
      <c r="AB106" s="136"/>
      <c r="AC106" s="136"/>
      <c r="AD106" s="136"/>
      <c r="AE106" s="136"/>
    </row>
    <row r="107" spans="1:31" ht="17.25" customHeight="1">
      <c r="A107" s="128"/>
      <c r="B107" s="128"/>
      <c r="C107" s="128"/>
      <c r="D107" s="128"/>
      <c r="E107" s="128"/>
      <c r="F107" s="128"/>
      <c r="G107" s="128"/>
      <c r="H107" s="128"/>
      <c r="I107" s="128"/>
      <c r="J107" s="128"/>
      <c r="K107" s="128"/>
      <c r="L107" s="136"/>
      <c r="M107" s="136"/>
      <c r="N107" s="136"/>
      <c r="O107" s="136"/>
      <c r="P107" s="128"/>
      <c r="Q107" s="128"/>
      <c r="R107" s="128"/>
      <c r="S107" s="132"/>
      <c r="T107" s="136"/>
      <c r="U107" s="136"/>
      <c r="V107" s="136"/>
      <c r="W107" s="136"/>
      <c r="X107" s="128"/>
      <c r="Y107" s="128"/>
      <c r="Z107" s="128"/>
      <c r="AA107" s="128"/>
      <c r="AB107" s="136"/>
      <c r="AC107" s="136"/>
      <c r="AD107" s="136"/>
      <c r="AE107" s="136"/>
    </row>
    <row r="108" spans="1:31">
      <c r="A108" s="128"/>
      <c r="B108" s="128"/>
      <c r="C108" s="128"/>
      <c r="D108" s="128"/>
      <c r="E108" s="128"/>
      <c r="F108" s="128"/>
      <c r="G108" s="128"/>
      <c r="H108" s="128"/>
      <c r="I108" s="128"/>
      <c r="J108" s="128"/>
      <c r="K108" s="128"/>
      <c r="L108" s="136"/>
      <c r="M108" s="136"/>
      <c r="N108" s="136"/>
      <c r="O108" s="136"/>
      <c r="P108" s="128"/>
      <c r="Q108" s="128"/>
      <c r="R108" s="128"/>
      <c r="S108" s="132"/>
      <c r="T108" s="136"/>
      <c r="U108" s="136"/>
      <c r="V108" s="136"/>
      <c r="W108" s="136"/>
      <c r="X108" s="128"/>
      <c r="Y108" s="128"/>
      <c r="Z108" s="128"/>
      <c r="AA108" s="128"/>
      <c r="AB108" s="136"/>
      <c r="AC108" s="136"/>
      <c r="AD108" s="136"/>
      <c r="AE108" s="136"/>
    </row>
    <row r="109" spans="1:31" ht="17.25" customHeight="1">
      <c r="A109" s="128"/>
      <c r="B109" s="128"/>
      <c r="C109" s="128"/>
      <c r="D109" s="128"/>
      <c r="E109" s="128"/>
      <c r="F109" s="128"/>
      <c r="G109" s="128"/>
      <c r="H109" s="128"/>
      <c r="I109" s="128"/>
      <c r="J109" s="128"/>
      <c r="K109" s="128"/>
      <c r="L109" s="136"/>
      <c r="M109" s="136"/>
      <c r="N109" s="136"/>
      <c r="O109" s="136"/>
      <c r="P109" s="128"/>
      <c r="Q109" s="128"/>
      <c r="R109" s="128"/>
      <c r="S109" s="132"/>
      <c r="T109" s="136"/>
      <c r="U109" s="136"/>
      <c r="V109" s="136"/>
      <c r="W109" s="136"/>
      <c r="X109" s="128"/>
      <c r="Y109" s="128"/>
      <c r="Z109" s="128"/>
      <c r="AA109" s="128"/>
      <c r="AB109" s="136"/>
      <c r="AC109" s="136"/>
      <c r="AD109" s="136"/>
      <c r="AE109" s="136"/>
    </row>
    <row r="110" spans="1:31">
      <c r="A110" s="128"/>
      <c r="B110" s="137"/>
      <c r="C110" s="128"/>
      <c r="D110" s="128"/>
      <c r="E110" s="128"/>
      <c r="F110" s="128"/>
      <c r="G110" s="128"/>
      <c r="H110" s="128"/>
      <c r="I110" s="128"/>
      <c r="J110" s="128"/>
      <c r="K110" s="128"/>
      <c r="L110" s="136"/>
      <c r="M110" s="136"/>
      <c r="N110" s="136"/>
      <c r="O110" s="136"/>
      <c r="P110" s="128"/>
      <c r="Q110" s="128"/>
      <c r="R110" s="128"/>
      <c r="S110" s="132"/>
      <c r="T110" s="136"/>
      <c r="U110" s="136"/>
      <c r="V110" s="136"/>
      <c r="W110" s="136"/>
      <c r="X110" s="128"/>
      <c r="Y110" s="128"/>
      <c r="Z110" s="128"/>
      <c r="AA110" s="128"/>
      <c r="AB110" s="136"/>
      <c r="AC110" s="136"/>
      <c r="AD110" s="136"/>
      <c r="AE110" s="136"/>
    </row>
    <row r="111" spans="1:31" ht="17.25" customHeight="1">
      <c r="A111" s="128"/>
      <c r="B111" s="128"/>
      <c r="C111" s="128"/>
      <c r="D111" s="128"/>
      <c r="E111" s="128"/>
      <c r="F111" s="128"/>
      <c r="G111" s="128"/>
      <c r="H111" s="128"/>
      <c r="I111" s="128"/>
      <c r="J111" s="128"/>
      <c r="K111" s="128"/>
      <c r="L111" s="136"/>
      <c r="M111" s="136"/>
      <c r="N111" s="136"/>
      <c r="O111" s="136"/>
      <c r="P111" s="132"/>
      <c r="Q111" s="132"/>
      <c r="R111" s="132"/>
      <c r="S111" s="132"/>
      <c r="T111" s="129"/>
      <c r="U111" s="129"/>
      <c r="V111" s="129"/>
      <c r="W111" s="129"/>
      <c r="X111" s="128"/>
      <c r="Y111" s="128"/>
      <c r="Z111" s="128"/>
      <c r="AA111" s="128"/>
      <c r="AB111" s="129"/>
      <c r="AC111" s="129"/>
      <c r="AD111" s="129"/>
      <c r="AE111" s="129"/>
    </row>
    <row r="112" spans="1:31" ht="17.25" customHeight="1">
      <c r="A112" s="128"/>
      <c r="B112" s="128"/>
      <c r="C112" s="128"/>
      <c r="D112" s="128"/>
      <c r="E112" s="128"/>
      <c r="F112" s="128"/>
      <c r="G112" s="128"/>
      <c r="H112" s="128"/>
      <c r="I112" s="128"/>
      <c r="J112" s="128"/>
      <c r="K112" s="128"/>
      <c r="L112" s="136"/>
      <c r="M112" s="136"/>
      <c r="N112" s="136"/>
      <c r="O112" s="136"/>
      <c r="P112" s="132"/>
      <c r="Q112" s="132"/>
      <c r="R112" s="132"/>
      <c r="S112" s="132"/>
      <c r="T112" s="129"/>
      <c r="U112" s="129"/>
      <c r="V112" s="129"/>
      <c r="W112" s="129"/>
      <c r="X112" s="128"/>
      <c r="Y112" s="128"/>
      <c r="Z112" s="128"/>
      <c r="AA112" s="128"/>
      <c r="AB112" s="129"/>
      <c r="AC112" s="129"/>
      <c r="AD112" s="129"/>
      <c r="AE112" s="129"/>
    </row>
    <row r="113" spans="1:33" ht="17.25" customHeight="1">
      <c r="A113" s="128"/>
      <c r="B113" s="128"/>
      <c r="C113" s="128"/>
      <c r="D113" s="128"/>
      <c r="E113" s="128"/>
      <c r="F113" s="128"/>
      <c r="G113" s="128"/>
      <c r="H113" s="128"/>
      <c r="I113" s="128"/>
      <c r="J113" s="128"/>
      <c r="K113" s="128"/>
      <c r="L113" s="136"/>
      <c r="M113" s="136"/>
      <c r="N113" s="136"/>
      <c r="O113" s="136"/>
      <c r="P113" s="132"/>
      <c r="Q113" s="132"/>
      <c r="R113" s="132"/>
      <c r="S113" s="132"/>
      <c r="T113" s="129"/>
      <c r="U113" s="129"/>
      <c r="V113" s="129"/>
      <c r="W113" s="129"/>
      <c r="X113" s="128"/>
      <c r="Y113" s="128"/>
      <c r="Z113" s="128"/>
      <c r="AA113" s="128"/>
      <c r="AB113" s="129"/>
      <c r="AC113" s="129"/>
      <c r="AD113" s="129"/>
      <c r="AE113" s="129"/>
    </row>
    <row r="114" spans="1:33" ht="17.25" customHeight="1">
      <c r="A114" s="128"/>
      <c r="B114" s="128"/>
      <c r="C114" s="128"/>
      <c r="D114" s="128"/>
      <c r="E114" s="128"/>
      <c r="F114" s="128"/>
      <c r="G114" s="128"/>
      <c r="H114" s="128"/>
      <c r="I114" s="128"/>
      <c r="J114" s="128"/>
      <c r="K114" s="128"/>
      <c r="L114" s="136"/>
      <c r="M114" s="136"/>
      <c r="N114" s="136"/>
      <c r="O114" s="136"/>
      <c r="P114" s="132"/>
      <c r="Q114" s="132"/>
      <c r="R114" s="132"/>
      <c r="S114" s="132"/>
      <c r="T114" s="129"/>
      <c r="U114" s="129"/>
      <c r="V114" s="129"/>
      <c r="W114" s="129"/>
      <c r="X114" s="128"/>
      <c r="Y114" s="128"/>
      <c r="Z114" s="128"/>
      <c r="AA114" s="128"/>
      <c r="AB114" s="129"/>
      <c r="AC114" s="129"/>
      <c r="AD114" s="129"/>
      <c r="AE114" s="129"/>
    </row>
    <row r="125" spans="1:33">
      <c r="A125" s="140"/>
      <c r="B125" s="140"/>
      <c r="C125" s="140" t="s">
        <v>512</v>
      </c>
      <c r="D125" s="140"/>
      <c r="E125" s="140"/>
      <c r="F125" s="140"/>
      <c r="G125" s="140"/>
      <c r="H125" s="140"/>
      <c r="I125" s="140"/>
      <c r="J125" s="140"/>
      <c r="K125" s="140"/>
      <c r="L125" s="140"/>
      <c r="M125" s="140"/>
      <c r="N125" s="140"/>
      <c r="O125" s="140"/>
      <c r="P125" s="140"/>
      <c r="Q125" s="140"/>
      <c r="R125" s="140"/>
      <c r="S125" s="140"/>
      <c r="T125" s="140"/>
      <c r="U125" s="140"/>
      <c r="V125" s="140"/>
      <c r="W125" s="140"/>
      <c r="X125" s="140"/>
      <c r="Y125" s="140"/>
      <c r="Z125" s="140"/>
      <c r="AA125" s="140"/>
      <c r="AB125" s="140"/>
      <c r="AC125" s="140"/>
      <c r="AD125" s="140"/>
      <c r="AE125" s="140"/>
      <c r="AF125" s="140"/>
      <c r="AG125" s="140"/>
    </row>
    <row r="126" spans="1:33">
      <c r="A126" s="140"/>
      <c r="B126" s="140" t="s">
        <v>513</v>
      </c>
      <c r="C126" s="141" t="s">
        <v>514</v>
      </c>
      <c r="D126" s="140"/>
      <c r="E126" s="142" t="s">
        <v>515</v>
      </c>
      <c r="F126" s="142"/>
      <c r="G126" s="142"/>
      <c r="H126" s="142"/>
      <c r="I126" s="142"/>
      <c r="J126" s="140"/>
      <c r="K126" s="140"/>
      <c r="L126" s="140"/>
      <c r="M126" s="140"/>
      <c r="N126" s="140"/>
      <c r="O126" s="140"/>
      <c r="P126" s="140"/>
      <c r="Q126" s="140"/>
      <c r="R126" s="140"/>
      <c r="S126" s="140"/>
      <c r="T126" s="140"/>
      <c r="U126" s="140"/>
      <c r="V126" s="140"/>
      <c r="W126" s="140"/>
      <c r="X126" s="140"/>
      <c r="Y126" s="140"/>
      <c r="Z126" s="140"/>
      <c r="AA126" s="140"/>
      <c r="AB126" s="140"/>
      <c r="AC126" s="140"/>
      <c r="AD126" s="140"/>
      <c r="AE126" s="140"/>
      <c r="AF126" s="140"/>
      <c r="AG126" s="140"/>
    </row>
    <row r="127" spans="1:33" ht="20.25" customHeight="1">
      <c r="A127" s="140" t="s">
        <v>516</v>
      </c>
      <c r="B127" s="140" t="s">
        <v>517</v>
      </c>
      <c r="C127" s="9" t="s">
        <v>377</v>
      </c>
      <c r="D127" s="9"/>
      <c r="E127" s="9"/>
      <c r="F127" s="8" t="s">
        <v>378</v>
      </c>
      <c r="G127" s="8"/>
      <c r="H127" s="8"/>
      <c r="I127" s="8"/>
      <c r="J127" s="7" t="s">
        <v>379</v>
      </c>
      <c r="K127" s="7"/>
      <c r="L127" s="7"/>
      <c r="M127" s="7"/>
      <c r="N127" s="8" t="s">
        <v>380</v>
      </c>
      <c r="O127" s="8"/>
      <c r="P127" s="8"/>
      <c r="Q127" s="8"/>
      <c r="R127" s="7" t="s">
        <v>381</v>
      </c>
      <c r="S127" s="7"/>
      <c r="T127" s="7"/>
      <c r="U127" s="7"/>
      <c r="V127" s="8" t="s">
        <v>382</v>
      </c>
      <c r="W127" s="8"/>
      <c r="X127" s="8"/>
      <c r="Y127" s="8"/>
      <c r="Z127" s="7" t="s">
        <v>383</v>
      </c>
      <c r="AA127" s="7"/>
      <c r="AB127" s="7"/>
      <c r="AC127" s="7"/>
      <c r="AD127" s="8" t="s">
        <v>384</v>
      </c>
      <c r="AE127" s="8"/>
      <c r="AF127" s="8"/>
      <c r="AG127" s="8"/>
    </row>
    <row r="128" spans="1:33">
      <c r="A128" s="140"/>
      <c r="B128" s="140"/>
      <c r="C128" s="127" t="s">
        <v>464</v>
      </c>
      <c r="D128" s="124" t="s">
        <v>386</v>
      </c>
      <c r="E128" s="124" t="s">
        <v>234</v>
      </c>
      <c r="F128" s="125" t="s">
        <v>387</v>
      </c>
      <c r="G128" s="125" t="s">
        <v>388</v>
      </c>
      <c r="H128" s="125" t="s">
        <v>191</v>
      </c>
      <c r="I128" s="125" t="s">
        <v>389</v>
      </c>
      <c r="J128" s="124" t="s">
        <v>387</v>
      </c>
      <c r="K128" s="124" t="s">
        <v>388</v>
      </c>
      <c r="L128" s="124" t="s">
        <v>191</v>
      </c>
      <c r="M128" s="124" t="s">
        <v>389</v>
      </c>
      <c r="N128" s="125" t="s">
        <v>387</v>
      </c>
      <c r="O128" s="125" t="s">
        <v>388</v>
      </c>
      <c r="P128" s="125" t="s">
        <v>191</v>
      </c>
      <c r="Q128" s="125" t="s">
        <v>389</v>
      </c>
      <c r="R128" s="124" t="s">
        <v>387</v>
      </c>
      <c r="S128" s="124" t="s">
        <v>388</v>
      </c>
      <c r="T128" s="124" t="s">
        <v>191</v>
      </c>
      <c r="U128" s="124" t="s">
        <v>389</v>
      </c>
      <c r="V128" s="125" t="s">
        <v>387</v>
      </c>
      <c r="W128" s="125" t="s">
        <v>388</v>
      </c>
      <c r="X128" s="125" t="s">
        <v>191</v>
      </c>
      <c r="Y128" s="125" t="s">
        <v>389</v>
      </c>
      <c r="Z128" s="124" t="s">
        <v>387</v>
      </c>
      <c r="AA128" s="124" t="s">
        <v>388</v>
      </c>
      <c r="AB128" s="124" t="s">
        <v>191</v>
      </c>
      <c r="AC128" s="124" t="s">
        <v>389</v>
      </c>
      <c r="AD128" s="125" t="s">
        <v>387</v>
      </c>
      <c r="AE128" s="125" t="s">
        <v>388</v>
      </c>
      <c r="AF128" s="125" t="s">
        <v>191</v>
      </c>
      <c r="AG128" s="125" t="s">
        <v>389</v>
      </c>
    </row>
    <row r="129" spans="1:33" ht="29.25" customHeight="1">
      <c r="A129" s="143" t="s">
        <v>70</v>
      </c>
      <c r="B129" s="144" t="s">
        <v>159</v>
      </c>
      <c r="C129" s="141" t="s">
        <v>518</v>
      </c>
      <c r="D129" s="137" t="s">
        <v>519</v>
      </c>
      <c r="E129" s="144" t="s">
        <v>520</v>
      </c>
      <c r="F129" s="140"/>
      <c r="G129" s="127"/>
      <c r="H129" s="127"/>
      <c r="I129" s="127"/>
      <c r="J129" s="127" t="s">
        <v>520</v>
      </c>
      <c r="K129" s="127" t="s">
        <v>520</v>
      </c>
      <c r="L129" s="127" t="s">
        <v>70</v>
      </c>
      <c r="M129" s="127" t="s">
        <v>13</v>
      </c>
      <c r="N129" s="145"/>
      <c r="O129" s="145"/>
      <c r="P129" s="145"/>
      <c r="Q129" s="145"/>
      <c r="R129" s="127"/>
      <c r="S129" s="127"/>
      <c r="T129" s="127"/>
      <c r="U129" s="146"/>
      <c r="V129" s="145"/>
      <c r="W129" s="145"/>
      <c r="X129" s="145"/>
      <c r="Y129" s="145"/>
      <c r="Z129" s="127"/>
      <c r="AA129" s="127"/>
      <c r="AB129" s="127"/>
      <c r="AC129" s="127"/>
      <c r="AD129" s="145"/>
      <c r="AE129" s="145"/>
      <c r="AF129" s="145"/>
      <c r="AG129" s="145"/>
    </row>
    <row r="130" spans="1:33">
      <c r="A130" s="143" t="s">
        <v>10</v>
      </c>
      <c r="B130" s="147" t="s">
        <v>68</v>
      </c>
      <c r="C130" s="148" t="s">
        <v>521</v>
      </c>
      <c r="D130" s="148" t="s">
        <v>226</v>
      </c>
      <c r="E130" s="144" t="s">
        <v>522</v>
      </c>
      <c r="F130" s="127"/>
      <c r="G130" s="127"/>
      <c r="H130" s="127"/>
      <c r="I130" s="127"/>
      <c r="J130" s="149" t="s">
        <v>522</v>
      </c>
      <c r="K130" s="150" t="s">
        <v>523</v>
      </c>
      <c r="L130" s="151" t="s">
        <v>10</v>
      </c>
      <c r="M130" s="151" t="s">
        <v>13</v>
      </c>
      <c r="N130" s="145"/>
      <c r="O130" s="145"/>
      <c r="P130" s="145"/>
      <c r="Q130" s="145"/>
      <c r="R130" s="127"/>
      <c r="S130" s="127"/>
      <c r="T130" s="127"/>
      <c r="U130" s="146"/>
      <c r="V130" s="145"/>
      <c r="W130" s="145"/>
      <c r="X130" s="145"/>
      <c r="Y130" s="145"/>
      <c r="Z130" s="127"/>
      <c r="AA130" s="127"/>
      <c r="AB130" s="127"/>
      <c r="AC130" s="127"/>
      <c r="AD130" s="145"/>
      <c r="AE130" s="145"/>
      <c r="AF130" s="145"/>
      <c r="AG130" s="145"/>
    </row>
    <row r="131" spans="1:33" ht="31.5">
      <c r="A131" s="143" t="s">
        <v>13</v>
      </c>
      <c r="B131" s="147" t="s">
        <v>164</v>
      </c>
      <c r="C131" s="141" t="s">
        <v>524</v>
      </c>
      <c r="D131" s="152" t="s">
        <v>525</v>
      </c>
      <c r="E131" s="144" t="s">
        <v>526</v>
      </c>
      <c r="F131" s="140"/>
      <c r="G131" s="127"/>
      <c r="H131" s="127"/>
      <c r="I131" s="127"/>
      <c r="J131" s="127" t="s">
        <v>526</v>
      </c>
      <c r="K131" s="127" t="s">
        <v>526</v>
      </c>
      <c r="L131" s="127" t="s">
        <v>16</v>
      </c>
      <c r="M131" s="127" t="s">
        <v>13</v>
      </c>
      <c r="N131" s="145"/>
      <c r="O131" s="145"/>
      <c r="P131" s="145"/>
      <c r="Q131" s="145"/>
      <c r="R131" s="127"/>
      <c r="S131" s="127"/>
      <c r="T131" s="127"/>
      <c r="U131" s="146"/>
      <c r="V131" s="145"/>
      <c r="W131" s="145"/>
      <c r="X131" s="145"/>
      <c r="Y131" s="145"/>
      <c r="Z131" s="127"/>
      <c r="AA131" s="127"/>
      <c r="AB131" s="127"/>
      <c r="AC131" s="127"/>
      <c r="AD131" s="145"/>
      <c r="AE131" s="145"/>
      <c r="AF131" s="145"/>
      <c r="AG131" s="145"/>
    </row>
    <row r="132" spans="1:33" ht="17.25" customHeight="1">
      <c r="A132" s="143" t="s">
        <v>16</v>
      </c>
      <c r="B132" s="147" t="s">
        <v>68</v>
      </c>
      <c r="C132" s="148" t="s">
        <v>521</v>
      </c>
      <c r="D132" s="148" t="s">
        <v>226</v>
      </c>
      <c r="E132" s="144" t="s">
        <v>522</v>
      </c>
      <c r="F132" s="127"/>
      <c r="G132" s="127"/>
      <c r="H132" s="127"/>
      <c r="I132" s="127"/>
      <c r="J132" s="127" t="s">
        <v>527</v>
      </c>
      <c r="K132" s="127" t="s">
        <v>527</v>
      </c>
      <c r="L132" s="127" t="s">
        <v>22</v>
      </c>
      <c r="M132" s="127" t="s">
        <v>13</v>
      </c>
      <c r="N132" s="145"/>
      <c r="O132" s="145"/>
      <c r="P132" s="145"/>
      <c r="Q132" s="145"/>
      <c r="R132" s="127"/>
      <c r="S132" s="127"/>
      <c r="T132" s="127"/>
      <c r="U132" s="146"/>
      <c r="V132" s="145"/>
      <c r="W132" s="145"/>
      <c r="X132" s="145"/>
      <c r="Y132" s="145"/>
      <c r="Z132" s="127"/>
      <c r="AA132" s="127"/>
      <c r="AB132" s="127"/>
      <c r="AC132" s="127"/>
      <c r="AD132" s="145"/>
      <c r="AE132" s="145"/>
      <c r="AF132" s="145"/>
      <c r="AG132" s="145"/>
    </row>
    <row r="133" spans="1:33">
      <c r="A133" s="143" t="s">
        <v>19</v>
      </c>
      <c r="B133" s="147" t="s">
        <v>345</v>
      </c>
      <c r="C133" s="148" t="str">
        <f>"B LDU R"&amp;$D$171&amp;",R0,1"</f>
        <v>B LDU R1,R0,1</v>
      </c>
      <c r="D133" s="148" t="str">
        <f>"R["&amp;$D$171&amp;"] &lt;=1"</f>
        <v>R[1] &lt;=1</v>
      </c>
      <c r="E133" s="144" t="s">
        <v>393</v>
      </c>
      <c r="F133" s="127"/>
      <c r="G133" s="127"/>
      <c r="H133" s="127"/>
      <c r="I133" s="127"/>
      <c r="J133" s="127" t="s">
        <v>528</v>
      </c>
      <c r="K133" s="127" t="s">
        <v>528</v>
      </c>
      <c r="L133" s="127" t="s">
        <v>25</v>
      </c>
      <c r="M133" s="127" t="s">
        <v>13</v>
      </c>
      <c r="N133" s="145"/>
      <c r="O133" s="145"/>
      <c r="P133" s="145"/>
      <c r="Q133" s="145"/>
      <c r="R133" s="127"/>
      <c r="S133" s="127"/>
      <c r="T133" s="127"/>
      <c r="U133" s="146"/>
      <c r="V133" s="145"/>
      <c r="W133" s="145"/>
      <c r="X133" s="145"/>
      <c r="Y133" s="145"/>
      <c r="Z133" s="127"/>
      <c r="AA133" s="127"/>
      <c r="AB133" s="127"/>
      <c r="AC133" s="127"/>
      <c r="AD133" s="145"/>
      <c r="AE133" s="145"/>
      <c r="AF133" s="145"/>
      <c r="AG133" s="145"/>
    </row>
    <row r="134" spans="1:33" ht="17.25" customHeight="1">
      <c r="A134" s="143" t="s">
        <v>22</v>
      </c>
      <c r="B134" s="147" t="s">
        <v>345</v>
      </c>
      <c r="C134" s="148" t="str">
        <f>"B LDU R"&amp;$D$172&amp;",R0,2"</f>
        <v>B LDU R2,R0,2</v>
      </c>
      <c r="D134" s="148" t="str">
        <f>"R["&amp;$D$172&amp;"] &lt;=2"</f>
        <v>R[2] &lt;=2</v>
      </c>
      <c r="E134" s="144" t="s">
        <v>529</v>
      </c>
      <c r="F134" s="127"/>
      <c r="G134" s="127"/>
      <c r="H134" s="127"/>
      <c r="I134" s="127"/>
      <c r="J134" s="127" t="s">
        <v>530</v>
      </c>
      <c r="K134" s="127" t="s">
        <v>530</v>
      </c>
      <c r="L134" s="127" t="s">
        <v>28</v>
      </c>
      <c r="M134" s="127" t="s">
        <v>13</v>
      </c>
      <c r="N134" s="145"/>
      <c r="O134" s="145"/>
      <c r="P134" s="145"/>
      <c r="Q134" s="145"/>
      <c r="R134" s="127"/>
      <c r="S134" s="127"/>
      <c r="T134" s="127"/>
      <c r="U134" s="146"/>
      <c r="V134" s="145"/>
      <c r="W134" s="145"/>
      <c r="X134" s="145"/>
      <c r="Y134" s="145"/>
      <c r="Z134" s="127"/>
      <c r="AA134" s="127"/>
      <c r="AB134" s="127"/>
      <c r="AC134" s="127"/>
      <c r="AD134" s="145"/>
      <c r="AE134" s="145"/>
      <c r="AF134" s="145"/>
      <c r="AG134" s="145"/>
    </row>
    <row r="135" spans="1:33" ht="31.5">
      <c r="A135" s="143" t="s">
        <v>25</v>
      </c>
      <c r="B135" s="147" t="s">
        <v>122</v>
      </c>
      <c r="C135" s="137" t="str">
        <f>"B BEQ R"&amp;$D$171&amp;",R"&amp;$D$172&amp;",1"</f>
        <v>B BEQ R1,R2,1</v>
      </c>
      <c r="D135" s="152" t="str">
        <f>"if (R["&amp;$D$171&amp;"]=R["&amp;$D$172&amp;"])"&amp;CHAR(10)&amp;"PC&lt;= PC+1"</f>
        <v>if (R[1]=R[2])
PC&lt;= PC+1</v>
      </c>
      <c r="E135" s="144" t="s">
        <v>530</v>
      </c>
      <c r="F135" s="127"/>
      <c r="G135" s="127"/>
      <c r="H135" s="127"/>
      <c r="I135" s="127"/>
      <c r="J135" s="127" t="s">
        <v>531</v>
      </c>
      <c r="K135" s="127" t="s">
        <v>531</v>
      </c>
      <c r="L135" s="127" t="s">
        <v>33</v>
      </c>
      <c r="M135" s="127" t="s">
        <v>13</v>
      </c>
      <c r="N135" s="145"/>
      <c r="O135" s="145"/>
      <c r="P135" s="145"/>
      <c r="Q135" s="145"/>
      <c r="R135" s="127"/>
      <c r="S135" s="127"/>
      <c r="T135" s="127"/>
      <c r="U135" s="146"/>
      <c r="V135" s="145"/>
      <c r="W135" s="145"/>
      <c r="X135" s="145"/>
      <c r="Y135" s="145"/>
      <c r="Z135" s="127"/>
      <c r="AA135" s="127"/>
      <c r="AB135" s="127"/>
      <c r="AC135" s="127"/>
      <c r="AD135" s="145"/>
      <c r="AE135" s="145"/>
      <c r="AF135" s="145"/>
      <c r="AG135" s="145"/>
    </row>
    <row r="136" spans="1:33" ht="17.25" customHeight="1">
      <c r="A136" s="143" t="s">
        <v>28</v>
      </c>
      <c r="B136" s="147" t="s">
        <v>345</v>
      </c>
      <c r="C136" s="148" t="str">
        <f>"B LDU R"&amp;$D$171&amp;",R0,2"</f>
        <v>B LDU R1,R0,2</v>
      </c>
      <c r="D136" s="148" t="str">
        <f>"R["&amp;$D$171&amp;"] &lt;=2"</f>
        <v>R[1] &lt;=2</v>
      </c>
      <c r="E136" s="144" t="s">
        <v>439</v>
      </c>
      <c r="F136" s="127"/>
      <c r="G136" s="127"/>
      <c r="H136" s="127"/>
      <c r="I136" s="127"/>
      <c r="J136" s="127" t="s">
        <v>530</v>
      </c>
      <c r="K136" s="127" t="s">
        <v>530</v>
      </c>
      <c r="L136" s="127" t="s">
        <v>37</v>
      </c>
      <c r="M136" s="127" t="s">
        <v>13</v>
      </c>
      <c r="N136" s="145"/>
      <c r="O136" s="145"/>
      <c r="P136" s="145"/>
      <c r="Q136" s="145"/>
      <c r="R136" s="146"/>
      <c r="S136" s="146"/>
      <c r="T136" s="146"/>
      <c r="U136" s="146"/>
      <c r="V136" s="153"/>
      <c r="W136" s="153"/>
      <c r="X136" s="153"/>
      <c r="Y136" s="153"/>
      <c r="Z136" s="127"/>
      <c r="AA136" s="127"/>
      <c r="AB136" s="127"/>
      <c r="AC136" s="127"/>
      <c r="AD136" s="153"/>
      <c r="AE136" s="153"/>
      <c r="AF136" s="153"/>
      <c r="AG136" s="153"/>
    </row>
    <row r="137" spans="1:33" ht="31.5">
      <c r="A137" s="143" t="s">
        <v>33</v>
      </c>
      <c r="B137" s="147" t="s">
        <v>122</v>
      </c>
      <c r="C137" s="154" t="str">
        <f>"B BEQ R"&amp;$D$172&amp;",R"&amp;$D$171&amp;",1"</f>
        <v>B BEQ R2,R1,1</v>
      </c>
      <c r="D137" s="152" t="str">
        <f>"if (R["&amp;$D$171&amp;"]=R["&amp;$D$172&amp;"])"&amp;CHAR(10)&amp;"PC&lt;= PC+1"</f>
        <v>if (R[1]=R[2])
PC&lt;= PC+1</v>
      </c>
      <c r="E137" s="144" t="s">
        <v>532</v>
      </c>
      <c r="F137" s="127"/>
      <c r="G137" s="127"/>
      <c r="H137" s="127"/>
      <c r="I137" s="127"/>
      <c r="J137" s="127" t="s">
        <v>533</v>
      </c>
      <c r="K137" s="127" t="s">
        <v>533</v>
      </c>
      <c r="L137" s="138" t="s">
        <v>41</v>
      </c>
      <c r="M137" s="127" t="s">
        <v>13</v>
      </c>
      <c r="N137" s="145"/>
      <c r="O137" s="145"/>
      <c r="P137" s="145"/>
      <c r="Q137" s="145"/>
      <c r="R137" s="146"/>
      <c r="S137" s="146"/>
      <c r="T137" s="146"/>
      <c r="U137" s="146"/>
      <c r="V137" s="153"/>
      <c r="W137" s="153"/>
      <c r="X137" s="153"/>
      <c r="Y137" s="153"/>
      <c r="Z137" s="127"/>
      <c r="AA137" s="127"/>
      <c r="AB137" s="127"/>
      <c r="AC137" s="127"/>
      <c r="AD137" s="153"/>
      <c r="AE137" s="153"/>
      <c r="AF137" s="153"/>
      <c r="AG137" s="153"/>
    </row>
    <row r="138" spans="1:33" ht="17.25" customHeight="1">
      <c r="A138" s="143" t="s">
        <v>37</v>
      </c>
      <c r="B138" s="147" t="s">
        <v>68</v>
      </c>
      <c r="C138" s="148" t="s">
        <v>521</v>
      </c>
      <c r="D138" s="148" t="s">
        <v>226</v>
      </c>
      <c r="E138" s="144" t="s">
        <v>522</v>
      </c>
      <c r="F138" s="127"/>
      <c r="G138" s="127"/>
      <c r="H138" s="127"/>
      <c r="I138" s="127"/>
      <c r="J138" s="151" t="s">
        <v>533</v>
      </c>
      <c r="K138" s="151" t="s">
        <v>534</v>
      </c>
      <c r="L138" s="150" t="s">
        <v>47</v>
      </c>
      <c r="M138" s="151" t="s">
        <v>13</v>
      </c>
      <c r="N138" s="145"/>
      <c r="O138" s="145"/>
      <c r="P138" s="145"/>
      <c r="Q138" s="145"/>
      <c r="R138" s="146"/>
      <c r="S138" s="146"/>
      <c r="T138" s="146"/>
      <c r="U138" s="146"/>
      <c r="V138" s="153"/>
      <c r="W138" s="153"/>
      <c r="X138" s="153"/>
      <c r="Y138" s="153"/>
      <c r="Z138" s="127"/>
      <c r="AA138" s="127"/>
      <c r="AB138" s="127"/>
      <c r="AC138" s="127"/>
      <c r="AD138" s="153"/>
      <c r="AE138" s="153"/>
      <c r="AF138" s="153"/>
      <c r="AG138" s="153"/>
    </row>
    <row r="139" spans="1:33" ht="17.25" customHeight="1">
      <c r="A139" s="143" t="s">
        <v>41</v>
      </c>
      <c r="B139" s="147" t="s">
        <v>345</v>
      </c>
      <c r="C139" s="148" t="str">
        <f>"B LDU R"&amp;$D$171&amp;",R0,3"</f>
        <v>B LDU R1,R0,3</v>
      </c>
      <c r="D139" s="148" t="str">
        <f>"R["&amp;$D$171&amp;"] &lt;=3"</f>
        <v>R[1] &lt;=3</v>
      </c>
      <c r="E139" s="144" t="s">
        <v>535</v>
      </c>
      <c r="F139" s="127"/>
      <c r="G139" s="127"/>
      <c r="H139" s="127"/>
      <c r="I139" s="127"/>
      <c r="J139" s="127" t="s">
        <v>536</v>
      </c>
      <c r="K139" s="127" t="s">
        <v>536</v>
      </c>
      <c r="L139" s="127" t="s">
        <v>51</v>
      </c>
      <c r="M139" s="127" t="s">
        <v>13</v>
      </c>
      <c r="N139" s="145"/>
      <c r="O139" s="145"/>
      <c r="P139" s="145"/>
      <c r="Q139" s="145"/>
      <c r="R139" s="146"/>
      <c r="S139" s="146"/>
      <c r="T139" s="146"/>
      <c r="U139" s="146"/>
      <c r="V139" s="153"/>
      <c r="W139" s="153"/>
      <c r="X139" s="153"/>
      <c r="Y139" s="153"/>
      <c r="Z139" s="127"/>
      <c r="AA139" s="127"/>
      <c r="AB139" s="127"/>
      <c r="AC139" s="127"/>
      <c r="AD139" s="153"/>
      <c r="AE139" s="153"/>
      <c r="AF139" s="153"/>
      <c r="AG139" s="153"/>
    </row>
    <row r="140" spans="1:33">
      <c r="A140" s="143" t="s">
        <v>47</v>
      </c>
      <c r="B140" s="147" t="s">
        <v>345</v>
      </c>
      <c r="C140" s="148" t="str">
        <f>"B LDU R"&amp;$D$172&amp;",R0,3"</f>
        <v>B LDU R2,R0,3</v>
      </c>
      <c r="D140" s="148" t="str">
        <f>"R["&amp;$D$172&amp;"] &lt;=3"</f>
        <v>R[2] &lt;=3</v>
      </c>
      <c r="E140" s="144" t="s">
        <v>537</v>
      </c>
      <c r="F140" s="127"/>
      <c r="G140" s="127"/>
      <c r="H140" s="127"/>
      <c r="I140" s="127"/>
      <c r="J140" s="127" t="s">
        <v>538</v>
      </c>
      <c r="K140" s="127" t="s">
        <v>538</v>
      </c>
      <c r="L140" s="127" t="s">
        <v>56</v>
      </c>
      <c r="M140" s="127" t="s">
        <v>13</v>
      </c>
      <c r="N140" s="145"/>
      <c r="O140" s="145"/>
      <c r="P140" s="145"/>
      <c r="Q140" s="145"/>
      <c r="R140" s="146"/>
      <c r="S140" s="146"/>
      <c r="T140" s="146"/>
      <c r="U140" s="146"/>
      <c r="V140" s="153"/>
      <c r="W140" s="153"/>
      <c r="X140" s="153"/>
      <c r="Y140" s="153"/>
      <c r="Z140" s="127"/>
      <c r="AA140" s="127"/>
      <c r="AB140" s="127"/>
      <c r="AC140" s="127"/>
      <c r="AD140" s="153"/>
      <c r="AE140" s="153"/>
      <c r="AF140" s="153"/>
      <c r="AG140" s="153"/>
    </row>
    <row r="141" spans="1:33" ht="31.5">
      <c r="A141" s="143" t="s">
        <v>51</v>
      </c>
      <c r="B141" s="147" t="s">
        <v>127</v>
      </c>
      <c r="C141" s="137" t="str">
        <f>"B BNE R"&amp;$D$172&amp;",R"&amp;$D$171&amp;",1"</f>
        <v>B BNE R2,R1,1</v>
      </c>
      <c r="D141" s="152" t="str">
        <f>"if (R["&amp;$D$171&amp;"]!=R["&amp;$D$172&amp;"])"&amp;CHAR(10)&amp;"PC&lt;= PC+1"</f>
        <v>if (R[1]!=R[2])
PC&lt;= PC+1</v>
      </c>
      <c r="E141" s="144" t="s">
        <v>539</v>
      </c>
      <c r="F141" s="127"/>
      <c r="G141" s="127"/>
      <c r="H141" s="127"/>
      <c r="I141" s="127" t="s">
        <v>540</v>
      </c>
      <c r="J141" s="151" t="s">
        <v>538</v>
      </c>
      <c r="K141" s="127" t="s">
        <v>541</v>
      </c>
      <c r="L141" s="127" t="s">
        <v>64</v>
      </c>
      <c r="M141" s="127" t="s">
        <v>13</v>
      </c>
      <c r="N141" s="145"/>
      <c r="O141" s="145"/>
      <c r="P141" s="145"/>
      <c r="Q141" s="145"/>
      <c r="R141" s="146"/>
      <c r="S141" s="146"/>
      <c r="T141" s="146"/>
      <c r="U141" s="146"/>
      <c r="V141" s="153"/>
      <c r="W141" s="153"/>
      <c r="X141" s="153"/>
      <c r="Y141" s="153"/>
      <c r="Z141" s="127"/>
      <c r="AA141" s="127"/>
      <c r="AB141" s="127"/>
      <c r="AC141" s="127"/>
      <c r="AD141" s="153"/>
      <c r="AE141" s="153"/>
      <c r="AF141" s="153"/>
      <c r="AG141" s="153"/>
    </row>
    <row r="142" spans="1:33">
      <c r="A142" s="143" t="s">
        <v>56</v>
      </c>
      <c r="B142" s="147" t="s">
        <v>345</v>
      </c>
      <c r="C142" s="148" t="str">
        <f>"B LDU R"&amp;$D$171&amp;",R0,4"</f>
        <v>B LDU R1,R0,4</v>
      </c>
      <c r="D142" s="148" t="str">
        <f>"R["&amp;$D$171&amp;"] &lt;=4"</f>
        <v>R[1] &lt;=4</v>
      </c>
      <c r="E142" s="144" t="s">
        <v>542</v>
      </c>
      <c r="F142" s="127"/>
      <c r="G142" s="127"/>
      <c r="H142" s="127"/>
      <c r="I142" s="127"/>
      <c r="J142" s="151" t="s">
        <v>543</v>
      </c>
      <c r="K142" s="127" t="s">
        <v>538</v>
      </c>
      <c r="L142" s="127" t="s">
        <v>90</v>
      </c>
      <c r="M142" s="127" t="s">
        <v>13</v>
      </c>
      <c r="N142" s="145"/>
      <c r="O142" s="145"/>
      <c r="P142" s="145"/>
      <c r="Q142" s="145"/>
      <c r="R142" s="146"/>
      <c r="S142" s="146"/>
      <c r="T142" s="146"/>
      <c r="U142" s="146"/>
      <c r="V142" s="153"/>
      <c r="W142" s="153"/>
      <c r="X142" s="153"/>
      <c r="Y142" s="153"/>
      <c r="Z142" s="127"/>
      <c r="AA142" s="127"/>
      <c r="AB142" s="127"/>
      <c r="AC142" s="127"/>
      <c r="AD142" s="153"/>
      <c r="AE142" s="153"/>
      <c r="AF142" s="153"/>
      <c r="AG142" s="153"/>
    </row>
    <row r="143" spans="1:33" ht="31.5">
      <c r="A143" s="143" t="s">
        <v>60</v>
      </c>
      <c r="B143" s="147" t="s">
        <v>127</v>
      </c>
      <c r="C143" s="154" t="str">
        <f>"B BNE R"&amp;$D$172&amp;",R"&amp;$D$171&amp;",1"</f>
        <v>B BNE R2,R1,1</v>
      </c>
      <c r="D143" s="152" t="str">
        <f>"if (R["&amp;$D$171&amp;"]!=R["&amp;$D$172&amp;"])"&amp;CHAR(10)&amp;"PC&lt;= PC+1"</f>
        <v>if (R[1]!=R[2])
PC&lt;= PC+1</v>
      </c>
      <c r="E143" s="144" t="s">
        <v>539</v>
      </c>
      <c r="F143" s="127"/>
      <c r="G143" s="127"/>
      <c r="H143" s="127"/>
      <c r="I143" s="127"/>
      <c r="J143" s="151" t="s">
        <v>544</v>
      </c>
      <c r="K143" s="127" t="s">
        <v>543</v>
      </c>
      <c r="L143" s="127" t="s">
        <v>95</v>
      </c>
      <c r="M143" s="127" t="s">
        <v>13</v>
      </c>
      <c r="N143" s="145"/>
      <c r="O143" s="145"/>
      <c r="P143" s="145"/>
      <c r="Q143" s="145"/>
      <c r="R143" s="146"/>
      <c r="S143" s="146"/>
      <c r="T143" s="146"/>
      <c r="U143" s="146"/>
      <c r="V143" s="153"/>
      <c r="W143" s="153"/>
      <c r="X143" s="153"/>
      <c r="Y143" s="153"/>
      <c r="Z143" s="127"/>
      <c r="AA143" s="127"/>
      <c r="AB143" s="127"/>
      <c r="AC143" s="127"/>
      <c r="AD143" s="153"/>
      <c r="AE143" s="153"/>
      <c r="AF143" s="153"/>
      <c r="AG143" s="153"/>
    </row>
    <row r="144" spans="1:33">
      <c r="A144" s="143" t="s">
        <v>64</v>
      </c>
      <c r="B144" s="147" t="s">
        <v>68</v>
      </c>
      <c r="C144" s="148" t="s">
        <v>521</v>
      </c>
      <c r="D144" s="148" t="s">
        <v>226</v>
      </c>
      <c r="E144" s="144" t="s">
        <v>522</v>
      </c>
      <c r="F144" s="127"/>
      <c r="G144" s="127"/>
      <c r="H144" s="127"/>
      <c r="I144" s="127"/>
      <c r="J144" s="151" t="s">
        <v>545</v>
      </c>
      <c r="K144" s="127" t="s">
        <v>544</v>
      </c>
      <c r="L144" s="127" t="s">
        <v>546</v>
      </c>
      <c r="M144" s="127" t="s">
        <v>13</v>
      </c>
      <c r="N144" s="145"/>
      <c r="O144" s="145"/>
      <c r="P144" s="145"/>
      <c r="Q144" s="145"/>
      <c r="R144" s="146"/>
      <c r="S144" s="146"/>
      <c r="T144" s="146"/>
      <c r="U144" s="146"/>
      <c r="V144" s="153"/>
      <c r="W144" s="153"/>
      <c r="X144" s="153"/>
      <c r="Y144" s="153"/>
      <c r="Z144" s="127"/>
      <c r="AA144" s="127"/>
      <c r="AB144" s="127"/>
      <c r="AC144" s="127"/>
      <c r="AD144" s="153"/>
      <c r="AE144" s="153"/>
      <c r="AF144" s="153"/>
      <c r="AG144" s="153"/>
    </row>
    <row r="145" spans="1:33">
      <c r="A145" s="143" t="s">
        <v>85</v>
      </c>
      <c r="B145" s="147" t="s">
        <v>345</v>
      </c>
      <c r="C145" s="148" t="str">
        <f>"B LDU R"&amp;$D$171&amp;",R0,5"</f>
        <v>B LDU R1,R0,5</v>
      </c>
      <c r="D145" s="148" t="str">
        <f>"R["&amp;$D$171&amp;"] &lt;=5"</f>
        <v>R[1] &lt;=5</v>
      </c>
      <c r="E145" s="144" t="s">
        <v>547</v>
      </c>
      <c r="F145" s="127"/>
      <c r="G145" s="127"/>
      <c r="H145" s="127"/>
      <c r="I145" s="127"/>
      <c r="J145" s="127"/>
      <c r="K145" s="127" t="s">
        <v>545</v>
      </c>
      <c r="L145" s="127"/>
      <c r="M145" s="127"/>
      <c r="N145" s="145"/>
      <c r="O145" s="145"/>
      <c r="P145" s="145"/>
      <c r="Q145" s="145"/>
      <c r="R145" s="146"/>
      <c r="S145" s="146"/>
      <c r="T145" s="146"/>
      <c r="U145" s="146"/>
      <c r="V145" s="153"/>
      <c r="W145" s="153"/>
      <c r="X145" s="153"/>
      <c r="Y145" s="153"/>
      <c r="Z145" s="127"/>
      <c r="AA145" s="127"/>
      <c r="AB145" s="127"/>
      <c r="AC145" s="127"/>
      <c r="AD145" s="153"/>
      <c r="AE145" s="153"/>
      <c r="AF145" s="153"/>
      <c r="AG145" s="153"/>
    </row>
    <row r="146" spans="1:33">
      <c r="A146" s="143" t="s">
        <v>90</v>
      </c>
      <c r="B146" s="147" t="s">
        <v>345</v>
      </c>
      <c r="C146" s="148" t="str">
        <f>"B LDU R"&amp;$D$172&amp;",R0,4"</f>
        <v>B LDU R2,R0,4</v>
      </c>
      <c r="D146" s="148" t="str">
        <f>"R["&amp;$D$172&amp;"] &lt;=4"</f>
        <v>R[2] &lt;=4</v>
      </c>
      <c r="E146" s="144" t="s">
        <v>548</v>
      </c>
      <c r="F146" s="127"/>
      <c r="G146" s="127"/>
      <c r="H146" s="127"/>
      <c r="I146" s="127"/>
      <c r="J146" s="127"/>
      <c r="K146" s="127" t="s">
        <v>533</v>
      </c>
      <c r="L146" s="127"/>
      <c r="M146" s="127"/>
      <c r="N146" s="145"/>
      <c r="O146" s="145"/>
      <c r="P146" s="145"/>
      <c r="Q146" s="145"/>
      <c r="R146" s="146"/>
      <c r="S146" s="146"/>
      <c r="T146" s="146"/>
      <c r="U146" s="146"/>
      <c r="V146" s="153"/>
      <c r="W146" s="153"/>
      <c r="X146" s="153"/>
      <c r="Y146" s="153"/>
      <c r="Z146" s="127"/>
      <c r="AA146" s="127"/>
      <c r="AB146" s="127"/>
      <c r="AC146" s="127"/>
      <c r="AD146" s="153"/>
      <c r="AE146" s="153"/>
      <c r="AF146" s="153"/>
      <c r="AG146" s="153"/>
    </row>
    <row r="147" spans="1:33" ht="31.5">
      <c r="A147" s="143" t="s">
        <v>95</v>
      </c>
      <c r="B147" s="147" t="s">
        <v>131</v>
      </c>
      <c r="C147" s="137" t="str">
        <f>"B BLT R"&amp;$D$172&amp;",R"&amp;$D$171&amp;",-"&amp;A147+1</f>
        <v>B BLT R2,R1,-19</v>
      </c>
      <c r="D147" s="152" t="str">
        <f>"if (R["&amp;$D$171&amp;"]&lt;R["&amp;$D$172&amp;"])"&amp;CHAR(10)&amp;"PC&lt;= PC+-"&amp;A147+1</f>
        <v>if (R[1]&lt;R[2])
PC&lt;= PC+-19</v>
      </c>
      <c r="E147" s="144" t="s">
        <v>549</v>
      </c>
      <c r="F147" s="127"/>
      <c r="G147" s="127"/>
      <c r="H147" s="127"/>
      <c r="I147" s="127"/>
      <c r="J147" s="127"/>
      <c r="K147" s="127" t="s">
        <v>550</v>
      </c>
      <c r="L147" s="127"/>
      <c r="M147" s="127"/>
      <c r="N147" s="145"/>
      <c r="O147" s="145"/>
      <c r="P147" s="145"/>
      <c r="Q147" s="145"/>
      <c r="R147" s="146"/>
      <c r="S147" s="146"/>
      <c r="T147" s="146"/>
      <c r="U147" s="146"/>
      <c r="V147" s="153"/>
      <c r="W147" s="153"/>
      <c r="X147" s="153"/>
      <c r="Y147" s="153"/>
      <c r="Z147" s="127"/>
      <c r="AA147" s="127"/>
      <c r="AB147" s="127"/>
      <c r="AC147" s="127"/>
      <c r="AD147" s="153"/>
      <c r="AE147" s="153"/>
      <c r="AF147" s="153"/>
      <c r="AG147" s="153"/>
    </row>
    <row r="148" spans="1:33">
      <c r="A148" s="143" t="s">
        <v>546</v>
      </c>
      <c r="B148" s="147" t="s">
        <v>345</v>
      </c>
      <c r="C148" s="148" t="str">
        <f>"B LDU R"&amp;$D$171&amp;",R0,3"</f>
        <v>B LDU R1,R0,3</v>
      </c>
      <c r="D148" s="148" t="str">
        <f>"R["&amp;$D$171&amp;"] &lt;=3"</f>
        <v>R[1] &lt;=3</v>
      </c>
      <c r="E148" s="144" t="s">
        <v>535</v>
      </c>
      <c r="F148" s="127"/>
      <c r="G148" s="127"/>
      <c r="H148" s="127"/>
      <c r="I148" s="127"/>
      <c r="J148" s="127"/>
      <c r="K148" s="127" t="s">
        <v>520</v>
      </c>
      <c r="L148" s="127" t="s">
        <v>551</v>
      </c>
      <c r="M148" s="127"/>
      <c r="N148" s="145"/>
      <c r="O148" s="145"/>
      <c r="P148" s="145"/>
      <c r="Q148" s="145"/>
      <c r="R148" s="146"/>
      <c r="S148" s="146"/>
      <c r="T148" s="146"/>
      <c r="U148" s="146"/>
      <c r="V148" s="153"/>
      <c r="W148" s="153"/>
      <c r="X148" s="153"/>
      <c r="Y148" s="153"/>
      <c r="Z148" s="127"/>
      <c r="AA148" s="127"/>
      <c r="AB148" s="127"/>
      <c r="AC148" s="127"/>
      <c r="AD148" s="153"/>
      <c r="AE148" s="153"/>
      <c r="AF148" s="153"/>
      <c r="AG148" s="153"/>
    </row>
    <row r="149" spans="1:33" ht="31.5">
      <c r="A149" s="143" t="s">
        <v>503</v>
      </c>
      <c r="B149" s="147" t="s">
        <v>131</v>
      </c>
      <c r="C149" s="154" t="str">
        <f>"B BLT R"&amp;$D$172&amp;",R"&amp;$D$171&amp;",-"&amp;A149+1</f>
        <v>B BLT R2,R1,-21</v>
      </c>
      <c r="D149" s="152" t="str">
        <f>"if (R["&amp;$D$171&amp;"]&lt;R["&amp;$D$172&amp;"])"&amp;CHAR(10)&amp;"PC&lt;= PC+-"&amp;A149+1</f>
        <v>if (R[1]&lt;R[2])
PC&lt;= PC+-21</v>
      </c>
      <c r="E149" s="144" t="s">
        <v>552</v>
      </c>
      <c r="F149" s="127"/>
      <c r="G149" s="127"/>
      <c r="H149" s="127"/>
      <c r="I149" s="127"/>
      <c r="J149" s="127"/>
      <c r="K149" s="127"/>
      <c r="L149" s="127" t="s">
        <v>553</v>
      </c>
      <c r="M149" s="127"/>
      <c r="N149" s="145"/>
      <c r="O149" s="145"/>
      <c r="P149" s="145"/>
      <c r="Q149" s="145"/>
      <c r="R149" s="146"/>
      <c r="S149" s="146"/>
      <c r="T149" s="146"/>
      <c r="U149" s="146"/>
      <c r="V149" s="153"/>
      <c r="W149" s="153"/>
      <c r="X149" s="153"/>
      <c r="Y149" s="153"/>
      <c r="Z149" s="127"/>
      <c r="AA149" s="127"/>
      <c r="AB149" s="127"/>
      <c r="AC149" s="127"/>
      <c r="AD149" s="153"/>
      <c r="AE149" s="153"/>
      <c r="AF149" s="153"/>
      <c r="AG149" s="153"/>
    </row>
    <row r="150" spans="1:33">
      <c r="A150" s="143" t="s">
        <v>554</v>
      </c>
      <c r="B150" s="147" t="s">
        <v>68</v>
      </c>
      <c r="C150" s="148" t="s">
        <v>521</v>
      </c>
      <c r="D150" s="148" t="s">
        <v>226</v>
      </c>
      <c r="E150" s="144" t="s">
        <v>522</v>
      </c>
      <c r="F150" s="127"/>
      <c r="G150" s="127"/>
      <c r="H150" s="127"/>
      <c r="I150" s="127"/>
      <c r="J150" s="144"/>
      <c r="K150" s="127"/>
      <c r="L150" s="127"/>
      <c r="M150" s="127"/>
      <c r="N150" s="145"/>
      <c r="O150" s="145"/>
      <c r="P150" s="145"/>
      <c r="Q150" s="145"/>
      <c r="R150" s="146"/>
      <c r="S150" s="146"/>
      <c r="T150" s="146"/>
      <c r="U150" s="146"/>
      <c r="V150" s="153"/>
      <c r="W150" s="153"/>
      <c r="X150" s="153"/>
      <c r="Y150" s="153"/>
      <c r="Z150" s="127"/>
      <c r="AA150" s="127"/>
      <c r="AB150" s="127"/>
      <c r="AC150" s="127"/>
      <c r="AD150" s="153"/>
      <c r="AE150" s="153"/>
      <c r="AF150" s="153"/>
      <c r="AG150" s="153"/>
    </row>
    <row r="151" spans="1:33">
      <c r="A151" s="143" t="s">
        <v>555</v>
      </c>
      <c r="B151" s="147"/>
      <c r="C151" s="148"/>
      <c r="D151" s="148"/>
      <c r="E151" s="148"/>
      <c r="F151" s="127"/>
      <c r="G151" s="127"/>
      <c r="H151" s="127"/>
      <c r="I151" s="127"/>
      <c r="J151" s="127"/>
      <c r="K151" s="127"/>
      <c r="L151" s="127"/>
      <c r="M151" s="127"/>
      <c r="N151" s="145"/>
      <c r="O151" s="145"/>
      <c r="P151" s="145"/>
      <c r="Q151" s="145"/>
      <c r="R151" s="146"/>
      <c r="S151" s="146"/>
      <c r="T151" s="146"/>
      <c r="U151" s="146"/>
      <c r="V151" s="153"/>
      <c r="W151" s="153"/>
      <c r="X151" s="153"/>
      <c r="Y151" s="153"/>
      <c r="Z151" s="127"/>
      <c r="AA151" s="127"/>
      <c r="AB151" s="127"/>
      <c r="AC151" s="127"/>
      <c r="AD151" s="153"/>
      <c r="AE151" s="153"/>
      <c r="AF151" s="153"/>
      <c r="AG151" s="153"/>
    </row>
    <row r="152" spans="1:33">
      <c r="A152" s="143" t="s">
        <v>556</v>
      </c>
      <c r="B152" s="147"/>
      <c r="C152" s="148"/>
      <c r="D152" s="148"/>
      <c r="E152" s="148"/>
      <c r="F152" s="127"/>
      <c r="G152" s="127"/>
      <c r="H152" s="127"/>
      <c r="I152" s="127"/>
      <c r="J152" s="127"/>
      <c r="K152" s="127"/>
      <c r="L152" s="127"/>
      <c r="M152" s="127"/>
      <c r="N152" s="145"/>
      <c r="O152" s="145"/>
      <c r="P152" s="145"/>
      <c r="Q152" s="145"/>
      <c r="R152" s="146"/>
      <c r="S152" s="146"/>
      <c r="T152" s="146"/>
      <c r="U152" s="146"/>
      <c r="V152" s="153"/>
      <c r="W152" s="153"/>
      <c r="X152" s="153"/>
      <c r="Y152" s="153"/>
      <c r="Z152" s="127"/>
      <c r="AA152" s="127"/>
      <c r="AB152" s="127"/>
      <c r="AC152" s="127"/>
      <c r="AD152" s="153"/>
      <c r="AE152" s="153"/>
      <c r="AF152" s="153"/>
      <c r="AG152" s="153"/>
    </row>
    <row r="153" spans="1:33">
      <c r="A153" s="143" t="s">
        <v>557</v>
      </c>
      <c r="B153" s="147"/>
      <c r="C153" s="148"/>
      <c r="D153" s="127"/>
      <c r="E153" s="127"/>
      <c r="F153" s="127"/>
      <c r="G153" s="127"/>
      <c r="H153" s="127"/>
      <c r="I153" s="127"/>
      <c r="J153" s="127"/>
      <c r="K153" s="127"/>
      <c r="L153" s="127"/>
      <c r="M153" s="127"/>
      <c r="N153" s="145"/>
      <c r="O153" s="145"/>
      <c r="P153" s="145"/>
      <c r="Q153" s="145"/>
      <c r="R153" s="146"/>
      <c r="S153" s="146"/>
      <c r="T153" s="146"/>
      <c r="U153" s="146"/>
      <c r="V153" s="153"/>
      <c r="W153" s="153"/>
      <c r="X153" s="153"/>
      <c r="Y153" s="153"/>
      <c r="Z153" s="127"/>
      <c r="AA153" s="127"/>
      <c r="AB153" s="127"/>
      <c r="AC153" s="127"/>
      <c r="AD153" s="153"/>
      <c r="AE153" s="153"/>
      <c r="AF153" s="153"/>
      <c r="AG153" s="153"/>
    </row>
    <row r="154" spans="1:33">
      <c r="A154" s="143" t="s">
        <v>479</v>
      </c>
      <c r="B154" s="147"/>
      <c r="C154" s="148"/>
      <c r="D154" s="127"/>
      <c r="E154" s="127"/>
      <c r="F154" s="127"/>
      <c r="G154" s="127"/>
      <c r="H154" s="127"/>
      <c r="I154" s="127"/>
      <c r="J154" s="127"/>
      <c r="K154" s="127"/>
      <c r="L154" s="127"/>
      <c r="M154" s="127"/>
      <c r="N154" s="145"/>
      <c r="O154" s="145"/>
      <c r="P154" s="145"/>
      <c r="Q154" s="145"/>
      <c r="R154" s="146"/>
      <c r="S154" s="146"/>
      <c r="T154" s="146"/>
      <c r="U154" s="146"/>
      <c r="V154" s="153"/>
      <c r="W154" s="153"/>
      <c r="X154" s="153"/>
      <c r="Y154" s="153"/>
      <c r="Z154" s="127"/>
      <c r="AA154" s="127"/>
      <c r="AB154" s="127"/>
      <c r="AC154" s="127"/>
      <c r="AD154" s="153"/>
      <c r="AE154" s="153"/>
      <c r="AF154" s="153"/>
      <c r="AG154" s="153"/>
    </row>
    <row r="155" spans="1:33">
      <c r="A155" s="143" t="s">
        <v>486</v>
      </c>
      <c r="B155" s="147"/>
      <c r="C155" s="148"/>
      <c r="D155" s="127"/>
      <c r="E155" s="127"/>
      <c r="F155" s="127"/>
      <c r="G155" s="127"/>
      <c r="H155" s="127"/>
      <c r="I155" s="127"/>
      <c r="J155" s="127"/>
      <c r="K155" s="127"/>
      <c r="L155" s="127"/>
      <c r="M155" s="127"/>
      <c r="N155" s="145"/>
      <c r="O155" s="145"/>
      <c r="P155" s="145"/>
      <c r="Q155" s="145"/>
      <c r="R155" s="146"/>
      <c r="S155" s="146"/>
      <c r="T155" s="146"/>
      <c r="U155" s="146"/>
      <c r="V155" s="153"/>
      <c r="W155" s="153"/>
      <c r="X155" s="153"/>
      <c r="Y155" s="153"/>
      <c r="Z155" s="127"/>
      <c r="AA155" s="127"/>
      <c r="AB155" s="127"/>
      <c r="AC155" s="127"/>
      <c r="AD155" s="153"/>
      <c r="AE155" s="153"/>
      <c r="AF155" s="153"/>
      <c r="AG155" s="153"/>
    </row>
    <row r="156" spans="1:33">
      <c r="A156" s="143" t="s">
        <v>496</v>
      </c>
      <c r="B156" s="147"/>
      <c r="C156" s="148"/>
      <c r="D156" s="127"/>
      <c r="E156" s="127"/>
      <c r="F156" s="127"/>
      <c r="G156" s="127"/>
      <c r="H156" s="127"/>
      <c r="I156" s="127"/>
      <c r="J156" s="127"/>
      <c r="K156" s="127"/>
      <c r="L156" s="127"/>
      <c r="M156" s="127"/>
      <c r="N156" s="145"/>
      <c r="O156" s="145"/>
      <c r="P156" s="145"/>
      <c r="Q156" s="145"/>
      <c r="R156" s="146"/>
      <c r="S156" s="146"/>
      <c r="T156" s="146"/>
      <c r="U156" s="146"/>
      <c r="V156" s="153"/>
      <c r="W156" s="153"/>
      <c r="X156" s="153"/>
      <c r="Y156" s="153"/>
      <c r="Z156" s="127"/>
      <c r="AA156" s="127"/>
      <c r="AB156" s="127"/>
      <c r="AC156" s="127"/>
      <c r="AD156" s="153"/>
      <c r="AE156" s="153"/>
      <c r="AF156" s="153"/>
      <c r="AG156" s="153"/>
    </row>
    <row r="157" spans="1:33">
      <c r="A157" s="143" t="s">
        <v>558</v>
      </c>
      <c r="B157" s="147"/>
      <c r="C157" s="148"/>
      <c r="D157" s="127"/>
      <c r="E157" s="127"/>
      <c r="F157" s="127"/>
      <c r="G157" s="127"/>
      <c r="H157" s="127"/>
      <c r="I157" s="127"/>
      <c r="J157" s="127"/>
      <c r="K157" s="127"/>
      <c r="L157" s="127"/>
      <c r="M157" s="127"/>
      <c r="N157" s="145"/>
      <c r="O157" s="145"/>
      <c r="P157" s="145"/>
      <c r="Q157" s="145"/>
      <c r="R157" s="146"/>
      <c r="S157" s="146"/>
      <c r="T157" s="146"/>
      <c r="U157" s="146"/>
      <c r="V157" s="153"/>
      <c r="W157" s="153"/>
      <c r="X157" s="153"/>
      <c r="Y157" s="153"/>
      <c r="Z157" s="127"/>
      <c r="AA157" s="127"/>
      <c r="AB157" s="127"/>
      <c r="AC157" s="127"/>
      <c r="AD157" s="153"/>
      <c r="AE157" s="153"/>
      <c r="AF157" s="153"/>
      <c r="AG157" s="153"/>
    </row>
    <row r="158" spans="1:33">
      <c r="A158" s="143" t="s">
        <v>559</v>
      </c>
      <c r="B158" s="147"/>
      <c r="C158" s="148"/>
      <c r="D158" s="127"/>
      <c r="E158" s="127"/>
      <c r="F158" s="127"/>
      <c r="G158" s="127"/>
      <c r="H158" s="127"/>
      <c r="I158" s="127"/>
      <c r="J158" s="127"/>
      <c r="K158" s="127"/>
      <c r="L158" s="127"/>
      <c r="M158" s="127"/>
      <c r="N158" s="145"/>
      <c r="O158" s="145"/>
      <c r="P158" s="145"/>
      <c r="Q158" s="145"/>
      <c r="R158" s="146"/>
      <c r="S158" s="146"/>
      <c r="T158" s="146"/>
      <c r="U158" s="146"/>
      <c r="V158" s="153"/>
      <c r="W158" s="153"/>
      <c r="X158" s="153"/>
      <c r="Y158" s="153"/>
      <c r="Z158" s="127"/>
      <c r="AA158" s="127"/>
      <c r="AB158" s="127"/>
      <c r="AC158" s="127"/>
      <c r="AD158" s="153"/>
      <c r="AE158" s="153"/>
      <c r="AF158" s="153"/>
      <c r="AG158" s="153"/>
    </row>
    <row r="159" spans="1:33">
      <c r="A159" s="143" t="s">
        <v>560</v>
      </c>
      <c r="B159" s="147"/>
      <c r="C159" s="148"/>
      <c r="D159" s="127"/>
      <c r="E159" s="127"/>
      <c r="F159" s="127"/>
      <c r="G159" s="127"/>
      <c r="H159" s="127"/>
      <c r="I159" s="127"/>
      <c r="J159" s="127"/>
      <c r="K159" s="127"/>
      <c r="L159" s="127"/>
      <c r="M159" s="127"/>
      <c r="N159" s="145"/>
      <c r="O159" s="145"/>
      <c r="P159" s="145"/>
      <c r="Q159" s="145"/>
      <c r="R159" s="146"/>
      <c r="S159" s="146"/>
      <c r="T159" s="146"/>
      <c r="U159" s="146"/>
      <c r="V159" s="153"/>
      <c r="W159" s="153"/>
      <c r="X159" s="153"/>
      <c r="Y159" s="153"/>
      <c r="Z159" s="127"/>
      <c r="AA159" s="127"/>
      <c r="AB159" s="127"/>
      <c r="AC159" s="127"/>
      <c r="AD159" s="153"/>
      <c r="AE159" s="153"/>
      <c r="AF159" s="153"/>
      <c r="AG159" s="153"/>
    </row>
    <row r="160" spans="1:33">
      <c r="A160" s="143" t="s">
        <v>561</v>
      </c>
      <c r="B160" s="147"/>
      <c r="C160" s="148"/>
      <c r="D160" s="127"/>
      <c r="E160" s="127"/>
      <c r="F160" s="127"/>
      <c r="G160" s="127"/>
      <c r="H160" s="127"/>
      <c r="I160" s="127"/>
      <c r="J160" s="127"/>
      <c r="K160" s="127"/>
      <c r="L160" s="127"/>
      <c r="M160" s="127"/>
      <c r="N160" s="145"/>
      <c r="O160" s="145"/>
      <c r="P160" s="145"/>
      <c r="Q160" s="145"/>
      <c r="R160" s="146"/>
      <c r="S160" s="146"/>
      <c r="T160" s="146"/>
      <c r="U160" s="146"/>
      <c r="V160" s="153"/>
      <c r="W160" s="153"/>
      <c r="X160" s="153"/>
      <c r="Y160" s="153"/>
      <c r="Z160" s="127"/>
      <c r="AA160" s="127"/>
      <c r="AB160" s="127"/>
      <c r="AC160" s="127"/>
      <c r="AD160" s="153"/>
      <c r="AE160" s="153"/>
      <c r="AF160" s="153"/>
      <c r="AG160" s="153"/>
    </row>
    <row r="161" spans="1:45">
      <c r="A161" s="143" t="s">
        <v>74</v>
      </c>
      <c r="B161" s="155"/>
      <c r="C161" s="148"/>
      <c r="D161" s="127"/>
      <c r="E161" s="127"/>
      <c r="F161" s="127"/>
      <c r="G161" s="127"/>
      <c r="H161" s="127"/>
      <c r="I161" s="127"/>
      <c r="J161" s="127"/>
      <c r="K161" s="127"/>
      <c r="L161" s="127"/>
      <c r="M161" s="127"/>
      <c r="N161" s="145"/>
      <c r="O161" s="145"/>
      <c r="P161" s="145"/>
      <c r="Q161" s="145"/>
      <c r="R161" s="146"/>
      <c r="S161" s="146"/>
      <c r="T161" s="146"/>
      <c r="U161" s="146"/>
      <c r="V161" s="153"/>
      <c r="W161" s="153"/>
      <c r="X161" s="153"/>
      <c r="Y161" s="153"/>
      <c r="Z161" s="127"/>
      <c r="AA161" s="127"/>
      <c r="AB161" s="127"/>
      <c r="AC161" s="127"/>
      <c r="AD161" s="153"/>
      <c r="AE161" s="153"/>
      <c r="AF161" s="153"/>
      <c r="AG161" s="153"/>
    </row>
    <row r="162" spans="1:45" ht="16.5" customHeight="1">
      <c r="A162" s="140"/>
      <c r="B162" s="140"/>
      <c r="C162" s="6" t="s">
        <v>562</v>
      </c>
      <c r="D162" s="6"/>
      <c r="E162" s="6"/>
      <c r="F162" s="140"/>
      <c r="G162" s="140"/>
      <c r="H162" s="140"/>
      <c r="I162" s="140"/>
      <c r="J162" s="140"/>
      <c r="K162" s="140"/>
      <c r="L162" s="140"/>
      <c r="M162" s="140"/>
      <c r="N162" s="140"/>
      <c r="O162" s="140"/>
      <c r="P162" s="140"/>
      <c r="Q162" s="140"/>
      <c r="R162" s="140"/>
      <c r="S162" s="140"/>
      <c r="T162" s="140"/>
      <c r="U162" s="140"/>
      <c r="V162" s="140"/>
      <c r="W162" s="140"/>
      <c r="X162" s="140"/>
      <c r="Y162" s="140"/>
      <c r="Z162" s="140"/>
      <c r="AA162" s="140"/>
      <c r="AB162" s="140"/>
      <c r="AC162" s="140"/>
      <c r="AD162" s="140"/>
      <c r="AE162" s="140"/>
      <c r="AF162" s="140"/>
      <c r="AG162" s="140"/>
    </row>
    <row r="163" spans="1:45">
      <c r="A163" s="140"/>
      <c r="B163" s="140"/>
      <c r="C163" s="140" t="s">
        <v>563</v>
      </c>
      <c r="D163" s="140" t="s">
        <v>564</v>
      </c>
      <c r="E163" s="140" t="s">
        <v>565</v>
      </c>
      <c r="F163" s="140"/>
      <c r="G163" s="140"/>
      <c r="H163" s="140"/>
      <c r="I163" s="140"/>
      <c r="J163" s="140"/>
      <c r="K163" s="140"/>
      <c r="L163" s="140"/>
      <c r="M163" s="140"/>
      <c r="N163" s="140"/>
      <c r="O163" s="140"/>
      <c r="P163" s="140"/>
      <c r="Q163" s="140"/>
      <c r="R163" s="140"/>
      <c r="S163" s="140"/>
      <c r="T163" s="140"/>
      <c r="U163" s="140"/>
      <c r="V163" s="140"/>
      <c r="W163" s="140"/>
      <c r="X163" s="140"/>
      <c r="Y163" s="140"/>
      <c r="Z163" s="140"/>
      <c r="AA163" s="140"/>
      <c r="AB163" s="140"/>
      <c r="AC163" s="140"/>
      <c r="AD163" s="140"/>
      <c r="AE163" s="140"/>
      <c r="AF163" s="140"/>
      <c r="AG163" s="140"/>
    </row>
    <row r="164" spans="1:45">
      <c r="A164" s="140"/>
      <c r="B164" s="140"/>
      <c r="C164" s="140" t="s">
        <v>566</v>
      </c>
      <c r="D164" s="140" t="s">
        <v>70</v>
      </c>
      <c r="E164" s="140" t="s">
        <v>159</v>
      </c>
      <c r="F164" s="140"/>
      <c r="G164" s="140"/>
      <c r="H164" s="140"/>
      <c r="I164" s="140"/>
      <c r="J164" s="140"/>
      <c r="K164" s="140"/>
      <c r="L164" s="140"/>
      <c r="M164" s="140"/>
      <c r="N164" s="140"/>
      <c r="O164" s="140"/>
      <c r="P164" s="140"/>
      <c r="Q164" s="140"/>
      <c r="R164" s="140"/>
      <c r="S164" s="140"/>
      <c r="T164" s="140"/>
      <c r="U164" s="140"/>
      <c r="V164" s="140"/>
      <c r="W164" s="140"/>
      <c r="X164" s="140"/>
      <c r="Y164" s="140"/>
      <c r="Z164" s="140"/>
      <c r="AA164" s="140"/>
      <c r="AB164" s="140"/>
      <c r="AC164" s="140"/>
      <c r="AD164" s="140"/>
      <c r="AE164" s="140"/>
      <c r="AF164" s="140"/>
      <c r="AG164" s="140"/>
    </row>
    <row r="165" spans="1:45">
      <c r="A165" s="140"/>
      <c r="B165" s="140"/>
      <c r="C165" s="140" t="s">
        <v>228</v>
      </c>
      <c r="D165" s="140" t="s">
        <v>13</v>
      </c>
      <c r="E165" s="140" t="s">
        <v>164</v>
      </c>
      <c r="F165" s="140"/>
      <c r="G165" s="140"/>
      <c r="H165" s="140"/>
      <c r="I165" s="140"/>
      <c r="J165" s="140"/>
      <c r="K165" s="140"/>
      <c r="L165" s="140"/>
      <c r="M165" s="140"/>
      <c r="N165" s="140"/>
      <c r="O165" s="140"/>
      <c r="P165" s="140"/>
      <c r="Q165" s="140"/>
      <c r="R165" s="140"/>
      <c r="S165" s="140"/>
      <c r="T165" s="140"/>
      <c r="U165" s="140"/>
      <c r="V165" s="140"/>
      <c r="W165" s="140"/>
      <c r="X165" s="140"/>
      <c r="Y165" s="140"/>
      <c r="Z165" s="140"/>
      <c r="AA165" s="140"/>
      <c r="AB165" s="140"/>
      <c r="AC165" s="140"/>
      <c r="AD165" s="140"/>
      <c r="AE165" s="140"/>
      <c r="AF165" s="140"/>
      <c r="AG165" s="140"/>
    </row>
    <row r="166" spans="1:45">
      <c r="A166" s="140"/>
      <c r="B166" s="140"/>
      <c r="C166" s="140" t="s">
        <v>341</v>
      </c>
      <c r="D166" s="140" t="s">
        <v>19</v>
      </c>
      <c r="E166" s="140" t="s">
        <v>122</v>
      </c>
      <c r="F166" s="140"/>
      <c r="G166" s="140"/>
      <c r="H166" s="140"/>
      <c r="I166" s="140"/>
      <c r="J166" s="140"/>
      <c r="K166" s="140"/>
      <c r="L166" s="140"/>
      <c r="M166" s="140"/>
      <c r="N166" s="140"/>
      <c r="O166" s="140"/>
      <c r="P166" s="140"/>
      <c r="Q166" s="140"/>
      <c r="R166" s="140"/>
      <c r="S166" s="140"/>
      <c r="T166" s="140"/>
      <c r="U166" s="140"/>
      <c r="V166" s="140"/>
      <c r="W166" s="140"/>
      <c r="X166" s="140"/>
      <c r="Y166" s="140"/>
      <c r="Z166" s="140"/>
      <c r="AA166" s="140"/>
      <c r="AB166" s="140"/>
      <c r="AC166" s="140"/>
      <c r="AD166" s="140"/>
      <c r="AE166" s="140"/>
      <c r="AF166" s="140"/>
      <c r="AG166" s="140"/>
    </row>
    <row r="167" spans="1:45">
      <c r="A167" s="140"/>
      <c r="B167" s="140"/>
      <c r="C167" s="140" t="s">
        <v>375</v>
      </c>
      <c r="D167" s="140" t="s">
        <v>41</v>
      </c>
      <c r="E167" s="140" t="s">
        <v>127</v>
      </c>
      <c r="F167" s="140"/>
      <c r="G167" s="140"/>
      <c r="H167" s="140"/>
      <c r="I167" s="140"/>
      <c r="J167" s="140"/>
      <c r="K167" s="140"/>
      <c r="L167" s="140"/>
      <c r="M167" s="140"/>
      <c r="N167" s="140"/>
      <c r="O167" s="140"/>
      <c r="P167" s="140"/>
      <c r="Q167" s="140"/>
      <c r="R167" s="140"/>
      <c r="S167" s="140"/>
      <c r="T167" s="140"/>
      <c r="U167" s="140"/>
      <c r="V167" s="140"/>
      <c r="W167" s="140"/>
      <c r="X167" s="140"/>
      <c r="Y167" s="140"/>
      <c r="Z167" s="140"/>
      <c r="AA167" s="140"/>
      <c r="AB167" s="140"/>
      <c r="AC167" s="140"/>
      <c r="AD167" s="140"/>
      <c r="AE167" s="140"/>
      <c r="AF167" s="140"/>
      <c r="AG167" s="140"/>
    </row>
    <row r="168" spans="1:45">
      <c r="A168" s="140"/>
      <c r="B168" s="140"/>
      <c r="C168" s="140" t="s">
        <v>423</v>
      </c>
      <c r="D168" s="140" t="s">
        <v>85</v>
      </c>
      <c r="E168" s="140" t="s">
        <v>131</v>
      </c>
      <c r="F168" s="140"/>
      <c r="G168" s="140"/>
      <c r="H168" s="140"/>
      <c r="I168" s="140"/>
      <c r="J168" s="140"/>
      <c r="K168" s="140"/>
      <c r="L168" s="140"/>
      <c r="M168" s="140"/>
      <c r="N168" s="140"/>
      <c r="O168" s="140"/>
      <c r="P168" s="140"/>
      <c r="Q168" s="140"/>
      <c r="R168" s="140"/>
      <c r="S168" s="140"/>
      <c r="T168" s="140"/>
      <c r="U168" s="140"/>
      <c r="V168" s="140"/>
      <c r="W168" s="140"/>
      <c r="X168" s="140"/>
      <c r="Y168" s="140"/>
      <c r="Z168" s="140"/>
      <c r="AA168" s="140"/>
      <c r="AB168" s="140"/>
      <c r="AC168" s="140"/>
      <c r="AD168" s="140"/>
      <c r="AE168" s="140"/>
      <c r="AF168" s="140"/>
      <c r="AG168" s="140"/>
    </row>
    <row r="171" spans="1:45">
      <c r="C171" s="118" t="s">
        <v>567</v>
      </c>
      <c r="D171" s="118" t="s">
        <v>10</v>
      </c>
    </row>
    <row r="172" spans="1:45">
      <c r="C172" s="118" t="s">
        <v>568</v>
      </c>
      <c r="D172" s="118" t="s">
        <v>13</v>
      </c>
    </row>
    <row r="174" spans="1:45" ht="18.75">
      <c r="A174" s="134" t="s">
        <v>569</v>
      </c>
      <c r="B174" s="135"/>
      <c r="C174" s="135"/>
      <c r="AB174" s="5" t="s">
        <v>570</v>
      </c>
      <c r="AC174" s="5"/>
      <c r="AD174" s="5"/>
      <c r="AE174" s="5"/>
      <c r="AF174" s="5"/>
      <c r="AG174" s="5"/>
      <c r="AH174" s="5"/>
      <c r="AI174" s="5"/>
      <c r="AJ174" s="5"/>
      <c r="AK174" s="5"/>
      <c r="AL174" s="156"/>
      <c r="AM174" s="156"/>
      <c r="AN174" s="156"/>
      <c r="AO174" s="156"/>
    </row>
    <row r="175" spans="1:45" ht="18.75">
      <c r="A175" s="11" t="s">
        <v>377</v>
      </c>
      <c r="B175" s="11"/>
      <c r="C175" s="11"/>
      <c r="D175" s="5" t="s">
        <v>571</v>
      </c>
      <c r="E175" s="5"/>
      <c r="F175" s="5"/>
      <c r="G175" s="5"/>
      <c r="H175" s="12" t="s">
        <v>572</v>
      </c>
      <c r="I175" s="12"/>
      <c r="J175" s="12"/>
      <c r="K175" s="12"/>
      <c r="L175" s="5" t="s">
        <v>573</v>
      </c>
      <c r="M175" s="5"/>
      <c r="N175" s="5"/>
      <c r="O175" s="5"/>
      <c r="P175" s="12" t="s">
        <v>574</v>
      </c>
      <c r="Q175" s="12"/>
      <c r="R175" s="12"/>
      <c r="S175" s="12"/>
      <c r="T175" s="5" t="s">
        <v>575</v>
      </c>
      <c r="U175" s="5"/>
      <c r="V175" s="5"/>
      <c r="W175" s="5"/>
      <c r="X175" s="12" t="s">
        <v>576</v>
      </c>
      <c r="Y175" s="12"/>
      <c r="Z175" s="12"/>
      <c r="AA175" s="12"/>
      <c r="AB175" s="4" t="s">
        <v>194</v>
      </c>
      <c r="AC175" s="4" t="s">
        <v>195</v>
      </c>
      <c r="AD175" s="4" t="s">
        <v>195</v>
      </c>
      <c r="AE175" s="4" t="s">
        <v>197</v>
      </c>
      <c r="AF175" s="4" t="s">
        <v>196</v>
      </c>
      <c r="AG175" s="4" t="s">
        <v>191</v>
      </c>
      <c r="AH175" s="4" t="s">
        <v>223</v>
      </c>
      <c r="AI175" s="4"/>
      <c r="AJ175" s="158"/>
      <c r="AK175" s="158"/>
      <c r="AL175" s="156"/>
      <c r="AM175" s="156" t="s">
        <v>577</v>
      </c>
      <c r="AN175" s="156" t="s">
        <v>578</v>
      </c>
      <c r="AO175" s="156" t="s">
        <v>579</v>
      </c>
      <c r="AR175"/>
      <c r="AS175" s="118" t="s">
        <v>580</v>
      </c>
    </row>
    <row r="176" spans="1:45">
      <c r="A176" s="128" t="s">
        <v>464</v>
      </c>
      <c r="B176" s="124" t="s">
        <v>386</v>
      </c>
      <c r="C176" s="124" t="s">
        <v>234</v>
      </c>
      <c r="D176" s="157" t="s">
        <v>387</v>
      </c>
      <c r="E176" s="157" t="s">
        <v>388</v>
      </c>
      <c r="F176" s="157" t="s">
        <v>191</v>
      </c>
      <c r="G176" s="157" t="s">
        <v>389</v>
      </c>
      <c r="H176" s="124" t="s">
        <v>387</v>
      </c>
      <c r="I176" s="124" t="s">
        <v>388</v>
      </c>
      <c r="J176" s="124" t="s">
        <v>191</v>
      </c>
      <c r="K176" s="124" t="s">
        <v>389</v>
      </c>
      <c r="L176" s="157" t="s">
        <v>387</v>
      </c>
      <c r="M176" s="157" t="s">
        <v>388</v>
      </c>
      <c r="N176" s="157" t="s">
        <v>191</v>
      </c>
      <c r="O176" s="157" t="s">
        <v>389</v>
      </c>
      <c r="P176" s="124" t="s">
        <v>387</v>
      </c>
      <c r="Q176" s="124" t="s">
        <v>388</v>
      </c>
      <c r="R176" s="124" t="s">
        <v>191</v>
      </c>
      <c r="S176" s="124" t="s">
        <v>389</v>
      </c>
      <c r="T176" s="157" t="s">
        <v>387</v>
      </c>
      <c r="U176" s="157" t="s">
        <v>388</v>
      </c>
      <c r="V176" s="157" t="s">
        <v>191</v>
      </c>
      <c r="W176" s="157" t="s">
        <v>389</v>
      </c>
      <c r="X176" s="124" t="s">
        <v>387</v>
      </c>
      <c r="Y176" s="124" t="s">
        <v>388</v>
      </c>
      <c r="Z176" s="124" t="s">
        <v>191</v>
      </c>
      <c r="AA176" s="124" t="s">
        <v>389</v>
      </c>
      <c r="AB176" s="157" t="s">
        <v>387</v>
      </c>
      <c r="AC176" s="157" t="s">
        <v>388</v>
      </c>
      <c r="AD176" s="157" t="s">
        <v>387</v>
      </c>
      <c r="AE176" s="157" t="s">
        <v>388</v>
      </c>
      <c r="AF176" s="157" t="s">
        <v>387</v>
      </c>
      <c r="AG176" s="157" t="s">
        <v>388</v>
      </c>
      <c r="AH176" s="157" t="s">
        <v>387</v>
      </c>
      <c r="AI176" s="157" t="s">
        <v>388</v>
      </c>
      <c r="AJ176" s="157" t="s">
        <v>191</v>
      </c>
      <c r="AK176" s="157" t="s">
        <v>389</v>
      </c>
      <c r="AL176" s="156"/>
      <c r="AM176" s="156" t="s">
        <v>70</v>
      </c>
      <c r="AN176" s="156" t="s">
        <v>70</v>
      </c>
      <c r="AO176" s="156" t="s">
        <v>70</v>
      </c>
      <c r="AR176"/>
      <c r="AS176" s="118" t="s">
        <v>13</v>
      </c>
    </row>
    <row r="177" spans="1:45">
      <c r="A177" s="128" t="s">
        <v>437</v>
      </c>
      <c r="B177" s="37" t="s">
        <v>438</v>
      </c>
      <c r="C177" s="128" t="s">
        <v>439</v>
      </c>
      <c r="D177" s="159" t="s">
        <v>440</v>
      </c>
      <c r="E177" s="159" t="s">
        <v>439</v>
      </c>
      <c r="F177" s="159" t="s">
        <v>70</v>
      </c>
      <c r="G177" s="159" t="s">
        <v>13</v>
      </c>
      <c r="H177" s="128"/>
      <c r="I177" s="128" t="s">
        <v>13</v>
      </c>
      <c r="J177" s="128" t="s">
        <v>70</v>
      </c>
      <c r="K177" s="128" t="s">
        <v>13</v>
      </c>
      <c r="L177" s="159"/>
      <c r="M177" s="159"/>
      <c r="N177" s="159" t="s">
        <v>70</v>
      </c>
      <c r="O177" s="160"/>
      <c r="P177" s="128" t="s">
        <v>70</v>
      </c>
      <c r="Q177" s="128"/>
      <c r="R177" s="128" t="s">
        <v>70</v>
      </c>
      <c r="S177" s="128" t="s">
        <v>16</v>
      </c>
      <c r="T177" s="159" t="s">
        <v>13</v>
      </c>
      <c r="U177" s="159"/>
      <c r="V177" s="159" t="s">
        <v>70</v>
      </c>
      <c r="W177" s="159" t="s">
        <v>13</v>
      </c>
      <c r="X177" s="128"/>
      <c r="Y177" s="128"/>
      <c r="Z177" s="128" t="s">
        <v>70</v>
      </c>
      <c r="AA177" s="128" t="s">
        <v>19</v>
      </c>
      <c r="AB177" s="159" t="s">
        <v>13</v>
      </c>
      <c r="AC177" s="159" t="s">
        <v>13</v>
      </c>
      <c r="AD177" s="159" t="s">
        <v>70</v>
      </c>
      <c r="AE177" s="159" t="s">
        <v>70</v>
      </c>
      <c r="AF177" s="159" t="s">
        <v>70</v>
      </c>
      <c r="AG177" s="159" t="s">
        <v>70</v>
      </c>
      <c r="AH177" s="159"/>
      <c r="AI177" s="159"/>
      <c r="AJ177" s="159" t="s">
        <v>70</v>
      </c>
      <c r="AK177" s="159" t="s">
        <v>10</v>
      </c>
      <c r="AL177" s="156"/>
      <c r="AM177" s="156" t="s">
        <v>13</v>
      </c>
      <c r="AN177" s="156" t="s">
        <v>70</v>
      </c>
      <c r="AO177" s="156" t="s">
        <v>70</v>
      </c>
      <c r="AP177" s="161" t="s">
        <v>581</v>
      </c>
      <c r="AQ177" s="128" t="s">
        <v>437</v>
      </c>
      <c r="AR177" s="37" t="s">
        <v>438</v>
      </c>
      <c r="AS177" s="118" t="s">
        <v>13</v>
      </c>
    </row>
    <row r="178" spans="1:45" ht="47.25">
      <c r="A178" s="128" t="s">
        <v>442</v>
      </c>
      <c r="B178" s="91" t="s">
        <v>582</v>
      </c>
      <c r="C178" s="128" t="s">
        <v>444</v>
      </c>
      <c r="D178" s="159" t="s">
        <v>439</v>
      </c>
      <c r="E178" s="159" t="s">
        <v>444</v>
      </c>
      <c r="F178" s="159" t="s">
        <v>10</v>
      </c>
      <c r="G178" s="159" t="s">
        <v>13</v>
      </c>
      <c r="H178" s="128"/>
      <c r="I178" s="128" t="s">
        <v>51</v>
      </c>
      <c r="J178" s="128" t="s">
        <v>10</v>
      </c>
      <c r="K178" s="128" t="s">
        <v>13</v>
      </c>
      <c r="L178" s="159"/>
      <c r="M178" s="159"/>
      <c r="N178" s="159" t="s">
        <v>10</v>
      </c>
      <c r="O178" s="160"/>
      <c r="P178" s="128" t="s">
        <v>70</v>
      </c>
      <c r="Q178" s="128"/>
      <c r="R178" s="128" t="s">
        <v>10</v>
      </c>
      <c r="S178" s="128" t="s">
        <v>16</v>
      </c>
      <c r="T178" s="159" t="s">
        <v>13</v>
      </c>
      <c r="U178" s="159"/>
      <c r="V178" s="159" t="s">
        <v>10</v>
      </c>
      <c r="W178" s="159" t="s">
        <v>13</v>
      </c>
      <c r="X178" s="128"/>
      <c r="Y178" s="128"/>
      <c r="Z178" s="128" t="s">
        <v>10</v>
      </c>
      <c r="AA178" s="128" t="s">
        <v>19</v>
      </c>
      <c r="AB178" s="159" t="s">
        <v>13</v>
      </c>
      <c r="AC178" s="159" t="s">
        <v>13</v>
      </c>
      <c r="AD178" s="159" t="s">
        <v>70</v>
      </c>
      <c r="AE178" s="159" t="s">
        <v>70</v>
      </c>
      <c r="AF178" s="159" t="s">
        <v>70</v>
      </c>
      <c r="AG178" s="159" t="s">
        <v>448</v>
      </c>
      <c r="AH178" s="159"/>
      <c r="AI178" s="159"/>
      <c r="AJ178" s="159" t="s">
        <v>10</v>
      </c>
      <c r="AK178" s="159" t="s">
        <v>10</v>
      </c>
      <c r="AL178" s="156"/>
      <c r="AM178" s="156" t="s">
        <v>13</v>
      </c>
      <c r="AN178" s="156" t="s">
        <v>70</v>
      </c>
      <c r="AO178" s="156" t="s">
        <v>448</v>
      </c>
      <c r="AP178" s="161" t="s">
        <v>583</v>
      </c>
      <c r="AQ178" s="128" t="s">
        <v>442</v>
      </c>
      <c r="AR178" s="91" t="s">
        <v>582</v>
      </c>
      <c r="AS178" s="118" t="s">
        <v>448</v>
      </c>
    </row>
    <row r="179" spans="1:45" ht="31.5">
      <c r="A179" s="128" t="s">
        <v>584</v>
      </c>
      <c r="B179" s="43" t="s">
        <v>585</v>
      </c>
      <c r="C179" s="128" t="s">
        <v>586</v>
      </c>
      <c r="D179" s="159" t="s">
        <v>444</v>
      </c>
      <c r="E179" s="159" t="s">
        <v>586</v>
      </c>
      <c r="F179" s="159" t="s">
        <v>13</v>
      </c>
      <c r="G179" s="159" t="s">
        <v>13</v>
      </c>
      <c r="H179" s="128"/>
      <c r="I179" s="128" t="s">
        <v>226</v>
      </c>
      <c r="J179" s="128" t="s">
        <v>13</v>
      </c>
      <c r="K179" s="128" t="s">
        <v>13</v>
      </c>
      <c r="L179" s="159"/>
      <c r="M179" s="159"/>
      <c r="N179" s="159" t="s">
        <v>13</v>
      </c>
      <c r="O179" s="160"/>
      <c r="P179" s="128" t="s">
        <v>13</v>
      </c>
      <c r="Q179" s="128"/>
      <c r="R179" s="128" t="s">
        <v>13</v>
      </c>
      <c r="S179" s="128" t="s">
        <v>16</v>
      </c>
      <c r="T179" s="159" t="s">
        <v>448</v>
      </c>
      <c r="U179" s="159"/>
      <c r="V179" s="159" t="s">
        <v>13</v>
      </c>
      <c r="W179" s="159" t="s">
        <v>13</v>
      </c>
      <c r="X179" s="128"/>
      <c r="Y179" s="128"/>
      <c r="Z179" s="128" t="s">
        <v>13</v>
      </c>
      <c r="AA179" s="128" t="s">
        <v>19</v>
      </c>
      <c r="AB179" s="159" t="s">
        <v>13</v>
      </c>
      <c r="AC179" s="159" t="s">
        <v>13</v>
      </c>
      <c r="AD179" s="159" t="s">
        <v>70</v>
      </c>
      <c r="AE179" s="159" t="s">
        <v>70</v>
      </c>
      <c r="AF179" s="159" t="s">
        <v>448</v>
      </c>
      <c r="AG179" s="159" t="s">
        <v>448</v>
      </c>
      <c r="AH179" s="159"/>
      <c r="AI179" s="159"/>
      <c r="AJ179" s="159" t="s">
        <v>13</v>
      </c>
      <c r="AK179" s="159" t="s">
        <v>10</v>
      </c>
      <c r="AL179" s="156"/>
      <c r="AM179" s="156" t="s">
        <v>13</v>
      </c>
      <c r="AN179" s="156" t="s">
        <v>70</v>
      </c>
      <c r="AO179" s="156"/>
      <c r="AP179" s="135" t="s">
        <v>587</v>
      </c>
      <c r="AQ179" s="128" t="s">
        <v>584</v>
      </c>
      <c r="AR179" s="43" t="s">
        <v>585</v>
      </c>
      <c r="AS179" s="118" t="s">
        <v>588</v>
      </c>
    </row>
    <row r="180" spans="1:45" ht="47.25">
      <c r="A180" s="128" t="s">
        <v>589</v>
      </c>
      <c r="B180" s="43" t="s">
        <v>590</v>
      </c>
      <c r="C180" s="128" t="s">
        <v>591</v>
      </c>
      <c r="D180" s="159" t="s">
        <v>586</v>
      </c>
      <c r="E180" s="159" t="s">
        <v>591</v>
      </c>
      <c r="F180" s="159" t="s">
        <v>16</v>
      </c>
      <c r="G180" s="159" t="s">
        <v>13</v>
      </c>
      <c r="H180" s="128"/>
      <c r="I180" s="128" t="s">
        <v>226</v>
      </c>
      <c r="J180" s="128" t="s">
        <v>16</v>
      </c>
      <c r="K180" s="128" t="s">
        <v>13</v>
      </c>
      <c r="L180" s="159"/>
      <c r="M180" s="159"/>
      <c r="N180" s="159" t="s">
        <v>16</v>
      </c>
      <c r="O180" s="160"/>
      <c r="P180" s="128" t="s">
        <v>70</v>
      </c>
      <c r="Q180" s="128"/>
      <c r="R180" s="128" t="s">
        <v>16</v>
      </c>
      <c r="S180" s="128" t="s">
        <v>16</v>
      </c>
      <c r="T180" s="159" t="s">
        <v>588</v>
      </c>
      <c r="U180" s="159"/>
      <c r="V180" s="159" t="s">
        <v>16</v>
      </c>
      <c r="W180" s="159" t="s">
        <v>13</v>
      </c>
      <c r="X180" s="128"/>
      <c r="Y180" s="128"/>
      <c r="Z180" s="128" t="s">
        <v>16</v>
      </c>
      <c r="AA180" s="128" t="s">
        <v>19</v>
      </c>
      <c r="AB180" s="159" t="s">
        <v>13</v>
      </c>
      <c r="AC180" s="159" t="s">
        <v>448</v>
      </c>
      <c r="AD180" s="159" t="s">
        <v>70</v>
      </c>
      <c r="AE180" s="159" t="s">
        <v>70</v>
      </c>
      <c r="AF180" s="159"/>
      <c r="AG180" s="159" t="s">
        <v>448</v>
      </c>
      <c r="AH180" s="159"/>
      <c r="AI180" s="159"/>
      <c r="AJ180" s="159" t="s">
        <v>16</v>
      </c>
      <c r="AK180" s="159" t="s">
        <v>10</v>
      </c>
      <c r="AL180" s="156"/>
      <c r="AM180" s="156" t="s">
        <v>13</v>
      </c>
      <c r="AN180" s="156" t="s">
        <v>70</v>
      </c>
      <c r="AO180" s="156" t="s">
        <v>448</v>
      </c>
      <c r="AP180" s="162" t="s">
        <v>592</v>
      </c>
      <c r="AQ180" s="128" t="s">
        <v>589</v>
      </c>
      <c r="AR180" s="43" t="s">
        <v>590</v>
      </c>
      <c r="AS180" s="118" t="s">
        <v>588</v>
      </c>
    </row>
    <row r="181" spans="1:45" ht="63">
      <c r="A181" s="128" t="s">
        <v>593</v>
      </c>
      <c r="B181" s="37" t="str">
        <f>"EA &lt;= (R[1] + 1)"&amp;CHAR(10)&amp;"MEM[3] &lt;= R[EA]"</f>
        <v>EA &lt;= (R[1] + 1)
MEM[3] &lt;= R[EA]</v>
      </c>
      <c r="C181" s="128" t="s">
        <v>594</v>
      </c>
      <c r="D181" s="159" t="s">
        <v>591</v>
      </c>
      <c r="E181" s="159" t="s">
        <v>594</v>
      </c>
      <c r="F181" s="159" t="s">
        <v>19</v>
      </c>
      <c r="G181" s="159" t="s">
        <v>13</v>
      </c>
      <c r="H181" s="128"/>
      <c r="I181" s="128" t="s">
        <v>10</v>
      </c>
      <c r="J181" s="128" t="s">
        <v>19</v>
      </c>
      <c r="K181" s="128" t="s">
        <v>13</v>
      </c>
      <c r="L181" s="159"/>
      <c r="M181" s="159"/>
      <c r="N181" s="159" t="s">
        <v>19</v>
      </c>
      <c r="O181" s="160"/>
      <c r="P181" s="128" t="s">
        <v>70</v>
      </c>
      <c r="Q181" s="128"/>
      <c r="R181" s="128" t="s">
        <v>19</v>
      </c>
      <c r="S181" s="128" t="s">
        <v>16</v>
      </c>
      <c r="T181" s="159" t="s">
        <v>588</v>
      </c>
      <c r="U181" s="159"/>
      <c r="V181" s="159" t="s">
        <v>19</v>
      </c>
      <c r="W181" s="159" t="s">
        <v>13</v>
      </c>
      <c r="X181" s="128"/>
      <c r="Y181" s="128"/>
      <c r="Z181" s="128" t="s">
        <v>19</v>
      </c>
      <c r="AA181" s="128" t="s">
        <v>19</v>
      </c>
      <c r="AB181" s="159" t="s">
        <v>13</v>
      </c>
      <c r="AC181" s="159" t="s">
        <v>448</v>
      </c>
      <c r="AD181" s="159" t="s">
        <v>70</v>
      </c>
      <c r="AE181" s="159" t="s">
        <v>70</v>
      </c>
      <c r="AF181" s="159" t="s">
        <v>448</v>
      </c>
      <c r="AG181" s="159" t="s">
        <v>448</v>
      </c>
      <c r="AH181" s="159"/>
      <c r="AI181" s="159"/>
      <c r="AJ181" s="159" t="s">
        <v>19</v>
      </c>
      <c r="AK181" s="159" t="s">
        <v>10</v>
      </c>
      <c r="AL181" s="156"/>
      <c r="AM181" s="156" t="s">
        <v>13</v>
      </c>
      <c r="AN181" s="156" t="s">
        <v>70</v>
      </c>
      <c r="AO181" s="156" t="s">
        <v>448</v>
      </c>
      <c r="AP181" s="135" t="s">
        <v>595</v>
      </c>
      <c r="AQ181" s="128" t="s">
        <v>593</v>
      </c>
      <c r="AR181" s="37" t="str">
        <f>"EA &lt;= (R[1] + 1)"&amp;CHAR(10)&amp;"MEM[3] &lt;= R[EA]"</f>
        <v>EA &lt;= (R[1] + 1)
MEM[3] &lt;= R[EA]</v>
      </c>
      <c r="AS181" s="118" t="s">
        <v>16</v>
      </c>
    </row>
    <row r="182" spans="1:45">
      <c r="A182" s="128" t="s">
        <v>391</v>
      </c>
      <c r="B182" s="43" t="s">
        <v>392</v>
      </c>
      <c r="C182" s="128" t="s">
        <v>393</v>
      </c>
      <c r="D182" s="159" t="s">
        <v>594</v>
      </c>
      <c r="E182" s="159" t="s">
        <v>393</v>
      </c>
      <c r="F182" s="159" t="s">
        <v>22</v>
      </c>
      <c r="G182" s="159" t="s">
        <v>13</v>
      </c>
      <c r="H182" s="128"/>
      <c r="I182" s="128" t="s">
        <v>10</v>
      </c>
      <c r="J182" s="128" t="s">
        <v>22</v>
      </c>
      <c r="K182" s="128" t="s">
        <v>13</v>
      </c>
      <c r="L182" s="159"/>
      <c r="M182" s="159"/>
      <c r="N182" s="159" t="s">
        <v>22</v>
      </c>
      <c r="O182" s="160"/>
      <c r="P182" s="128" t="s">
        <v>13</v>
      </c>
      <c r="Q182" s="128"/>
      <c r="R182" s="128" t="s">
        <v>22</v>
      </c>
      <c r="S182" s="128" t="s">
        <v>16</v>
      </c>
      <c r="T182" s="159" t="s">
        <v>16</v>
      </c>
      <c r="U182" s="159"/>
      <c r="V182" s="159" t="s">
        <v>22</v>
      </c>
      <c r="W182" s="159" t="s">
        <v>13</v>
      </c>
      <c r="X182" s="128"/>
      <c r="Y182" s="128"/>
      <c r="Z182" s="128" t="s">
        <v>22</v>
      </c>
      <c r="AA182" s="128" t="s">
        <v>19</v>
      </c>
      <c r="AB182" s="159" t="s">
        <v>13</v>
      </c>
      <c r="AC182" s="159" t="s">
        <v>10</v>
      </c>
      <c r="AD182" s="159" t="s">
        <v>70</v>
      </c>
      <c r="AE182" s="159" t="s">
        <v>70</v>
      </c>
      <c r="AF182" s="159" t="s">
        <v>448</v>
      </c>
      <c r="AG182" s="159" t="s">
        <v>448</v>
      </c>
      <c r="AH182" s="159"/>
      <c r="AI182" s="159"/>
      <c r="AJ182" s="159" t="s">
        <v>22</v>
      </c>
      <c r="AK182" s="159" t="s">
        <v>10</v>
      </c>
      <c r="AL182" s="156"/>
      <c r="AM182" s="156" t="s">
        <v>10</v>
      </c>
      <c r="AN182" s="156" t="s">
        <v>70</v>
      </c>
      <c r="AO182" s="156" t="s">
        <v>448</v>
      </c>
      <c r="AP182" s="161" t="s">
        <v>596</v>
      </c>
      <c r="AQ182" s="128" t="s">
        <v>391</v>
      </c>
      <c r="AR182" s="43" t="s">
        <v>392</v>
      </c>
      <c r="AS182" s="118" t="s">
        <v>10</v>
      </c>
    </row>
    <row r="183" spans="1:45" ht="78.75">
      <c r="A183" s="128" t="s">
        <v>597</v>
      </c>
      <c r="B183" s="64" t="str">
        <f>"EA &lt;= (R[1] + 119)"&amp;CHAR(10)&amp;"R[1] &lt;= MEM[EA]"</f>
        <v>EA &lt;= (R[1] + 119)
R[1] &lt;= MEM[EA]</v>
      </c>
      <c r="C183" s="128" t="s">
        <v>598</v>
      </c>
      <c r="D183" s="159" t="s">
        <v>393</v>
      </c>
      <c r="E183" s="159" t="s">
        <v>598</v>
      </c>
      <c r="F183" s="159" t="s">
        <v>25</v>
      </c>
      <c r="G183" s="159" t="s">
        <v>13</v>
      </c>
      <c r="H183" s="128"/>
      <c r="I183" s="128" t="s">
        <v>599</v>
      </c>
      <c r="J183" s="128" t="s">
        <v>25</v>
      </c>
      <c r="K183" s="128" t="s">
        <v>13</v>
      </c>
      <c r="L183" s="159"/>
      <c r="M183" s="159"/>
      <c r="N183" s="159" t="s">
        <v>25</v>
      </c>
      <c r="O183" s="160"/>
      <c r="P183" s="128" t="s">
        <v>70</v>
      </c>
      <c r="Q183" s="128"/>
      <c r="R183" s="128" t="s">
        <v>25</v>
      </c>
      <c r="S183" s="128" t="s">
        <v>16</v>
      </c>
      <c r="T183" s="159" t="s">
        <v>10</v>
      </c>
      <c r="U183" s="159"/>
      <c r="V183" s="159" t="s">
        <v>25</v>
      </c>
      <c r="W183" s="159" t="s">
        <v>13</v>
      </c>
      <c r="X183" s="128"/>
      <c r="Y183" s="128"/>
      <c r="Z183" s="128" t="s">
        <v>25</v>
      </c>
      <c r="AA183" s="128" t="s">
        <v>19</v>
      </c>
      <c r="AB183" s="159" t="s">
        <v>10</v>
      </c>
      <c r="AC183" s="159" t="s">
        <v>448</v>
      </c>
      <c r="AD183" s="159" t="s">
        <v>70</v>
      </c>
      <c r="AE183" s="159" t="s">
        <v>70</v>
      </c>
      <c r="AF183" s="159" t="s">
        <v>448</v>
      </c>
      <c r="AG183" s="159" t="s">
        <v>448</v>
      </c>
      <c r="AH183" s="159"/>
      <c r="AI183" s="159"/>
      <c r="AJ183" s="159" t="s">
        <v>25</v>
      </c>
      <c r="AK183" s="159" t="s">
        <v>10</v>
      </c>
      <c r="AL183" s="156"/>
      <c r="AM183" s="156" t="s">
        <v>10</v>
      </c>
      <c r="AN183" s="156" t="s">
        <v>70</v>
      </c>
      <c r="AO183" s="156" t="s">
        <v>448</v>
      </c>
      <c r="AP183" s="162" t="s">
        <v>600</v>
      </c>
      <c r="AQ183" s="128" t="s">
        <v>597</v>
      </c>
      <c r="AR183" s="64" t="str">
        <f>"EA &lt;= (R[1] + 119)"&amp;CHAR(10)&amp;"R[1] &lt;= MEM[EA]"</f>
        <v>EA &lt;= (R[1] + 119)
R[1] &lt;= MEM[EA]</v>
      </c>
      <c r="AS183" s="118" t="s">
        <v>588</v>
      </c>
    </row>
    <row r="184" spans="1:45" ht="31.5">
      <c r="A184" s="128" t="s">
        <v>601</v>
      </c>
      <c r="B184" s="43" t="s">
        <v>602</v>
      </c>
      <c r="C184" s="128" t="s">
        <v>603</v>
      </c>
      <c r="D184" s="159" t="s">
        <v>598</v>
      </c>
      <c r="E184" s="159" t="s">
        <v>603</v>
      </c>
      <c r="F184" s="159" t="s">
        <v>28</v>
      </c>
      <c r="G184" s="159" t="s">
        <v>13</v>
      </c>
      <c r="H184" s="128"/>
      <c r="I184" s="128" t="s">
        <v>604</v>
      </c>
      <c r="J184" s="128" t="s">
        <v>28</v>
      </c>
      <c r="K184" s="128" t="s">
        <v>13</v>
      </c>
      <c r="L184" s="160"/>
      <c r="M184" s="160"/>
      <c r="N184" s="160" t="s">
        <v>28</v>
      </c>
      <c r="O184" s="160"/>
      <c r="P184" s="128" t="s">
        <v>10</v>
      </c>
      <c r="Q184" s="128"/>
      <c r="R184" s="128" t="s">
        <v>28</v>
      </c>
      <c r="S184" s="128" t="s">
        <v>16</v>
      </c>
      <c r="T184" s="159" t="s">
        <v>588</v>
      </c>
      <c r="U184" s="159"/>
      <c r="V184" s="159" t="s">
        <v>28</v>
      </c>
      <c r="W184" s="159" t="s">
        <v>13</v>
      </c>
      <c r="X184" s="128"/>
      <c r="Y184" s="128"/>
      <c r="Z184" s="128" t="s">
        <v>28</v>
      </c>
      <c r="AA184" s="128" t="s">
        <v>19</v>
      </c>
      <c r="AB184" s="159" t="s">
        <v>10</v>
      </c>
      <c r="AC184" s="159" t="s">
        <v>604</v>
      </c>
      <c r="AD184" s="159" t="s">
        <v>70</v>
      </c>
      <c r="AE184" s="159" t="s">
        <v>70</v>
      </c>
      <c r="AF184" s="159" t="s">
        <v>448</v>
      </c>
      <c r="AG184" s="159" t="s">
        <v>448</v>
      </c>
      <c r="AH184" s="159"/>
      <c r="AI184" s="159"/>
      <c r="AJ184" s="159" t="s">
        <v>28</v>
      </c>
      <c r="AK184" s="159" t="s">
        <v>10</v>
      </c>
      <c r="AL184" s="156"/>
      <c r="AM184" s="156" t="s">
        <v>74</v>
      </c>
      <c r="AN184" s="156" t="s">
        <v>70</v>
      </c>
      <c r="AO184" s="156" t="s">
        <v>448</v>
      </c>
      <c r="AP184" s="161" t="s">
        <v>605</v>
      </c>
      <c r="AQ184" s="128" t="s">
        <v>601</v>
      </c>
      <c r="AR184" s="43" t="s">
        <v>602</v>
      </c>
      <c r="AS184" s="118" t="s">
        <v>74</v>
      </c>
    </row>
    <row r="185" spans="1:45" ht="31.5">
      <c r="A185" s="128" t="s">
        <v>606</v>
      </c>
      <c r="B185" s="43" t="s">
        <v>607</v>
      </c>
      <c r="C185" s="128" t="s">
        <v>608</v>
      </c>
      <c r="D185" s="159" t="s">
        <v>603</v>
      </c>
      <c r="E185" s="159" t="s">
        <v>608</v>
      </c>
      <c r="F185" s="159" t="s">
        <v>33</v>
      </c>
      <c r="G185" s="159" t="s">
        <v>13</v>
      </c>
      <c r="H185" s="128"/>
      <c r="I185" s="128" t="s">
        <v>226</v>
      </c>
      <c r="J185" s="128" t="s">
        <v>33</v>
      </c>
      <c r="K185" s="128" t="s">
        <v>13</v>
      </c>
      <c r="L185" s="160"/>
      <c r="M185" s="160"/>
      <c r="N185" s="160" t="s">
        <v>33</v>
      </c>
      <c r="O185" s="160"/>
      <c r="P185" s="128" t="s">
        <v>70</v>
      </c>
      <c r="Q185" s="128"/>
      <c r="R185" s="128" t="s">
        <v>33</v>
      </c>
      <c r="S185" s="128" t="s">
        <v>16</v>
      </c>
      <c r="T185" s="159" t="s">
        <v>74</v>
      </c>
      <c r="U185" s="159"/>
      <c r="V185" s="159" t="s">
        <v>33</v>
      </c>
      <c r="W185" s="159" t="s">
        <v>13</v>
      </c>
      <c r="X185" s="128"/>
      <c r="Y185" s="128"/>
      <c r="Z185" s="128" t="s">
        <v>33</v>
      </c>
      <c r="AA185" s="128" t="s">
        <v>19</v>
      </c>
      <c r="AB185" s="159" t="s">
        <v>74</v>
      </c>
      <c r="AC185" s="159" t="s">
        <v>609</v>
      </c>
      <c r="AD185" s="159" t="s">
        <v>70</v>
      </c>
      <c r="AE185" s="159" t="s">
        <v>70</v>
      </c>
      <c r="AF185" s="159" t="s">
        <v>448</v>
      </c>
      <c r="AG185" s="159" t="s">
        <v>604</v>
      </c>
      <c r="AH185" s="159"/>
      <c r="AI185" s="159"/>
      <c r="AJ185" s="159" t="s">
        <v>33</v>
      </c>
      <c r="AK185" s="159" t="s">
        <v>10</v>
      </c>
      <c r="AL185" s="156"/>
      <c r="AM185" s="156" t="s">
        <v>74</v>
      </c>
      <c r="AN185" s="156" t="s">
        <v>70</v>
      </c>
      <c r="AO185" s="156" t="s">
        <v>74</v>
      </c>
      <c r="AP185" s="161" t="s">
        <v>610</v>
      </c>
      <c r="AQ185" s="128" t="s">
        <v>606</v>
      </c>
      <c r="AR185" s="43" t="s">
        <v>607</v>
      </c>
      <c r="AS185" s="118" t="s">
        <v>74</v>
      </c>
    </row>
    <row r="186" spans="1:45" ht="31.5">
      <c r="A186" s="128" t="s">
        <v>611</v>
      </c>
      <c r="B186" s="43" t="s">
        <v>612</v>
      </c>
      <c r="C186" s="128" t="s">
        <v>613</v>
      </c>
      <c r="D186" s="159" t="s">
        <v>608</v>
      </c>
      <c r="E186" s="159" t="s">
        <v>613</v>
      </c>
      <c r="F186" s="159" t="s">
        <v>37</v>
      </c>
      <c r="G186" s="159" t="s">
        <v>13</v>
      </c>
      <c r="H186" s="128"/>
      <c r="I186" s="128" t="s">
        <v>609</v>
      </c>
      <c r="J186" s="128" t="s">
        <v>37</v>
      </c>
      <c r="K186" s="128" t="s">
        <v>13</v>
      </c>
      <c r="L186" s="160"/>
      <c r="M186" s="160"/>
      <c r="N186" s="160" t="s">
        <v>37</v>
      </c>
      <c r="O186" s="160"/>
      <c r="P186" s="128" t="s">
        <v>74</v>
      </c>
      <c r="Q186" s="128"/>
      <c r="R186" s="128" t="s">
        <v>37</v>
      </c>
      <c r="S186" s="128" t="s">
        <v>16</v>
      </c>
      <c r="T186" s="159" t="s">
        <v>74</v>
      </c>
      <c r="U186" s="159"/>
      <c r="V186" s="159" t="s">
        <v>37</v>
      </c>
      <c r="W186" s="159" t="s">
        <v>614</v>
      </c>
      <c r="X186" s="128"/>
      <c r="Y186" s="128"/>
      <c r="Z186" s="128" t="s">
        <v>37</v>
      </c>
      <c r="AA186" s="128" t="s">
        <v>19</v>
      </c>
      <c r="AB186" s="159" t="s">
        <v>74</v>
      </c>
      <c r="AC186" s="159" t="s">
        <v>609</v>
      </c>
      <c r="AD186" s="159" t="s">
        <v>70</v>
      </c>
      <c r="AE186" s="159" t="s">
        <v>70</v>
      </c>
      <c r="AF186" s="159" t="s">
        <v>74</v>
      </c>
      <c r="AG186" s="159" t="s">
        <v>604</v>
      </c>
      <c r="AH186" s="159"/>
      <c r="AI186" s="159"/>
      <c r="AJ186" s="159" t="s">
        <v>37</v>
      </c>
      <c r="AK186" s="159" t="s">
        <v>10</v>
      </c>
      <c r="AL186" s="156"/>
      <c r="AM186" s="156" t="s">
        <v>615</v>
      </c>
      <c r="AN186" s="156" t="s">
        <v>70</v>
      </c>
      <c r="AO186" s="156" t="s">
        <v>74</v>
      </c>
      <c r="AP186" s="161" t="s">
        <v>616</v>
      </c>
      <c r="AQ186" s="128" t="s">
        <v>611</v>
      </c>
      <c r="AR186" s="43" t="s">
        <v>612</v>
      </c>
      <c r="AS186" s="118" t="s">
        <v>615</v>
      </c>
    </row>
    <row r="187" spans="1:45" ht="31.5">
      <c r="A187" s="128" t="s">
        <v>617</v>
      </c>
      <c r="B187" s="43" t="s">
        <v>618</v>
      </c>
      <c r="C187" s="128" t="s">
        <v>619</v>
      </c>
      <c r="D187" s="159" t="s">
        <v>613</v>
      </c>
      <c r="E187" s="159" t="s">
        <v>619</v>
      </c>
      <c r="F187" s="159" t="s">
        <v>228</v>
      </c>
      <c r="G187" s="159" t="s">
        <v>13</v>
      </c>
      <c r="H187" s="128"/>
      <c r="I187" s="128" t="s">
        <v>60</v>
      </c>
      <c r="J187" s="128" t="s">
        <v>228</v>
      </c>
      <c r="K187" s="128" t="s">
        <v>13</v>
      </c>
      <c r="L187" s="160"/>
      <c r="M187" s="160"/>
      <c r="N187" s="160" t="s">
        <v>228</v>
      </c>
      <c r="O187" s="160"/>
      <c r="P187" s="128" t="s">
        <v>70</v>
      </c>
      <c r="Q187" s="128"/>
      <c r="R187" s="128" t="s">
        <v>228</v>
      </c>
      <c r="S187" s="128" t="s">
        <v>16</v>
      </c>
      <c r="T187" s="159" t="s">
        <v>615</v>
      </c>
      <c r="U187" s="159"/>
      <c r="V187" s="159" t="s">
        <v>228</v>
      </c>
      <c r="W187" s="159" t="s">
        <v>13</v>
      </c>
      <c r="X187" s="128"/>
      <c r="Y187" s="128"/>
      <c r="Z187" s="128" t="s">
        <v>228</v>
      </c>
      <c r="AA187" s="128" t="s">
        <v>19</v>
      </c>
      <c r="AB187" s="159" t="s">
        <v>615</v>
      </c>
      <c r="AC187" s="159" t="s">
        <v>609</v>
      </c>
      <c r="AD187" s="159" t="s">
        <v>70</v>
      </c>
      <c r="AE187" s="159" t="s">
        <v>60</v>
      </c>
      <c r="AF187" s="159" t="s">
        <v>74</v>
      </c>
      <c r="AG187" s="159" t="s">
        <v>604</v>
      </c>
      <c r="AH187" s="159"/>
      <c r="AI187" s="159"/>
      <c r="AJ187" s="159" t="s">
        <v>228</v>
      </c>
      <c r="AK187" s="159" t="s">
        <v>10</v>
      </c>
      <c r="AL187" s="156"/>
      <c r="AM187" s="156" t="s">
        <v>615</v>
      </c>
      <c r="AN187" s="156" t="s">
        <v>448</v>
      </c>
      <c r="AO187" s="156" t="s">
        <v>74</v>
      </c>
      <c r="AP187" s="161" t="s">
        <v>620</v>
      </c>
      <c r="AQ187" s="128" t="s">
        <v>617</v>
      </c>
      <c r="AR187" s="43" t="s">
        <v>618</v>
      </c>
      <c r="AS187" s="118" t="s">
        <v>448</v>
      </c>
    </row>
    <row r="188" spans="1:45" ht="78.75">
      <c r="A188" s="128" t="s">
        <v>621</v>
      </c>
      <c r="B188" s="64" t="str">
        <f>"EA &lt;= (R[1] + R[2])"&amp;CHAR(10)&amp;"R[3] &lt;= MEM[EA]"</f>
        <v>EA &lt;= (R[1] + R[2])
R[3] &lt;= MEM[EA]</v>
      </c>
      <c r="C188" s="128" t="s">
        <v>622</v>
      </c>
      <c r="D188" s="159" t="s">
        <v>619</v>
      </c>
      <c r="E188" s="159" t="s">
        <v>622</v>
      </c>
      <c r="F188" s="159" t="s">
        <v>341</v>
      </c>
      <c r="G188" s="159" t="s">
        <v>13</v>
      </c>
      <c r="H188" s="128"/>
      <c r="I188" s="128" t="s">
        <v>226</v>
      </c>
      <c r="J188" s="128" t="s">
        <v>341</v>
      </c>
      <c r="K188" s="128" t="s">
        <v>13</v>
      </c>
      <c r="L188" s="160"/>
      <c r="M188" s="160"/>
      <c r="N188" s="160" t="s">
        <v>341</v>
      </c>
      <c r="O188" s="160"/>
      <c r="P188" s="128" t="s">
        <v>74</v>
      </c>
      <c r="Q188" s="128"/>
      <c r="R188" s="128" t="s">
        <v>341</v>
      </c>
      <c r="S188" s="128" t="s">
        <v>16</v>
      </c>
      <c r="T188" s="159" t="s">
        <v>448</v>
      </c>
      <c r="U188" s="159"/>
      <c r="V188" s="159" t="s">
        <v>341</v>
      </c>
      <c r="W188" s="159" t="s">
        <v>614</v>
      </c>
      <c r="X188" s="128"/>
      <c r="Y188" s="128"/>
      <c r="Z188" s="128" t="s">
        <v>341</v>
      </c>
      <c r="AA188" s="128" t="s">
        <v>19</v>
      </c>
      <c r="AB188" s="159" t="s">
        <v>615</v>
      </c>
      <c r="AC188" s="159" t="s">
        <v>609</v>
      </c>
      <c r="AD188" s="159" t="s">
        <v>448</v>
      </c>
      <c r="AE188" s="159" t="s">
        <v>60</v>
      </c>
      <c r="AF188" s="159" t="s">
        <v>74</v>
      </c>
      <c r="AG188" s="159" t="s">
        <v>448</v>
      </c>
      <c r="AH188" s="159"/>
      <c r="AI188" s="159"/>
      <c r="AJ188" s="159" t="s">
        <v>341</v>
      </c>
      <c r="AK188" s="159" t="s">
        <v>10</v>
      </c>
      <c r="AL188" s="156"/>
      <c r="AM188" s="156" t="s">
        <v>615</v>
      </c>
      <c r="AN188" s="156" t="s">
        <v>448</v>
      </c>
      <c r="AO188" s="156" t="s">
        <v>448</v>
      </c>
      <c r="AP188" s="161" t="s">
        <v>623</v>
      </c>
      <c r="AQ188" s="128" t="s">
        <v>621</v>
      </c>
      <c r="AR188" s="64" t="str">
        <f>"EA &lt;= (R[1] + R[2])"&amp;CHAR(10)&amp;"R[3] &lt;= MEM[EA]"</f>
        <v>EA &lt;= (R[1] + R[2])
R[3] &lt;= MEM[EA]</v>
      </c>
      <c r="AS188" s="118" t="s">
        <v>588</v>
      </c>
    </row>
    <row r="189" spans="1:45" ht="31.5">
      <c r="A189" s="128" t="s">
        <v>624</v>
      </c>
      <c r="B189" s="43" t="s">
        <v>625</v>
      </c>
      <c r="C189" s="128" t="s">
        <v>626</v>
      </c>
      <c r="D189" s="159" t="s">
        <v>622</v>
      </c>
      <c r="E189" s="159" t="s">
        <v>626</v>
      </c>
      <c r="F189" s="159"/>
      <c r="G189" s="159"/>
      <c r="H189" s="128"/>
      <c r="I189" s="128" t="s">
        <v>627</v>
      </c>
      <c r="J189" s="128"/>
      <c r="K189" s="128"/>
      <c r="L189" s="160"/>
      <c r="M189" s="160"/>
      <c r="N189" s="160"/>
      <c r="O189" s="160"/>
      <c r="P189" s="128"/>
      <c r="Q189" s="128"/>
      <c r="R189" s="128"/>
      <c r="S189" s="128"/>
      <c r="T189" s="159" t="s">
        <v>588</v>
      </c>
      <c r="U189" s="159"/>
      <c r="V189" s="159"/>
      <c r="W189" s="159"/>
      <c r="X189" s="128"/>
      <c r="Y189" s="128"/>
      <c r="Z189" s="128"/>
      <c r="AA189" s="128"/>
      <c r="AB189" s="159" t="s">
        <v>615</v>
      </c>
      <c r="AC189" s="159" t="s">
        <v>609</v>
      </c>
      <c r="AD189" s="159" t="s">
        <v>448</v>
      </c>
      <c r="AE189" s="159" t="s">
        <v>627</v>
      </c>
      <c r="AF189" s="159" t="s">
        <v>448</v>
      </c>
      <c r="AG189" s="159" t="s">
        <v>448</v>
      </c>
      <c r="AH189" s="159"/>
      <c r="AI189" s="159"/>
      <c r="AJ189" s="159" t="s">
        <v>375</v>
      </c>
      <c r="AK189" s="159" t="s">
        <v>10</v>
      </c>
      <c r="AL189" s="156"/>
      <c r="AM189" s="156" t="s">
        <v>615</v>
      </c>
      <c r="AN189" s="156" t="s">
        <v>588</v>
      </c>
      <c r="AO189" s="156" t="s">
        <v>448</v>
      </c>
      <c r="AP189" s="161" t="s">
        <v>628</v>
      </c>
      <c r="AQ189" s="128" t="s">
        <v>624</v>
      </c>
      <c r="AR189" s="43" t="s">
        <v>625</v>
      </c>
      <c r="AS189" s="118" t="s">
        <v>588</v>
      </c>
    </row>
    <row r="190" spans="1:45" ht="63">
      <c r="A190" s="128" t="s">
        <v>629</v>
      </c>
      <c r="B190" s="64" t="str">
        <f>"EA &lt;= (R[2])"&amp;CHAR(10)&amp;"R[1] &lt;= MEM[EA]"</f>
        <v>EA &lt;= (R[2])
R[1] &lt;= MEM[EA]</v>
      </c>
      <c r="C190" s="128" t="s">
        <v>630</v>
      </c>
      <c r="D190" s="159" t="s">
        <v>626</v>
      </c>
      <c r="E190" s="159" t="s">
        <v>630</v>
      </c>
      <c r="F190" s="159" t="s">
        <v>375</v>
      </c>
      <c r="G190" s="159" t="s">
        <v>13</v>
      </c>
      <c r="H190" s="128"/>
      <c r="I190" s="128" t="s">
        <v>226</v>
      </c>
      <c r="J190" s="128" t="s">
        <v>375</v>
      </c>
      <c r="K190" s="128" t="s">
        <v>13</v>
      </c>
      <c r="L190" s="160"/>
      <c r="M190" s="160"/>
      <c r="N190" s="160" t="s">
        <v>375</v>
      </c>
      <c r="O190" s="160"/>
      <c r="P190" s="128" t="s">
        <v>70</v>
      </c>
      <c r="Q190" s="128"/>
      <c r="R190" s="128" t="s">
        <v>375</v>
      </c>
      <c r="S190" s="128" t="s">
        <v>16</v>
      </c>
      <c r="T190" s="159" t="s">
        <v>588</v>
      </c>
      <c r="U190" s="159"/>
      <c r="V190" s="159" t="s">
        <v>375</v>
      </c>
      <c r="W190" s="159" t="s">
        <v>13</v>
      </c>
      <c r="X190" s="128"/>
      <c r="Y190" s="128"/>
      <c r="Z190" s="128" t="s">
        <v>375</v>
      </c>
      <c r="AA190" s="128" t="s">
        <v>19</v>
      </c>
      <c r="AB190" s="159" t="s">
        <v>615</v>
      </c>
      <c r="AC190" s="159" t="s">
        <v>448</v>
      </c>
      <c r="AD190" s="159" t="s">
        <v>588</v>
      </c>
      <c r="AE190" s="159" t="s">
        <v>627</v>
      </c>
      <c r="AF190" s="159" t="s">
        <v>448</v>
      </c>
      <c r="AG190" s="159" t="s">
        <v>448</v>
      </c>
      <c r="AH190" s="159"/>
      <c r="AI190" s="159"/>
      <c r="AJ190" s="159" t="s">
        <v>423</v>
      </c>
      <c r="AK190" s="159" t="s">
        <v>10</v>
      </c>
      <c r="AL190" s="156"/>
      <c r="AM190" s="156" t="s">
        <v>588</v>
      </c>
      <c r="AN190" s="156" t="s">
        <v>588</v>
      </c>
      <c r="AO190" s="156" t="s">
        <v>448</v>
      </c>
      <c r="AP190" s="162" t="s">
        <v>631</v>
      </c>
      <c r="AQ190" s="128" t="s">
        <v>629</v>
      </c>
      <c r="AR190" s="64" t="str">
        <f>"EA &lt;= (R[2])"&amp;CHAR(10)&amp;"R[1] &lt;= MEM[EA]"</f>
        <v>EA &lt;= (R[2])
R[1] &lt;= MEM[EA]</v>
      </c>
    </row>
    <row r="191" spans="1:45">
      <c r="A191" s="135" t="s">
        <v>632</v>
      </c>
      <c r="C191" s="135"/>
      <c r="D191" s="135" t="s">
        <v>630</v>
      </c>
      <c r="AB191" s="118" t="s">
        <v>588</v>
      </c>
      <c r="AD191" s="118" t="s">
        <v>588</v>
      </c>
      <c r="AF191" s="118" t="s">
        <v>448</v>
      </c>
    </row>
    <row r="192" spans="1:45">
      <c r="A192"/>
      <c r="B192"/>
      <c r="C192" s="135"/>
      <c r="D192" s="135"/>
    </row>
    <row r="193" spans="1:4">
      <c r="A193"/>
      <c r="B193"/>
      <c r="C193" s="135"/>
      <c r="D193" s="135"/>
    </row>
    <row r="194" spans="1:4">
      <c r="A194"/>
      <c r="B194"/>
      <c r="C194"/>
      <c r="D194" s="135"/>
    </row>
    <row r="195" spans="1:4">
      <c r="A195"/>
      <c r="B195"/>
      <c r="C195"/>
      <c r="D195" s="135"/>
    </row>
    <row r="196" spans="1:4">
      <c r="A196"/>
      <c r="B196"/>
      <c r="C196"/>
      <c r="D196" s="135"/>
    </row>
    <row r="197" spans="1:4">
      <c r="A197"/>
      <c r="B197"/>
      <c r="C197"/>
      <c r="D197" s="135"/>
    </row>
    <row r="198" spans="1:4">
      <c r="A198"/>
      <c r="B198"/>
      <c r="C198"/>
      <c r="D198" s="135"/>
    </row>
    <row r="199" spans="1:4">
      <c r="A199"/>
      <c r="B199"/>
      <c r="C199"/>
      <c r="D199" s="135"/>
    </row>
    <row r="200" spans="1:4">
      <c r="A200"/>
      <c r="B200"/>
      <c r="C200"/>
      <c r="D200" s="135"/>
    </row>
    <row r="201" spans="1:4">
      <c r="A201"/>
      <c r="B201"/>
      <c r="C201"/>
      <c r="D201" s="135"/>
    </row>
    <row r="202" spans="1:4">
      <c r="A202"/>
      <c r="B202"/>
      <c r="C202"/>
      <c r="D202" s="135"/>
    </row>
    <row r="203" spans="1:4">
      <c r="A203"/>
      <c r="B203"/>
      <c r="C203"/>
      <c r="D203" s="135"/>
    </row>
    <row r="204" spans="1:4">
      <c r="A204"/>
      <c r="B204"/>
      <c r="C204"/>
      <c r="D204" s="135"/>
    </row>
    <row r="205" spans="1:4">
      <c r="A205"/>
      <c r="B205"/>
      <c r="C205"/>
      <c r="D205" s="135"/>
    </row>
    <row r="206" spans="1:4">
      <c r="A206"/>
      <c r="B206"/>
      <c r="C206"/>
      <c r="D206" s="135"/>
    </row>
    <row r="207" spans="1:4">
      <c r="A207"/>
      <c r="B207"/>
      <c r="C207"/>
      <c r="D207" s="135"/>
    </row>
    <row r="208" spans="1:4">
      <c r="A208" s="17"/>
      <c r="B208" s="17"/>
      <c r="C208" s="15"/>
      <c r="D208" s="135"/>
    </row>
    <row r="209" spans="1:4">
      <c r="A209" s="15"/>
      <c r="B209" s="15"/>
      <c r="C209" s="15"/>
      <c r="D209" s="135"/>
    </row>
    <row r="210" spans="1:4">
      <c r="A210" s="15"/>
      <c r="B210" s="15"/>
      <c r="C210" s="15"/>
      <c r="D210" s="135"/>
    </row>
    <row r="211" spans="1:4">
      <c r="A211" s="15"/>
      <c r="B211" s="15"/>
      <c r="C211" s="15"/>
      <c r="D211" s="135"/>
    </row>
    <row r="212" spans="1:4">
      <c r="A212" s="17"/>
      <c r="B212" s="17"/>
      <c r="C212" s="15"/>
      <c r="D212" s="135"/>
    </row>
    <row r="213" spans="1:4">
      <c r="A213" s="15"/>
      <c r="B213" s="15"/>
      <c r="C213" s="15"/>
      <c r="D213" s="135"/>
    </row>
    <row r="214" spans="1:4">
      <c r="A214" s="15"/>
      <c r="B214" s="15"/>
      <c r="C214" s="15"/>
      <c r="D214" s="135"/>
    </row>
    <row r="215" spans="1:4">
      <c r="A215" s="15"/>
      <c r="B215" s="17"/>
      <c r="C215" s="15"/>
      <c r="D215" s="135"/>
    </row>
    <row r="216" spans="1:4">
      <c r="A216" s="15"/>
      <c r="B216" s="17"/>
      <c r="C216" s="15"/>
      <c r="D216" s="135"/>
    </row>
    <row r="217" spans="1:4">
      <c r="A217" s="15"/>
      <c r="B217" s="17"/>
      <c r="C217" s="15"/>
      <c r="D217" s="135"/>
    </row>
    <row r="218" spans="1:4">
      <c r="A218" s="17"/>
      <c r="B218" s="17"/>
      <c r="C218" s="15"/>
      <c r="D218" s="135"/>
    </row>
    <row r="219" spans="1:4">
      <c r="A219" s="15"/>
      <c r="B219" s="15"/>
      <c r="C219" s="15"/>
      <c r="D219" s="135"/>
    </row>
    <row r="220" spans="1:4">
      <c r="A220" s="15"/>
      <c r="B220" s="15"/>
      <c r="C220" s="15"/>
      <c r="D220" s="135"/>
    </row>
    <row r="221" spans="1:4">
      <c r="A221" s="15"/>
      <c r="B221" s="15"/>
      <c r="C221" s="15"/>
      <c r="D221" s="135"/>
    </row>
    <row r="222" spans="1:4">
      <c r="A222" s="17"/>
      <c r="B222" s="17"/>
      <c r="C222" s="15"/>
      <c r="D222" s="135"/>
    </row>
    <row r="223" spans="1:4">
      <c r="A223" s="15"/>
      <c r="B223" s="15"/>
      <c r="C223" s="15"/>
      <c r="D223" s="135"/>
    </row>
    <row r="224" spans="1:4">
      <c r="A224" s="15"/>
      <c r="B224" s="15"/>
      <c r="C224" s="15"/>
      <c r="D224" s="135"/>
    </row>
    <row r="225" spans="1:3">
      <c r="A225" s="15"/>
      <c r="B225" s="15"/>
      <c r="C225" s="15"/>
    </row>
    <row r="226" spans="1:3">
      <c r="A226" s="15"/>
      <c r="B226" s="15"/>
      <c r="C226" s="15"/>
    </row>
    <row r="227" spans="1:3">
      <c r="A227" s="17"/>
      <c r="B227" s="17"/>
      <c r="C227" s="15"/>
    </row>
    <row r="228" spans="1:3">
      <c r="A228" s="15"/>
      <c r="B228" s="15"/>
      <c r="C228" s="15"/>
    </row>
    <row r="229" spans="1:3">
      <c r="A229" s="15"/>
      <c r="B229" s="15"/>
      <c r="C229" s="15"/>
    </row>
    <row r="246" spans="1:4">
      <c r="A246" s="118" t="s">
        <v>191</v>
      </c>
      <c r="B246" s="118" t="s">
        <v>464</v>
      </c>
      <c r="C246" s="118" t="s">
        <v>234</v>
      </c>
    </row>
    <row r="247" spans="1:4">
      <c r="A247" s="163" t="s">
        <v>633</v>
      </c>
      <c r="B247" s="118" t="s">
        <v>634</v>
      </c>
      <c r="C247" s="118" t="s">
        <v>635</v>
      </c>
      <c r="D247" s="118" t="s">
        <v>636</v>
      </c>
    </row>
    <row r="248" spans="1:4">
      <c r="A248" s="118" t="s">
        <v>637</v>
      </c>
      <c r="B248" s="118" t="s">
        <v>638</v>
      </c>
      <c r="C248" s="118" t="s">
        <v>639</v>
      </c>
      <c r="D248" s="118" t="s">
        <v>640</v>
      </c>
    </row>
    <row r="249" spans="1:4">
      <c r="A249" s="118" t="s">
        <v>641</v>
      </c>
      <c r="B249" s="118" t="s">
        <v>642</v>
      </c>
      <c r="C249" s="118" t="s">
        <v>643</v>
      </c>
      <c r="D249" s="118" t="s">
        <v>644</v>
      </c>
    </row>
    <row r="250" spans="1:4">
      <c r="A250" s="118" t="s">
        <v>645</v>
      </c>
      <c r="B250" s="118" t="s">
        <v>646</v>
      </c>
      <c r="C250" s="118" t="s">
        <v>647</v>
      </c>
      <c r="D250" s="118" t="s">
        <v>648</v>
      </c>
    </row>
    <row r="251" spans="1:4">
      <c r="A251" s="118" t="s">
        <v>649</v>
      </c>
      <c r="B251" s="118" t="s">
        <v>650</v>
      </c>
      <c r="C251" s="118">
        <v>14008000</v>
      </c>
      <c r="D251" s="118" t="s">
        <v>651</v>
      </c>
    </row>
    <row r="252" spans="1:4">
      <c r="A252" s="118" t="s">
        <v>652</v>
      </c>
      <c r="B252" s="118" t="s">
        <v>653</v>
      </c>
      <c r="C252" s="118" t="s">
        <v>654</v>
      </c>
    </row>
    <row r="253" spans="1:4">
      <c r="A253" s="118" t="s">
        <v>655</v>
      </c>
      <c r="B253" s="118" t="s">
        <v>656</v>
      </c>
      <c r="C253" s="118" t="s">
        <v>657</v>
      </c>
    </row>
    <row r="254" spans="1:4">
      <c r="A254" s="118" t="s">
        <v>658</v>
      </c>
      <c r="B254" s="118" t="s">
        <v>659</v>
      </c>
      <c r="C254" s="118">
        <v>40009000</v>
      </c>
    </row>
    <row r="255" spans="1:4">
      <c r="A255" s="118" t="s">
        <v>660</v>
      </c>
      <c r="B255" s="118" t="s">
        <v>661</v>
      </c>
      <c r="C255" s="118" t="s">
        <v>662</v>
      </c>
    </row>
    <row r="256" spans="1:4">
      <c r="A256" s="118" t="s">
        <v>663</v>
      </c>
      <c r="B256" s="118" t="s">
        <v>664</v>
      </c>
      <c r="C256" s="118">
        <v>98340680</v>
      </c>
    </row>
    <row r="257" spans="1:3">
      <c r="A257" s="118" t="s">
        <v>665</v>
      </c>
      <c r="B257" s="118" t="s">
        <v>666</v>
      </c>
      <c r="C257" s="118" t="s">
        <v>667</v>
      </c>
    </row>
    <row r="258" spans="1:3">
      <c r="A258" s="118" t="s">
        <v>668</v>
      </c>
      <c r="B258" s="118" t="s">
        <v>669</v>
      </c>
      <c r="C258" s="118" t="s">
        <v>670</v>
      </c>
    </row>
    <row r="259" spans="1:3">
      <c r="A259" s="118" t="s">
        <v>671</v>
      </c>
      <c r="B259" s="118" t="s">
        <v>672</v>
      </c>
      <c r="C259" s="118" t="s">
        <v>673</v>
      </c>
    </row>
    <row r="260" spans="1:3">
      <c r="A260" s="118" t="s">
        <v>674</v>
      </c>
      <c r="B260" s="118" t="s">
        <v>675</v>
      </c>
      <c r="C260" s="118" t="s">
        <v>676</v>
      </c>
    </row>
    <row r="261" spans="1:3">
      <c r="A261" s="118" t="s">
        <v>677</v>
      </c>
      <c r="B261" s="118" t="s">
        <v>678</v>
      </c>
      <c r="C261" s="118" t="s">
        <v>522</v>
      </c>
    </row>
    <row r="262" spans="1:3">
      <c r="A262" s="118" t="s">
        <v>679</v>
      </c>
      <c r="B262" s="118" t="s">
        <v>680</v>
      </c>
      <c r="C262" s="118" t="s">
        <v>681</v>
      </c>
    </row>
    <row r="263" spans="1:3">
      <c r="A263" s="118" t="s">
        <v>41</v>
      </c>
      <c r="B263" s="118" t="s">
        <v>682</v>
      </c>
      <c r="C263" s="118" t="s">
        <v>683</v>
      </c>
    </row>
    <row r="264" spans="1:3">
      <c r="A264" s="118" t="s">
        <v>47</v>
      </c>
      <c r="B264" s="118" t="s">
        <v>684</v>
      </c>
      <c r="C264" s="118" t="s">
        <v>685</v>
      </c>
    </row>
    <row r="265" spans="1:3">
      <c r="A265" s="118" t="s">
        <v>51</v>
      </c>
      <c r="B265" s="118" t="s">
        <v>686</v>
      </c>
      <c r="C265" s="118" t="s">
        <v>687</v>
      </c>
    </row>
    <row r="266" spans="1:3">
      <c r="A266" s="118" t="s">
        <v>56</v>
      </c>
      <c r="B266" s="118" t="s">
        <v>688</v>
      </c>
      <c r="C266" s="118" t="s">
        <v>689</v>
      </c>
    </row>
    <row r="267" spans="1:3">
      <c r="A267" s="118" t="s">
        <v>60</v>
      </c>
      <c r="B267" s="118" t="s">
        <v>690</v>
      </c>
      <c r="C267" s="118" t="s">
        <v>691</v>
      </c>
    </row>
    <row r="268" spans="1:3">
      <c r="B268" s="118" t="s">
        <v>692</v>
      </c>
      <c r="C268" s="118" t="s">
        <v>693</v>
      </c>
    </row>
    <row r="269" spans="1:3">
      <c r="B269" s="118" t="s">
        <v>694</v>
      </c>
      <c r="C269" s="118" t="s">
        <v>695</v>
      </c>
    </row>
    <row r="270" spans="1:3">
      <c r="B270" s="118" t="s">
        <v>696</v>
      </c>
      <c r="C270" s="118" t="s">
        <v>697</v>
      </c>
    </row>
    <row r="271" spans="1:3">
      <c r="B271" s="118" t="s">
        <v>698</v>
      </c>
      <c r="C271" s="118">
        <v>80001000</v>
      </c>
    </row>
    <row r="272" spans="1:3">
      <c r="B272" s="118" t="s">
        <v>699</v>
      </c>
      <c r="C272" s="118" t="s">
        <v>700</v>
      </c>
    </row>
    <row r="273" spans="2:3">
      <c r="B273" s="118" t="s">
        <v>701</v>
      </c>
      <c r="C273" s="118" t="s">
        <v>702</v>
      </c>
    </row>
    <row r="274" spans="2:3">
      <c r="B274" s="118" t="s">
        <v>703</v>
      </c>
      <c r="C274" s="118" t="s">
        <v>704</v>
      </c>
    </row>
    <row r="275" spans="2:3">
      <c r="B275" s="118" t="s">
        <v>705</v>
      </c>
      <c r="C275" s="118" t="s">
        <v>706</v>
      </c>
    </row>
    <row r="276" spans="2:3">
      <c r="B276" s="118" t="s">
        <v>707</v>
      </c>
      <c r="C276" s="118" t="s">
        <v>708</v>
      </c>
    </row>
    <row r="277" spans="2:3">
      <c r="B277" s="118" t="s">
        <v>709</v>
      </c>
      <c r="C277" s="118" t="s">
        <v>710</v>
      </c>
    </row>
    <row r="278" spans="2:3">
      <c r="B278" s="118" t="s">
        <v>711</v>
      </c>
      <c r="C278" s="118" t="s">
        <v>712</v>
      </c>
    </row>
    <row r="279" spans="2:3">
      <c r="B279" s="118" t="s">
        <v>675</v>
      </c>
      <c r="C279" s="118">
        <v>8001040</v>
      </c>
    </row>
    <row r="280" spans="2:3">
      <c r="B280" s="118" t="s">
        <v>713</v>
      </c>
      <c r="C280" s="118" t="s">
        <v>714</v>
      </c>
    </row>
    <row r="281" spans="2:3">
      <c r="B281" s="118" t="s">
        <v>715</v>
      </c>
      <c r="C281" s="118" t="s">
        <v>716</v>
      </c>
    </row>
    <row r="282" spans="2:3">
      <c r="B282" s="118" t="s">
        <v>717</v>
      </c>
      <c r="C282" s="118" t="s">
        <v>718</v>
      </c>
    </row>
    <row r="283" spans="2:3">
      <c r="B283" s="118" t="s">
        <v>719</v>
      </c>
      <c r="C283" s="118">
        <v>380800</v>
      </c>
    </row>
    <row r="284" spans="2:3">
      <c r="B284" s="118" t="s">
        <v>720</v>
      </c>
      <c r="C284" s="118" t="s">
        <v>721</v>
      </c>
    </row>
    <row r="285" spans="2:3">
      <c r="B285" s="118" t="s">
        <v>722</v>
      </c>
      <c r="C285" s="118" t="s">
        <v>723</v>
      </c>
    </row>
    <row r="286" spans="2:3">
      <c r="B286" s="118" t="s">
        <v>724</v>
      </c>
      <c r="C286" s="118" t="s">
        <v>725</v>
      </c>
    </row>
    <row r="287" spans="2:3">
      <c r="B287" s="118" t="s">
        <v>726</v>
      </c>
      <c r="C287" s="118" t="s">
        <v>727</v>
      </c>
    </row>
    <row r="288" spans="2:3">
      <c r="B288" s="118" t="s">
        <v>728</v>
      </c>
      <c r="C288" s="118" t="s">
        <v>729</v>
      </c>
    </row>
    <row r="289" spans="2:3">
      <c r="B289" s="118" t="s">
        <v>730</v>
      </c>
      <c r="C289" s="118">
        <v>38013</v>
      </c>
    </row>
    <row r="290" spans="2:3">
      <c r="B290" s="118" t="s">
        <v>713</v>
      </c>
      <c r="C290" s="118" t="s">
        <v>714</v>
      </c>
    </row>
  </sheetData>
  <mergeCells count="68">
    <mergeCell ref="C162:E162"/>
    <mergeCell ref="AB174:AK174"/>
    <mergeCell ref="A175:C175"/>
    <mergeCell ref="D175:G175"/>
    <mergeCell ref="H175:K175"/>
    <mergeCell ref="L175:O175"/>
    <mergeCell ref="P175:S175"/>
    <mergeCell ref="T175:W175"/>
    <mergeCell ref="X175:AA175"/>
    <mergeCell ref="AB175:AC175"/>
    <mergeCell ref="AD175:AE175"/>
    <mergeCell ref="AF175:AG175"/>
    <mergeCell ref="AH175:AI175"/>
    <mergeCell ref="T102:W102"/>
    <mergeCell ref="X102:AA102"/>
    <mergeCell ref="AB102:AE102"/>
    <mergeCell ref="C127:E127"/>
    <mergeCell ref="F127:I127"/>
    <mergeCell ref="J127:M127"/>
    <mergeCell ref="N127:Q127"/>
    <mergeCell ref="R127:U127"/>
    <mergeCell ref="V127:Y127"/>
    <mergeCell ref="Z127:AC127"/>
    <mergeCell ref="AD127:AG127"/>
    <mergeCell ref="A102:C102"/>
    <mergeCell ref="D102:G102"/>
    <mergeCell ref="H102:K102"/>
    <mergeCell ref="L102:O102"/>
    <mergeCell ref="P102:S102"/>
    <mergeCell ref="AG65:AI65"/>
    <mergeCell ref="AK65:AM65"/>
    <mergeCell ref="AO65:AQ65"/>
    <mergeCell ref="A82:C82"/>
    <mergeCell ref="D82:G82"/>
    <mergeCell ref="H82:K82"/>
    <mergeCell ref="L82:O82"/>
    <mergeCell ref="P82:S82"/>
    <mergeCell ref="T82:W82"/>
    <mergeCell ref="X82:AA82"/>
    <mergeCell ref="AB82:AE82"/>
    <mergeCell ref="P46:S46"/>
    <mergeCell ref="T46:W46"/>
    <mergeCell ref="X46:AA46"/>
    <mergeCell ref="AB46:AE46"/>
    <mergeCell ref="A65:C65"/>
    <mergeCell ref="D65:G65"/>
    <mergeCell ref="H65:K65"/>
    <mergeCell ref="L65:O65"/>
    <mergeCell ref="P65:S65"/>
    <mergeCell ref="T65:W65"/>
    <mergeCell ref="X65:AA65"/>
    <mergeCell ref="AB65:AE65"/>
    <mergeCell ref="B39:G39"/>
    <mergeCell ref="A46:C46"/>
    <mergeCell ref="D46:G46"/>
    <mergeCell ref="H46:K46"/>
    <mergeCell ref="L46:O46"/>
    <mergeCell ref="T2:W2"/>
    <mergeCell ref="X2:AA2"/>
    <mergeCell ref="AB2:AE2"/>
    <mergeCell ref="AG2:AJ2"/>
    <mergeCell ref="B16:C16"/>
    <mergeCell ref="D16:G16"/>
    <mergeCell ref="B2:C2"/>
    <mergeCell ref="D2:G2"/>
    <mergeCell ref="H2:K2"/>
    <mergeCell ref="L2:O2"/>
    <mergeCell ref="P2:S2"/>
  </mergeCell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OP_CODES</vt:lpstr>
      <vt:lpstr>Validating JMP</vt:lpstr>
      <vt:lpstr>Validating JSR,RTS</vt:lpstr>
      <vt:lpstr>Validating BEQ</vt:lpstr>
      <vt:lpstr>Register File Table</vt:lpstr>
      <vt:lpstr>MEMORY Table</vt:lpstr>
      <vt:lpstr>Copyable Test Set Format</vt:lpstr>
      <vt:lpstr>Whole Processor Validation Key</vt:lpstr>
      <vt:lpstr>Phase3 Debugging Test Scripts</vt:lpstr>
      <vt:lpstr>Phase3(Fourney Test Script)</vt:lpstr>
      <vt:lpstr>Decodeing(FTS)P(1)</vt:lpstr>
      <vt:lpstr>NateKyleOrderOfExe(FTS)</vt:lpstr>
      <vt:lpstr>NateKyle(Fourney Test Script)</vt:lpstr>
      <vt:lpstr>Pseudocode Test Script Phase#2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 Fourney</dc:creator>
  <cp:lastModifiedBy>Jordatech</cp:lastModifiedBy>
  <cp:revision>0</cp:revision>
  <cp:lastPrinted>2014-11-06T20:10:32Z</cp:lastPrinted>
  <dcterms:created xsi:type="dcterms:W3CDTF">2014-10-17T16:42:55Z</dcterms:created>
  <dcterms:modified xsi:type="dcterms:W3CDTF">2014-12-06T04:20:15Z</dcterms:modified>
</cp:coreProperties>
</file>